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1_各事業 TA 預算規劃_策略資料中心_人力時間配置" sheetId="1" r:id="rId4"/>
    <sheet state="visible" name="1.2_各事業 TA 預算規劃_策略資料中心_$" sheetId="2" r:id="rId5"/>
    <sheet state="hidden" name="2.1_事業維運費用_人力時間配置" sheetId="3" r:id="rId6"/>
    <sheet state="hidden" name="2.2_事業維運費用_$" sheetId="4" r:id="rId7"/>
    <sheet state="visible" name="3.1_集團共用資源_策略資料中心_人力時間配置" sheetId="5" r:id="rId8"/>
    <sheet state="visible" name="3.2_集團共用資源_策略資料中心_$" sheetId="6" r:id="rId9"/>
    <sheet state="visible" name="事業人力資源配置匯總表(中心主管填)" sheetId="7" r:id="rId10"/>
    <sheet state="visible" name="集團維運費用攤分_中心彙整(調整中)" sheetId="8" r:id="rId11"/>
    <sheet state="visible" name="｜工作區&gt;&gt;&gt;" sheetId="9" r:id="rId12"/>
    <sheet state="visible" name="人事比例樞紐" sheetId="10" r:id="rId13"/>
    <sheet state="visible" name="集團分攤費用表" sheetId="11" r:id="rId14"/>
    <sheet state="visible" name="共通費用參考資料" sheetId="12" r:id="rId15"/>
    <sheet state="visible" name="中心專用帳號盤點" sheetId="13" r:id="rId16"/>
    <sheet state="visible" name="中心通用帳號盤點" sheetId="14" r:id="rId17"/>
    <sheet state="visible" name="中心設備明細" sheetId="15" r:id="rId18"/>
    <sheet state="visible" name="折舊費用攤提" sheetId="16" r:id="rId19"/>
    <sheet state="visible" name="預付費用分攤" sheetId="17" r:id="rId20"/>
    <sheet state="visible" name="重大資本支出分攤" sheetId="18" r:id="rId21"/>
    <sheet state="visible" name="預算欄位參數表" sheetId="19" r:id="rId22"/>
  </sheets>
  <definedNames/>
  <calcPr/>
  <pivotCaches>
    <pivotCache cacheId="0" r:id="rId23"/>
  </pivotCaches>
</workbook>
</file>

<file path=xl/sharedStrings.xml><?xml version="1.0" encoding="utf-8"?>
<sst xmlns="http://schemas.openxmlformats.org/spreadsheetml/2006/main" count="220" uniqueCount="66">
  <si>
    <t>子公司</t>
  </si>
  <si>
    <t>事業單位</t>
  </si>
  <si>
    <t>Si 編號</t>
  </si>
  <si>
    <t>TA 編號</t>
  </si>
  <si>
    <t>價值鏈專案預算代號</t>
  </si>
  <si>
    <t>費用單位</t>
  </si>
  <si>
    <t>費用類型</t>
  </si>
  <si>
    <t>姓名</t>
  </si>
  <si>
    <t>備註</t>
  </si>
  <si>
    <t>2026/1</t>
  </si>
  <si>
    <t>2026/2</t>
  </si>
  <si>
    <t>2026/3</t>
  </si>
  <si>
    <t>2026/4</t>
  </si>
  <si>
    <t>2026/5</t>
  </si>
  <si>
    <t>2026/6</t>
  </si>
  <si>
    <t>2026/7</t>
  </si>
  <si>
    <t>2026/8</t>
  </si>
  <si>
    <t>2026/9</t>
  </si>
  <si>
    <t>2026/10</t>
  </si>
  <si>
    <t>2026/11</t>
  </si>
  <si>
    <t>2026/12</t>
  </si>
  <si>
    <t>2026 year</t>
  </si>
  <si>
    <t>Column 1</t>
  </si>
  <si>
    <t>Column 2</t>
  </si>
  <si>
    <t>Column 3</t>
  </si>
  <si>
    <t>Column 4</t>
  </si>
  <si>
    <t>Column 5</t>
  </si>
  <si>
    <t>TW</t>
  </si>
  <si>
    <t>OMO</t>
  </si>
  <si>
    <t>OrderingSi1</t>
  </si>
  <si>
    <t>Ordering26TA4</t>
  </si>
  <si>
    <t>VC08P1</t>
  </si>
  <si>
    <t>執行長室 : 策略資料中心 : 策略資料中心</t>
  </si>
  <si>
    <t>人事費用</t>
  </si>
  <si>
    <t>徐揚真</t>
  </si>
  <si>
    <t>ReservationSi1</t>
  </si>
  <si>
    <t>Reservation26TA3</t>
  </si>
  <si>
    <t>許書涵</t>
  </si>
  <si>
    <t>VC08P2</t>
  </si>
  <si>
    <t>Maintenance</t>
  </si>
  <si>
    <t>Baseline</t>
  </si>
  <si>
    <t>範例</t>
  </si>
  <si>
    <t>NA</t>
  </si>
  <si>
    <t>執行長室 : 客戶價值中心 : 客戶關係管理部 : 客服團隊</t>
  </si>
  <si>
    <t>費用項目</t>
  </si>
  <si>
    <t>Corporation</t>
  </si>
  <si>
    <t>魏妤庭</t>
  </si>
  <si>
    <t>張藝瀚</t>
  </si>
  <si>
    <t>新人</t>
  </si>
  <si>
    <t>新招募</t>
  </si>
  <si>
    <t>範例：交際費</t>
  </si>
  <si>
    <t>成本/費用</t>
  </si>
  <si>
    <t>SUM of 2026/1</t>
  </si>
  <si>
    <t>SUM of 2026/2</t>
  </si>
  <si>
    <t>SUM of 2026/3</t>
  </si>
  <si>
    <t>SUM of 2026/4</t>
  </si>
  <si>
    <t>SUM of 2026/5</t>
  </si>
  <si>
    <t>SUM of 2026/6</t>
  </si>
  <si>
    <t>SUM of 2026/7</t>
  </si>
  <si>
    <t>SUM of 2026/8</t>
  </si>
  <si>
    <t>SUM of 2026/9</t>
  </si>
  <si>
    <t>SUM of 2026/10</t>
  </si>
  <si>
    <t>SUM of 2026/11</t>
  </si>
  <si>
    <t>SUM of 2026/12</t>
  </si>
  <si>
    <t>SUM of 2026 year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</si>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</sst>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yyyy/m"/>
    <numFmt numFmtId="165" formatCode="[$NT$-404]#,##0"/>
    <numFmt numFmtId="166" formatCode="[$NT$]#,##0"/>
    <numFmt numFmtId="167" formatCode="yyyy/mm"/>
    <numFmt numFmtId="168" formatCode="yyyy/mm/dd"/>
    <numFmt numFmtId="169" formatCode="yyyy/m/d"/>
    <numFmt numFmtId="170" formatCode="#,##0_);[Red]\(#,##0\)"/>
    <numFmt numFmtId="171" formatCode="#,##0;(#,##0)"/>
  </numFmts>
  <fonts count="6">
    <font>
      <sz val="10.0"/>
      <color rgb="FF000000"/>
      <name val="Arial"/>
      <scheme val="minor"/>
    </font>
    <font>
      <color theme="1"/>
      <name val="Arial"/>
    </font>
    <font>
      <color rgb="FF999999"/>
      <name val="Arial"/>
    </font>
    <font>
      <color rgb="FF999999"/>
      <name val="Arial"/>
      <scheme val="minor"/>
    </font>
    <font>
      <color theme="1"/>
      <name val="Arial"/>
      <scheme val="minor"/>
    </font>
    <font>
      <b/>
      <sz val="11.0"/>
      <color rgb="FF222222"/>
      <name val="&quot;Google Sans&quot;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2" fillId="0" fontId="1" numFmtId="164" xfId="0" applyAlignment="1" applyBorder="1" applyFont="1" applyNumberFormat="1">
      <alignment horizontal="right" readingOrder="0" shrinkToFit="0" vertical="bottom" wrapText="0"/>
    </xf>
    <xf borderId="3" fillId="0" fontId="1" numFmtId="0" xfId="0" applyAlignment="1" applyBorder="1" applyFont="1">
      <alignment horizontal="left"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horizontal="right" shrinkToFit="0" vertical="bottom" wrapText="0"/>
    </xf>
    <xf borderId="6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readingOrder="0" shrinkToFit="0" vertical="bottom" wrapText="0"/>
    </xf>
    <xf borderId="8" fillId="0" fontId="1" numFmtId="0" xfId="0" applyAlignment="1" applyBorder="1" applyFont="1">
      <alignment readingOrder="0" shrinkToFit="0" vertical="bottom" wrapText="0"/>
    </xf>
    <xf borderId="8" fillId="0" fontId="1" numFmtId="0" xfId="0" applyAlignment="1" applyBorder="1" applyFont="1">
      <alignment readingOrder="0" shrinkToFit="0" vertical="bottom" wrapText="0"/>
    </xf>
    <xf borderId="8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horizontal="right" shrinkToFit="0" vertical="bottom" wrapText="0"/>
    </xf>
    <xf borderId="9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horizontal="right" shrinkToFit="0" vertical="bottom" wrapText="0"/>
    </xf>
    <xf borderId="12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4" numFmtId="0" xfId="0" applyAlignment="1" applyFont="1">
      <alignment readingOrder="0"/>
    </xf>
    <xf borderId="0" fillId="0" fontId="4" numFmtId="165" xfId="0" applyFont="1" applyNumberFormat="1"/>
    <xf borderId="0" fillId="0" fontId="4" numFmtId="165" xfId="0" applyFont="1" applyNumberFormat="1"/>
    <xf borderId="0" fillId="0" fontId="4" numFmtId="166" xfId="0" applyFont="1" applyNumberFormat="1"/>
    <xf borderId="0" fillId="0" fontId="4" numFmtId="1" xfId="0" applyFont="1" applyNumberFormat="1"/>
    <xf borderId="0" fillId="0" fontId="4" numFmtId="167" xfId="0" applyFont="1" applyNumberFormat="1"/>
    <xf borderId="0" fillId="0" fontId="4" numFmtId="168" xfId="0" applyFont="1" applyNumberFormat="1"/>
    <xf borderId="0" fillId="0" fontId="4" numFmtId="169" xfId="0" applyFont="1" applyNumberFormat="1"/>
    <xf borderId="0" fillId="0" fontId="4" numFmtId="164" xfId="0" applyFont="1" applyNumberFormat="1"/>
    <xf borderId="0" fillId="0" fontId="4" numFmtId="41" xfId="0" applyFont="1" applyNumberFormat="1"/>
    <xf borderId="0" fillId="0" fontId="4" numFmtId="170" xfId="0" applyFont="1" applyNumberFormat="1"/>
    <xf borderId="0" fillId="0" fontId="4" numFmtId="171" xfId="0" applyFont="1" applyNumberFormat="1"/>
    <xf borderId="0" fillId="0" fontId="4" numFmtId="3" xfId="0" applyFont="1" applyNumberFormat="1"/>
    <xf borderId="0" fillId="0" fontId="5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4" pivot="0" name="1.1_各事業 TA 預算規劃_策略資料中心_人力時間配置-style">
      <tableStyleElement dxfId="1" type="headerRow"/>
      <tableStyleElement dxfId="2" type="firstRowStripe"/>
      <tableStyleElement dxfId="3" type="secondRowStripe"/>
      <tableStyleElement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pivotCacheDefinition" Target="pivotCache/pivotCacheDefinition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999" sheet="1.1_各事業 TA 預算規劃_策略資料中心_人力時間配置"/>
  </cacheSource>
  <cacheFields>
    <cacheField name="子公司" numFmtId="0">
      <sharedItems containsBlank="1">
        <s v="TW"/>
        <m/>
      </sharedItems>
    </cacheField>
    <cacheField name="事業單位" numFmtId="0">
      <sharedItems containsBlank="1">
        <s v="OMO"/>
        <m/>
      </sharedItems>
    </cacheField>
    <cacheField name="Si 編號" numFmtId="0">
      <sharedItems containsBlank="1">
        <s v="OrderingSi1"/>
        <s v="ReservationSi1"/>
        <m/>
      </sharedItems>
    </cacheField>
    <cacheField name="TA 編號" numFmtId="0">
      <sharedItems containsBlank="1">
        <s v="Ordering26TA4"/>
        <s v="Reservation26TA3"/>
        <m/>
      </sharedItems>
    </cacheField>
    <cacheField name="價值鏈專案預算代號" numFmtId="0">
      <sharedItems containsBlank="1">
        <s v="VC08P1"/>
        <s v="VC08P2"/>
        <m/>
      </sharedItems>
    </cacheField>
    <cacheField name="費用單位" numFmtId="0">
      <sharedItems containsBlank="1">
        <s v="執行長室 : 策略資料中心 : 策略資料中心"/>
        <m/>
      </sharedItems>
    </cacheField>
    <cacheField name="費用類型" numFmtId="0">
      <sharedItems containsBlank="1">
        <s v="人事費用"/>
        <m/>
      </sharedItems>
    </cacheField>
    <cacheField name="姓名" numFmtId="0">
      <sharedItems containsBlank="1">
        <s v="徐揚真"/>
        <s v="許書涵"/>
        <m/>
      </sharedItems>
    </cacheField>
    <cacheField name="備註" numFmtId="0">
      <sharedItems containsString="0" containsBlank="1">
        <m/>
      </sharedItems>
    </cacheField>
    <cacheField name="2026/1" numFmtId="0">
      <sharedItems containsString="0" containsBlank="1" containsNumber="1">
        <m/>
        <n v="0.3"/>
      </sharedItems>
    </cacheField>
    <cacheField name="2026/2" numFmtId="0">
      <sharedItems containsString="0" containsBlank="1" containsNumber="1">
        <m/>
        <n v="0.4"/>
      </sharedItems>
    </cacheField>
    <cacheField name="2026/3" numFmtId="0">
      <sharedItems containsString="0" containsBlank="1" containsNumber="1">
        <m/>
        <n v="0.4"/>
      </sharedItems>
    </cacheField>
    <cacheField name="2026/4" numFmtId="0">
      <sharedItems containsString="0" containsBlank="1" containsNumber="1">
        <n v="0.3"/>
        <m/>
      </sharedItems>
    </cacheField>
    <cacheField name="2026/5" numFmtId="0">
      <sharedItems containsString="0" containsBlank="1" containsNumber="1">
        <n v="0.4"/>
        <m/>
        <n v="0.3"/>
      </sharedItems>
    </cacheField>
    <cacheField name="2026/6" numFmtId="0">
      <sharedItems containsString="0" containsBlank="1" containsNumber="1">
        <n v="0.4"/>
        <m/>
        <n v="0.3"/>
      </sharedItems>
    </cacheField>
    <cacheField name="2026/7" numFmtId="0">
      <sharedItems containsString="0" containsBlank="1">
        <m/>
      </sharedItems>
    </cacheField>
    <cacheField name="2026/8" numFmtId="0">
      <sharedItems containsString="0" containsBlank="1">
        <m/>
      </sharedItems>
    </cacheField>
    <cacheField name="2026/9" numFmtId="0">
      <sharedItems containsString="0" containsBlank="1">
        <m/>
      </sharedItems>
    </cacheField>
    <cacheField name="2026/10" numFmtId="0">
      <sharedItems containsString="0" containsBlank="1">
        <m/>
      </sharedItems>
    </cacheField>
    <cacheField name="2026/11" numFmtId="0">
      <sharedItems containsString="0" containsBlank="1">
        <m/>
      </sharedItems>
    </cacheField>
    <cacheField name="2026/12" numFmtId="0">
      <sharedItems containsString="0" containsBlank="1">
        <m/>
      </sharedItems>
    </cacheField>
    <cacheField name="2026 year" numFmtId="0">
      <sharedItems containsString="0" containsBlank="1" containsNumber="1">
        <n v="1.1"/>
        <m/>
        <n v="0.0"/>
      </sharedItems>
    </cacheField>
    <cacheField name="Column 1" numFmtId="0">
      <sharedItems containsString="0" containsBlank="1">
        <m/>
      </sharedItems>
    </cacheField>
    <cacheField name="Column 2" numFmtId="0">
      <sharedItems containsString="0" containsBlank="1">
        <m/>
      </sharedItems>
    </cacheField>
    <cacheField name="Column 3" numFmtId="0">
      <sharedItems containsString="0" containsBlank="1">
        <m/>
      </sharedItems>
    </cacheField>
    <cacheField name="Column 4" numFmtId="0">
      <sharedItems containsString="0" containsBlank="1">
        <m/>
      </sharedItems>
    </cacheField>
    <cacheField name="Column 5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人事比例樞紐" cacheId="0" dataCaption="" compact="0" compactData="0">
  <location ref="A1:N5" firstHeaderRow="0" firstDataRow="2" firstDataCol="0"/>
  <pivotFields>
    <pivotField name="子公司" compact="0" outline="0" multipleItemSelectionAllowed="1" showAll="0">
      <items>
        <item x="0"/>
        <item x="1"/>
        <item t="default"/>
      </items>
    </pivotField>
    <pivotField name="事業單位" compact="0" outline="0" multipleItemSelectionAllowed="1" showAll="0">
      <items>
        <item x="0"/>
        <item x="1"/>
        <item t="default"/>
      </items>
    </pivotField>
    <pivotField name="Si 編號" compact="0" outline="0" multipleItemSelectionAllowed="1" showAll="0">
      <items>
        <item x="0"/>
        <item x="1"/>
        <item x="2"/>
        <item t="default"/>
      </items>
    </pivotField>
    <pivotField name="TA 編號" compact="0" outline="0" multipleItemSelectionAllowed="1" showAll="0">
      <items>
        <item x="0"/>
        <item x="1"/>
        <item x="2"/>
        <item t="default"/>
      </items>
    </pivotField>
    <pivotField name="價值鏈專案預算代號" compact="0" outline="0" multipleItemSelectionAllowed="1" showAll="0">
      <items>
        <item x="0"/>
        <item x="1"/>
        <item x="2"/>
        <item t="default"/>
      </items>
    </pivotField>
    <pivotField name="費用單位" compact="0" outline="0" multipleItemSelectionAllowed="1" showAll="0">
      <items>
        <item x="0"/>
        <item x="1"/>
        <item t="default"/>
      </items>
    </pivotField>
    <pivotField name="費用類型" compact="0" outline="0" multipleItemSelectionAllowed="1" showAll="0">
      <items>
        <item x="0"/>
        <item x="1"/>
        <item t="default"/>
      </items>
    </pivotField>
    <pivotField name="姓名" axis="axisRow" compact="0" outline="0" multipleItemSelectionAllowed="1" showAll="0" sortType="ascending">
      <items>
        <item x="2"/>
        <item x="0"/>
        <item x="1"/>
        <item t="default"/>
      </items>
    </pivotField>
    <pivotField name="備註" compact="0" outline="0" multipleItemSelectionAllowed="1" showAll="0">
      <items>
        <item x="0"/>
        <item t="default"/>
      </items>
    </pivotField>
    <pivotField name="2026/1" dataField="1" compact="0" outline="0" multipleItemSelectionAllowed="1" showAll="0">
      <items>
        <item x="0"/>
        <item x="1"/>
        <item t="default"/>
      </items>
    </pivotField>
    <pivotField name="2026/2" dataField="1" compact="0" outline="0" multipleItemSelectionAllowed="1" showAll="0">
      <items>
        <item x="0"/>
        <item x="1"/>
        <item t="default"/>
      </items>
    </pivotField>
    <pivotField name="2026/3" dataField="1" compact="0" outline="0" multipleItemSelectionAllowed="1" showAll="0">
      <items>
        <item x="0"/>
        <item x="1"/>
        <item t="default"/>
      </items>
    </pivotField>
    <pivotField name="2026/4" dataField="1" compact="0" outline="0" multipleItemSelectionAllowed="1" showAll="0">
      <items>
        <item x="0"/>
        <item x="1"/>
        <item t="default"/>
      </items>
    </pivotField>
    <pivotField name="2026/5" dataField="1" compact="0" outline="0" multipleItemSelectionAllowed="1" showAll="0">
      <items>
        <item x="0"/>
        <item x="1"/>
        <item x="2"/>
        <item t="default"/>
      </items>
    </pivotField>
    <pivotField name="2026/6" dataField="1" compact="0" outline="0" multipleItemSelectionAllowed="1" showAll="0">
      <items>
        <item x="0"/>
        <item x="1"/>
        <item x="2"/>
        <item t="default"/>
      </items>
    </pivotField>
    <pivotField name="2026/7" dataField="1" compact="0" outline="0" multipleItemSelectionAllowed="1" showAll="0">
      <items>
        <item x="0"/>
        <item t="default"/>
      </items>
    </pivotField>
    <pivotField name="2026/8" dataField="1" compact="0" outline="0" multipleItemSelectionAllowed="1" showAll="0">
      <items>
        <item x="0"/>
        <item t="default"/>
      </items>
    </pivotField>
    <pivotField name="2026/9" dataField="1" compact="0" outline="0" multipleItemSelectionAllowed="1" showAll="0">
      <items>
        <item x="0"/>
        <item t="default"/>
      </items>
    </pivotField>
    <pivotField name="2026/10" dataField="1" compact="0" outline="0" multipleItemSelectionAllowed="1" showAll="0">
      <items>
        <item x="0"/>
        <item t="default"/>
      </items>
    </pivotField>
    <pivotField name="2026/11" dataField="1" compact="0" outline="0" multipleItemSelectionAllowed="1" showAll="0">
      <items>
        <item x="0"/>
        <item t="default"/>
      </items>
    </pivotField>
    <pivotField name="2026/12" dataField="1" compact="0" outline="0" multipleItemSelectionAllowed="1" showAll="0">
      <items>
        <item x="0"/>
        <item t="default"/>
      </items>
    </pivotField>
    <pivotField name="2026 year" dataField="1" compact="0" outline="0" multipleItemSelectionAllowed="1" showAll="0">
      <items>
        <item x="0"/>
        <item x="1"/>
        <item x="2"/>
        <item t="default"/>
      </items>
    </pivotField>
    <pivotField name="Column 1" compact="0" outline="0" multipleItemSelectionAllowed="1" showAll="0">
      <items>
        <item x="0"/>
        <item t="default"/>
      </items>
    </pivotField>
    <pivotField name="Column 2" compact="0" outline="0" multipleItemSelectionAllowed="1" showAll="0">
      <items>
        <item x="0"/>
        <item t="default"/>
      </items>
    </pivotField>
    <pivotField name="Column 3" compact="0" outline="0" multipleItemSelectionAllowed="1" showAll="0">
      <items>
        <item x="0"/>
        <item t="default"/>
      </items>
    </pivotField>
    <pivotField name="Column 4" compact="0" outline="0" multipleItemSelectionAllowed="1" showAll="0">
      <items>
        <item x="0"/>
        <item t="default"/>
      </items>
    </pivotField>
    <pivotField name="Column 5" compact="0" outline="0" multipleItemSelectionAllowed="1" showAll="0">
      <items>
        <item x="0"/>
        <item t="default"/>
      </items>
    </pivotField>
  </pivotFields>
  <rowFields>
    <field x="7"/>
  </rowFields>
  <colFields>
    <field x="-2"/>
  </colFields>
  <dataFields>
    <dataField name="SUM of 2026/1" fld="9" baseField="0"/>
    <dataField name="SUM of 2026/2" fld="10" baseField="0"/>
    <dataField name="SUM of 2026/3" fld="11" baseField="0"/>
    <dataField name="SUM of 2026/4" fld="12" baseField="0"/>
    <dataField name="SUM of 2026/5" fld="13" baseField="0"/>
    <dataField name="SUM of 2026/6" fld="14" baseField="0"/>
    <dataField name="SUM of 2026/7" fld="15" baseField="0"/>
    <dataField name="SUM of 2026/8" fld="16" baseField="0"/>
    <dataField name="SUM of 2026/9" fld="17" baseField="0"/>
    <dataField name="SUM of 2026/10" fld="18" baseField="0"/>
    <dataField name="SUM of 2026/11" fld="19" baseField="0"/>
    <dataField name="SUM of 2026/12" fld="20" baseField="0"/>
    <dataField name="SUM of 2026 year" fld="21" baseField="0"/>
  </dataFields>
</pivotTableDefinition>
</file>

<file path=xl/tables/table1.xml><?xml version="1.0" encoding="utf-8"?>
<table xmlns="http://schemas.openxmlformats.org/spreadsheetml/2006/main" ref="A1:AA999" displayName="Table1" name="Table1" id="1">
  <tableColumns count="27">
    <tableColumn name="子公司" id="1"/>
    <tableColumn name="事業單位" id="2"/>
    <tableColumn name="Si 編號" id="3"/>
    <tableColumn name="TA 編號" id="4"/>
    <tableColumn name="價值鏈專案預算代號" id="5"/>
    <tableColumn name="費用單位" id="6"/>
    <tableColumn name="費用類型" id="7"/>
    <tableColumn name="姓名" id="8"/>
    <tableColumn name="備註" id="9"/>
    <tableColumn name="2026/1" id="10"/>
    <tableColumn name="2026/2" id="11"/>
    <tableColumn name="2026/3" id="12"/>
    <tableColumn name="2026/4" id="13"/>
    <tableColumn name="2026/5" id="14"/>
    <tableColumn name="2026/6" id="15"/>
    <tableColumn name="2026/7" id="16"/>
    <tableColumn name="2026/8" id="17"/>
    <tableColumn name="2026/9" id="18"/>
    <tableColumn name="2026/10" id="19"/>
    <tableColumn name="2026/11" id="20"/>
    <tableColumn name="2026/12" id="21"/>
    <tableColumn name="2026 year" id="22"/>
    <tableColumn name="Column 1" id="23"/>
    <tableColumn name="Column 2" id="24"/>
    <tableColumn name="Column 3" id="25"/>
    <tableColumn name="Column 4" id="26"/>
    <tableColumn name="Column 5" id="27"/>
  </tableColumns>
  <tableStyleInfo name="1.1_各事業 TA 預算規劃_策略資料中心_人力時間配置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5" max="5" width="16.0"/>
    <col customWidth="1" min="6" max="6" width="14.0"/>
    <col customWidth="1" min="7" max="7" width="13.13"/>
    <col customWidth="1" min="8" max="9" width="15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</row>
    <row r="2">
      <c r="A2" s="6" t="s">
        <v>27</v>
      </c>
      <c r="B2" s="7" t="s">
        <v>28</v>
      </c>
      <c r="C2" s="7" t="s">
        <v>29</v>
      </c>
      <c r="D2" s="7" t="s">
        <v>30</v>
      </c>
      <c r="E2" s="7" t="s">
        <v>31</v>
      </c>
      <c r="F2" s="7" t="s">
        <v>32</v>
      </c>
      <c r="G2" s="7" t="s">
        <v>33</v>
      </c>
      <c r="H2" s="8" t="s">
        <v>34</v>
      </c>
      <c r="I2" s="9"/>
      <c r="J2" s="8"/>
      <c r="K2" s="9"/>
      <c r="L2" s="9"/>
      <c r="M2" s="8">
        <v>0.3</v>
      </c>
      <c r="N2" s="8">
        <v>0.4</v>
      </c>
      <c r="O2" s="8">
        <v>0.4</v>
      </c>
      <c r="P2" s="9"/>
      <c r="Q2" s="9"/>
      <c r="R2" s="9"/>
      <c r="S2" s="9"/>
      <c r="T2" s="9"/>
      <c r="U2" s="9"/>
      <c r="V2" s="10">
        <f t="shared" ref="V2:V3" si="1">SUM(B2:U2)</f>
        <v>1.1</v>
      </c>
      <c r="W2" s="9"/>
      <c r="X2" s="9"/>
      <c r="Y2" s="9"/>
      <c r="Z2" s="9"/>
      <c r="AA2" s="11"/>
    </row>
    <row r="3">
      <c r="A3" s="12" t="s">
        <v>27</v>
      </c>
      <c r="B3" s="13" t="s">
        <v>28</v>
      </c>
      <c r="C3" s="13" t="s">
        <v>35</v>
      </c>
      <c r="D3" s="13" t="s">
        <v>36</v>
      </c>
      <c r="E3" s="13" t="s">
        <v>31</v>
      </c>
      <c r="F3" s="13" t="s">
        <v>32</v>
      </c>
      <c r="G3" s="13" t="s">
        <v>33</v>
      </c>
      <c r="H3" s="14" t="s">
        <v>34</v>
      </c>
      <c r="I3" s="15"/>
      <c r="J3" s="14">
        <v>0.3</v>
      </c>
      <c r="K3" s="14">
        <v>0.4</v>
      </c>
      <c r="L3" s="14">
        <v>0.4</v>
      </c>
      <c r="M3" s="15"/>
      <c r="N3" s="15"/>
      <c r="O3" s="15"/>
      <c r="P3" s="15"/>
      <c r="Q3" s="15"/>
      <c r="R3" s="15"/>
      <c r="S3" s="15"/>
      <c r="T3" s="15"/>
      <c r="U3" s="15"/>
      <c r="V3" s="16">
        <f t="shared" si="1"/>
        <v>1.1</v>
      </c>
      <c r="W3" s="15"/>
      <c r="X3" s="15"/>
      <c r="Y3" s="15"/>
      <c r="Z3" s="15"/>
      <c r="AA3" s="17"/>
    </row>
    <row r="4">
      <c r="A4" s="6" t="s">
        <v>27</v>
      </c>
      <c r="B4" s="7" t="s">
        <v>28</v>
      </c>
      <c r="C4" s="7" t="s">
        <v>29</v>
      </c>
      <c r="D4" s="7" t="s">
        <v>30</v>
      </c>
      <c r="E4" s="7" t="s">
        <v>31</v>
      </c>
      <c r="F4" s="7" t="s">
        <v>32</v>
      </c>
      <c r="G4" s="7" t="s">
        <v>33</v>
      </c>
      <c r="H4" s="8" t="s">
        <v>37</v>
      </c>
      <c r="I4" s="9"/>
      <c r="J4" s="8"/>
      <c r="K4" s="8"/>
      <c r="L4" s="8"/>
      <c r="M4" s="9"/>
      <c r="N4" s="8">
        <v>0.3</v>
      </c>
      <c r="O4" s="8">
        <v>0.3</v>
      </c>
      <c r="P4" s="9"/>
      <c r="Q4" s="9"/>
      <c r="R4" s="9"/>
      <c r="S4" s="9"/>
      <c r="T4" s="9"/>
      <c r="U4" s="9"/>
      <c r="V4" s="10"/>
      <c r="W4" s="9"/>
      <c r="X4" s="9"/>
      <c r="Y4" s="9"/>
      <c r="Z4" s="9"/>
      <c r="AA4" s="11"/>
    </row>
    <row r="5">
      <c r="A5" s="12" t="s">
        <v>27</v>
      </c>
      <c r="B5" s="13" t="s">
        <v>28</v>
      </c>
      <c r="C5" s="13" t="s">
        <v>35</v>
      </c>
      <c r="D5" s="13" t="s">
        <v>36</v>
      </c>
      <c r="E5" s="13" t="s">
        <v>38</v>
      </c>
      <c r="F5" s="13" t="s">
        <v>32</v>
      </c>
      <c r="G5" s="13" t="s">
        <v>33</v>
      </c>
      <c r="H5" s="14" t="s">
        <v>37</v>
      </c>
      <c r="I5" s="15"/>
      <c r="J5" s="14">
        <v>0.3</v>
      </c>
      <c r="K5" s="14">
        <v>0.4</v>
      </c>
      <c r="L5" s="14">
        <v>0.4</v>
      </c>
      <c r="M5" s="15"/>
      <c r="N5" s="15"/>
      <c r="O5" s="15"/>
      <c r="P5" s="15"/>
      <c r="Q5" s="15"/>
      <c r="R5" s="15"/>
      <c r="S5" s="15"/>
      <c r="T5" s="15"/>
      <c r="U5" s="15"/>
      <c r="V5" s="16">
        <f t="shared" ref="V5:V999" si="2">SUM(B5:U5)</f>
        <v>1.1</v>
      </c>
      <c r="W5" s="15"/>
      <c r="X5" s="15"/>
      <c r="Y5" s="15"/>
      <c r="Z5" s="15"/>
      <c r="AA5" s="17"/>
    </row>
    <row r="6">
      <c r="A6" s="6"/>
      <c r="B6" s="7"/>
      <c r="C6" s="18"/>
      <c r="D6" s="18"/>
      <c r="E6" s="18"/>
      <c r="F6" s="18"/>
      <c r="G6" s="18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>
        <f t="shared" si="2"/>
        <v>0</v>
      </c>
      <c r="W6" s="9"/>
      <c r="X6" s="9"/>
      <c r="Y6" s="9"/>
      <c r="Z6" s="9"/>
      <c r="AA6" s="11"/>
    </row>
    <row r="7">
      <c r="A7" s="19"/>
      <c r="B7" s="20"/>
      <c r="C7" s="20"/>
      <c r="D7" s="20"/>
      <c r="E7" s="20"/>
      <c r="F7" s="20"/>
      <c r="G7" s="20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6">
        <f t="shared" si="2"/>
        <v>0</v>
      </c>
      <c r="W7" s="15"/>
      <c r="X7" s="15"/>
      <c r="Y7" s="15"/>
      <c r="Z7" s="15"/>
      <c r="AA7" s="17"/>
    </row>
    <row r="8">
      <c r="A8" s="21"/>
      <c r="B8" s="18"/>
      <c r="C8" s="18"/>
      <c r="D8" s="18"/>
      <c r="E8" s="18"/>
      <c r="F8" s="18"/>
      <c r="G8" s="18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10">
        <f t="shared" si="2"/>
        <v>0</v>
      </c>
      <c r="W8" s="9"/>
      <c r="X8" s="9"/>
      <c r="Y8" s="9"/>
      <c r="Z8" s="9"/>
      <c r="AA8" s="11"/>
    </row>
    <row r="9">
      <c r="A9" s="19"/>
      <c r="B9" s="20"/>
      <c r="C9" s="20"/>
      <c r="D9" s="20"/>
      <c r="E9" s="20"/>
      <c r="F9" s="20"/>
      <c r="G9" s="20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6">
        <f t="shared" si="2"/>
        <v>0</v>
      </c>
      <c r="W9" s="15"/>
      <c r="X9" s="15"/>
      <c r="Y9" s="15"/>
      <c r="Z9" s="15"/>
      <c r="AA9" s="17"/>
    </row>
    <row r="10">
      <c r="A10" s="21"/>
      <c r="B10" s="18"/>
      <c r="C10" s="18"/>
      <c r="D10" s="18"/>
      <c r="E10" s="18"/>
      <c r="F10" s="18"/>
      <c r="G10" s="1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10">
        <f t="shared" si="2"/>
        <v>0</v>
      </c>
      <c r="W10" s="9"/>
      <c r="X10" s="9"/>
      <c r="Y10" s="9"/>
      <c r="Z10" s="9"/>
      <c r="AA10" s="11"/>
    </row>
    <row r="11">
      <c r="A11" s="19"/>
      <c r="B11" s="20"/>
      <c r="C11" s="20"/>
      <c r="D11" s="20"/>
      <c r="E11" s="20"/>
      <c r="F11" s="20"/>
      <c r="G11" s="20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6">
        <f t="shared" si="2"/>
        <v>0</v>
      </c>
      <c r="W11" s="15"/>
      <c r="X11" s="15"/>
      <c r="Y11" s="15"/>
      <c r="Z11" s="15"/>
      <c r="AA11" s="17"/>
    </row>
    <row r="12">
      <c r="A12" s="21"/>
      <c r="B12" s="18"/>
      <c r="C12" s="18"/>
      <c r="D12" s="18"/>
      <c r="E12" s="18"/>
      <c r="F12" s="18"/>
      <c r="G12" s="18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10">
        <f t="shared" si="2"/>
        <v>0</v>
      </c>
      <c r="W12" s="9"/>
      <c r="X12" s="9"/>
      <c r="Y12" s="9"/>
      <c r="Z12" s="9"/>
      <c r="AA12" s="11"/>
    </row>
    <row r="13">
      <c r="A13" s="19"/>
      <c r="B13" s="20"/>
      <c r="C13" s="20"/>
      <c r="D13" s="20"/>
      <c r="E13" s="20"/>
      <c r="F13" s="20"/>
      <c r="G13" s="20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6">
        <f t="shared" si="2"/>
        <v>0</v>
      </c>
      <c r="W13" s="15"/>
      <c r="X13" s="15"/>
      <c r="Y13" s="15"/>
      <c r="Z13" s="15"/>
      <c r="AA13" s="17"/>
    </row>
    <row r="14">
      <c r="A14" s="21"/>
      <c r="B14" s="18"/>
      <c r="C14" s="18"/>
      <c r="D14" s="18"/>
      <c r="E14" s="18"/>
      <c r="F14" s="18"/>
      <c r="G14" s="18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10">
        <f t="shared" si="2"/>
        <v>0</v>
      </c>
      <c r="W14" s="9"/>
      <c r="X14" s="9"/>
      <c r="Y14" s="9"/>
      <c r="Z14" s="9"/>
      <c r="AA14" s="11"/>
    </row>
    <row r="15">
      <c r="A15" s="19"/>
      <c r="B15" s="20"/>
      <c r="C15" s="20"/>
      <c r="D15" s="20"/>
      <c r="E15" s="20"/>
      <c r="F15" s="20"/>
      <c r="G15" s="20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6">
        <f t="shared" si="2"/>
        <v>0</v>
      </c>
      <c r="W15" s="15"/>
      <c r="X15" s="15"/>
      <c r="Y15" s="15"/>
      <c r="Z15" s="15"/>
      <c r="AA15" s="17"/>
    </row>
    <row r="16">
      <c r="A16" s="21"/>
      <c r="B16" s="18"/>
      <c r="C16" s="18"/>
      <c r="D16" s="18"/>
      <c r="E16" s="18"/>
      <c r="F16" s="18"/>
      <c r="G16" s="18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10">
        <f t="shared" si="2"/>
        <v>0</v>
      </c>
      <c r="W16" s="9"/>
      <c r="X16" s="9"/>
      <c r="Y16" s="9"/>
      <c r="Z16" s="9"/>
      <c r="AA16" s="11"/>
    </row>
    <row r="17">
      <c r="A17" s="19"/>
      <c r="B17" s="20"/>
      <c r="C17" s="20"/>
      <c r="D17" s="20"/>
      <c r="E17" s="20"/>
      <c r="F17" s="20"/>
      <c r="G17" s="20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6">
        <f t="shared" si="2"/>
        <v>0</v>
      </c>
      <c r="W17" s="15"/>
      <c r="X17" s="15"/>
      <c r="Y17" s="15"/>
      <c r="Z17" s="15"/>
      <c r="AA17" s="17"/>
    </row>
    <row r="18">
      <c r="A18" s="21"/>
      <c r="B18" s="18"/>
      <c r="C18" s="18"/>
      <c r="D18" s="18"/>
      <c r="E18" s="18"/>
      <c r="F18" s="18"/>
      <c r="G18" s="18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10">
        <f t="shared" si="2"/>
        <v>0</v>
      </c>
      <c r="W18" s="9"/>
      <c r="X18" s="9"/>
      <c r="Y18" s="9"/>
      <c r="Z18" s="9"/>
      <c r="AA18" s="11"/>
    </row>
    <row r="19">
      <c r="A19" s="19"/>
      <c r="B19" s="20"/>
      <c r="C19" s="20"/>
      <c r="D19" s="20"/>
      <c r="E19" s="20"/>
      <c r="F19" s="20"/>
      <c r="G19" s="20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6">
        <f t="shared" si="2"/>
        <v>0</v>
      </c>
      <c r="W19" s="15"/>
      <c r="X19" s="15"/>
      <c r="Y19" s="15"/>
      <c r="Z19" s="15"/>
      <c r="AA19" s="17"/>
    </row>
    <row r="20">
      <c r="A20" s="21"/>
      <c r="B20" s="18"/>
      <c r="C20" s="18"/>
      <c r="D20" s="18"/>
      <c r="E20" s="18"/>
      <c r="F20" s="18"/>
      <c r="G20" s="18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10">
        <f t="shared" si="2"/>
        <v>0</v>
      </c>
      <c r="W20" s="9"/>
      <c r="X20" s="9"/>
      <c r="Y20" s="9"/>
      <c r="Z20" s="9"/>
      <c r="AA20" s="11"/>
    </row>
    <row r="21">
      <c r="A21" s="19"/>
      <c r="B21" s="20"/>
      <c r="C21" s="20"/>
      <c r="D21" s="20"/>
      <c r="E21" s="20"/>
      <c r="F21" s="20"/>
      <c r="G21" s="20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6">
        <f t="shared" si="2"/>
        <v>0</v>
      </c>
      <c r="W21" s="15"/>
      <c r="X21" s="15"/>
      <c r="Y21" s="15"/>
      <c r="Z21" s="15"/>
      <c r="AA21" s="17"/>
    </row>
    <row r="22">
      <c r="A22" s="21"/>
      <c r="B22" s="18"/>
      <c r="C22" s="18"/>
      <c r="D22" s="18"/>
      <c r="E22" s="18"/>
      <c r="F22" s="18"/>
      <c r="G22" s="18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10">
        <f t="shared" si="2"/>
        <v>0</v>
      </c>
      <c r="W22" s="9"/>
      <c r="X22" s="9"/>
      <c r="Y22" s="9"/>
      <c r="Z22" s="9"/>
      <c r="AA22" s="11"/>
    </row>
    <row r="23">
      <c r="A23" s="19"/>
      <c r="B23" s="20"/>
      <c r="C23" s="20"/>
      <c r="D23" s="20"/>
      <c r="E23" s="20"/>
      <c r="F23" s="20"/>
      <c r="G23" s="20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6">
        <f t="shared" si="2"/>
        <v>0</v>
      </c>
      <c r="W23" s="15"/>
      <c r="X23" s="15"/>
      <c r="Y23" s="15"/>
      <c r="Z23" s="15"/>
      <c r="AA23" s="17"/>
    </row>
    <row r="24">
      <c r="A24" s="21"/>
      <c r="B24" s="18"/>
      <c r="C24" s="18"/>
      <c r="D24" s="18"/>
      <c r="E24" s="18"/>
      <c r="F24" s="18"/>
      <c r="G24" s="18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10">
        <f t="shared" si="2"/>
        <v>0</v>
      </c>
      <c r="W24" s="9"/>
      <c r="X24" s="9"/>
      <c r="Y24" s="9"/>
      <c r="Z24" s="9"/>
      <c r="AA24" s="11"/>
    </row>
    <row r="25">
      <c r="A25" s="19"/>
      <c r="B25" s="20"/>
      <c r="C25" s="20"/>
      <c r="D25" s="20"/>
      <c r="E25" s="20"/>
      <c r="F25" s="20"/>
      <c r="G25" s="20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6">
        <f t="shared" si="2"/>
        <v>0</v>
      </c>
      <c r="W25" s="15"/>
      <c r="X25" s="15"/>
      <c r="Y25" s="15"/>
      <c r="Z25" s="15"/>
      <c r="AA25" s="17"/>
    </row>
    <row r="26">
      <c r="A26" s="21"/>
      <c r="B26" s="18"/>
      <c r="C26" s="18"/>
      <c r="D26" s="18"/>
      <c r="E26" s="18"/>
      <c r="F26" s="18"/>
      <c r="G26" s="18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10">
        <f t="shared" si="2"/>
        <v>0</v>
      </c>
      <c r="W26" s="9"/>
      <c r="X26" s="9"/>
      <c r="Y26" s="9"/>
      <c r="Z26" s="9"/>
      <c r="AA26" s="11"/>
    </row>
    <row r="27">
      <c r="A27" s="19"/>
      <c r="B27" s="20"/>
      <c r="C27" s="20"/>
      <c r="D27" s="20"/>
      <c r="E27" s="20"/>
      <c r="F27" s="20"/>
      <c r="G27" s="20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6">
        <f t="shared" si="2"/>
        <v>0</v>
      </c>
      <c r="W27" s="15"/>
      <c r="X27" s="15"/>
      <c r="Y27" s="15"/>
      <c r="Z27" s="15"/>
      <c r="AA27" s="17"/>
    </row>
    <row r="28">
      <c r="A28" s="21"/>
      <c r="B28" s="18"/>
      <c r="C28" s="18"/>
      <c r="D28" s="18"/>
      <c r="E28" s="18"/>
      <c r="F28" s="18"/>
      <c r="G28" s="18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10">
        <f t="shared" si="2"/>
        <v>0</v>
      </c>
      <c r="W28" s="9"/>
      <c r="X28" s="9"/>
      <c r="Y28" s="9"/>
      <c r="Z28" s="9"/>
      <c r="AA28" s="11"/>
    </row>
    <row r="29">
      <c r="A29" s="19"/>
      <c r="B29" s="20"/>
      <c r="C29" s="20"/>
      <c r="D29" s="20"/>
      <c r="E29" s="20"/>
      <c r="F29" s="20"/>
      <c r="G29" s="20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6">
        <f t="shared" si="2"/>
        <v>0</v>
      </c>
      <c r="W29" s="15"/>
      <c r="X29" s="15"/>
      <c r="Y29" s="15"/>
      <c r="Z29" s="15"/>
      <c r="AA29" s="17"/>
    </row>
    <row r="30">
      <c r="A30" s="21"/>
      <c r="B30" s="18"/>
      <c r="C30" s="18"/>
      <c r="D30" s="18"/>
      <c r="E30" s="18"/>
      <c r="F30" s="18"/>
      <c r="G30" s="18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10">
        <f t="shared" si="2"/>
        <v>0</v>
      </c>
      <c r="W30" s="9"/>
      <c r="X30" s="9"/>
      <c r="Y30" s="9"/>
      <c r="Z30" s="9"/>
      <c r="AA30" s="11"/>
    </row>
    <row r="31">
      <c r="A31" s="19"/>
      <c r="B31" s="20"/>
      <c r="C31" s="20"/>
      <c r="D31" s="20"/>
      <c r="E31" s="20"/>
      <c r="F31" s="20"/>
      <c r="G31" s="20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6">
        <f t="shared" si="2"/>
        <v>0</v>
      </c>
      <c r="W31" s="15"/>
      <c r="X31" s="15"/>
      <c r="Y31" s="15"/>
      <c r="Z31" s="15"/>
      <c r="AA31" s="17"/>
    </row>
    <row r="32">
      <c r="A32" s="21"/>
      <c r="B32" s="18"/>
      <c r="C32" s="18"/>
      <c r="D32" s="18"/>
      <c r="E32" s="18"/>
      <c r="F32" s="18"/>
      <c r="G32" s="18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0">
        <f t="shared" si="2"/>
        <v>0</v>
      </c>
      <c r="W32" s="9"/>
      <c r="X32" s="9"/>
      <c r="Y32" s="9"/>
      <c r="Z32" s="9"/>
      <c r="AA32" s="11"/>
    </row>
    <row r="33">
      <c r="A33" s="19"/>
      <c r="B33" s="20"/>
      <c r="C33" s="20"/>
      <c r="D33" s="20"/>
      <c r="E33" s="20"/>
      <c r="F33" s="20"/>
      <c r="G33" s="20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6">
        <f t="shared" si="2"/>
        <v>0</v>
      </c>
      <c r="W33" s="15"/>
      <c r="X33" s="15"/>
      <c r="Y33" s="15"/>
      <c r="Z33" s="15"/>
      <c r="AA33" s="17"/>
    </row>
    <row r="34">
      <c r="A34" s="21"/>
      <c r="B34" s="18"/>
      <c r="C34" s="18"/>
      <c r="D34" s="18"/>
      <c r="E34" s="18"/>
      <c r="F34" s="18"/>
      <c r="G34" s="18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0">
        <f t="shared" si="2"/>
        <v>0</v>
      </c>
      <c r="W34" s="9"/>
      <c r="X34" s="9"/>
      <c r="Y34" s="9"/>
      <c r="Z34" s="9"/>
      <c r="AA34" s="11"/>
    </row>
    <row r="35">
      <c r="A35" s="19"/>
      <c r="B35" s="20"/>
      <c r="C35" s="20"/>
      <c r="D35" s="20"/>
      <c r="E35" s="20"/>
      <c r="F35" s="20"/>
      <c r="G35" s="20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6">
        <f t="shared" si="2"/>
        <v>0</v>
      </c>
      <c r="W35" s="15"/>
      <c r="X35" s="15"/>
      <c r="Y35" s="15"/>
      <c r="Z35" s="15"/>
      <c r="AA35" s="17"/>
    </row>
    <row r="36">
      <c r="A36" s="21"/>
      <c r="B36" s="18"/>
      <c r="C36" s="18"/>
      <c r="D36" s="18"/>
      <c r="E36" s="18"/>
      <c r="F36" s="18"/>
      <c r="G36" s="18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0">
        <f t="shared" si="2"/>
        <v>0</v>
      </c>
      <c r="W36" s="9"/>
      <c r="X36" s="9"/>
      <c r="Y36" s="9"/>
      <c r="Z36" s="9"/>
      <c r="AA36" s="11"/>
    </row>
    <row r="37">
      <c r="A37" s="19"/>
      <c r="B37" s="20"/>
      <c r="C37" s="20"/>
      <c r="D37" s="20"/>
      <c r="E37" s="20"/>
      <c r="F37" s="20"/>
      <c r="G37" s="20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6">
        <f t="shared" si="2"/>
        <v>0</v>
      </c>
      <c r="W37" s="15"/>
      <c r="X37" s="15"/>
      <c r="Y37" s="15"/>
      <c r="Z37" s="15"/>
      <c r="AA37" s="17"/>
    </row>
    <row r="38">
      <c r="A38" s="21"/>
      <c r="B38" s="18"/>
      <c r="C38" s="18"/>
      <c r="D38" s="18"/>
      <c r="E38" s="18"/>
      <c r="F38" s="18"/>
      <c r="G38" s="18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10">
        <f t="shared" si="2"/>
        <v>0</v>
      </c>
      <c r="W38" s="9"/>
      <c r="X38" s="9"/>
      <c r="Y38" s="9"/>
      <c r="Z38" s="9"/>
      <c r="AA38" s="11"/>
    </row>
    <row r="39">
      <c r="A39" s="19"/>
      <c r="B39" s="20"/>
      <c r="C39" s="20"/>
      <c r="D39" s="20"/>
      <c r="E39" s="20"/>
      <c r="F39" s="20"/>
      <c r="G39" s="20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6">
        <f t="shared" si="2"/>
        <v>0</v>
      </c>
      <c r="W39" s="15"/>
      <c r="X39" s="15"/>
      <c r="Y39" s="15"/>
      <c r="Z39" s="15"/>
      <c r="AA39" s="17"/>
    </row>
    <row r="40">
      <c r="A40" s="21"/>
      <c r="B40" s="18"/>
      <c r="C40" s="18"/>
      <c r="D40" s="18"/>
      <c r="E40" s="18"/>
      <c r="F40" s="18"/>
      <c r="G40" s="18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10">
        <f t="shared" si="2"/>
        <v>0</v>
      </c>
      <c r="W40" s="9"/>
      <c r="X40" s="9"/>
      <c r="Y40" s="9"/>
      <c r="Z40" s="9"/>
      <c r="AA40" s="11"/>
    </row>
    <row r="41">
      <c r="A41" s="19"/>
      <c r="B41" s="20"/>
      <c r="C41" s="20"/>
      <c r="D41" s="20"/>
      <c r="E41" s="20"/>
      <c r="F41" s="20"/>
      <c r="G41" s="20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6">
        <f t="shared" si="2"/>
        <v>0</v>
      </c>
      <c r="W41" s="15"/>
      <c r="X41" s="15"/>
      <c r="Y41" s="15"/>
      <c r="Z41" s="15"/>
      <c r="AA41" s="17"/>
    </row>
    <row r="42">
      <c r="A42" s="21"/>
      <c r="B42" s="18"/>
      <c r="C42" s="18"/>
      <c r="D42" s="18"/>
      <c r="E42" s="18"/>
      <c r="F42" s="18"/>
      <c r="G42" s="18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10">
        <f t="shared" si="2"/>
        <v>0</v>
      </c>
      <c r="W42" s="9"/>
      <c r="X42" s="9"/>
      <c r="Y42" s="9"/>
      <c r="Z42" s="9"/>
      <c r="AA42" s="11"/>
    </row>
    <row r="43">
      <c r="A43" s="19"/>
      <c r="B43" s="20"/>
      <c r="C43" s="20"/>
      <c r="D43" s="20"/>
      <c r="E43" s="20"/>
      <c r="F43" s="20"/>
      <c r="G43" s="20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6">
        <f t="shared" si="2"/>
        <v>0</v>
      </c>
      <c r="W43" s="15"/>
      <c r="X43" s="15"/>
      <c r="Y43" s="15"/>
      <c r="Z43" s="15"/>
      <c r="AA43" s="17"/>
    </row>
    <row r="44">
      <c r="A44" s="21"/>
      <c r="B44" s="18"/>
      <c r="C44" s="18"/>
      <c r="D44" s="18"/>
      <c r="E44" s="18"/>
      <c r="F44" s="18"/>
      <c r="G44" s="18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10">
        <f t="shared" si="2"/>
        <v>0</v>
      </c>
      <c r="W44" s="9"/>
      <c r="X44" s="9"/>
      <c r="Y44" s="9"/>
      <c r="Z44" s="9"/>
      <c r="AA44" s="11"/>
    </row>
    <row r="45">
      <c r="A45" s="19"/>
      <c r="B45" s="20"/>
      <c r="C45" s="20"/>
      <c r="D45" s="20"/>
      <c r="E45" s="20"/>
      <c r="F45" s="20"/>
      <c r="G45" s="20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6">
        <f t="shared" si="2"/>
        <v>0</v>
      </c>
      <c r="W45" s="15"/>
      <c r="X45" s="15"/>
      <c r="Y45" s="15"/>
      <c r="Z45" s="15"/>
      <c r="AA45" s="17"/>
    </row>
    <row r="46">
      <c r="A46" s="21"/>
      <c r="B46" s="18"/>
      <c r="C46" s="18"/>
      <c r="D46" s="18"/>
      <c r="E46" s="18"/>
      <c r="F46" s="18"/>
      <c r="G46" s="18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10">
        <f t="shared" si="2"/>
        <v>0</v>
      </c>
      <c r="W46" s="9"/>
      <c r="X46" s="9"/>
      <c r="Y46" s="9"/>
      <c r="Z46" s="9"/>
      <c r="AA46" s="11"/>
    </row>
    <row r="47">
      <c r="A47" s="19"/>
      <c r="B47" s="20"/>
      <c r="C47" s="20"/>
      <c r="D47" s="20"/>
      <c r="E47" s="20"/>
      <c r="F47" s="20"/>
      <c r="G47" s="20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6">
        <f t="shared" si="2"/>
        <v>0</v>
      </c>
      <c r="W47" s="15"/>
      <c r="X47" s="15"/>
      <c r="Y47" s="15"/>
      <c r="Z47" s="15"/>
      <c r="AA47" s="17"/>
    </row>
    <row r="48">
      <c r="A48" s="21"/>
      <c r="B48" s="18"/>
      <c r="C48" s="18"/>
      <c r="D48" s="18"/>
      <c r="E48" s="18"/>
      <c r="F48" s="18"/>
      <c r="G48" s="18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10">
        <f t="shared" si="2"/>
        <v>0</v>
      </c>
      <c r="W48" s="9"/>
      <c r="X48" s="9"/>
      <c r="Y48" s="9"/>
      <c r="Z48" s="9"/>
      <c r="AA48" s="11"/>
    </row>
    <row r="49">
      <c r="A49" s="19"/>
      <c r="B49" s="20"/>
      <c r="C49" s="20"/>
      <c r="D49" s="20"/>
      <c r="E49" s="20"/>
      <c r="F49" s="20"/>
      <c r="G49" s="20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6">
        <f t="shared" si="2"/>
        <v>0</v>
      </c>
      <c r="W49" s="15"/>
      <c r="X49" s="15"/>
      <c r="Y49" s="15"/>
      <c r="Z49" s="15"/>
      <c r="AA49" s="17"/>
    </row>
    <row r="50">
      <c r="A50" s="21"/>
      <c r="B50" s="18"/>
      <c r="C50" s="18"/>
      <c r="D50" s="18"/>
      <c r="E50" s="18"/>
      <c r="F50" s="18"/>
      <c r="G50" s="18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10">
        <f t="shared" si="2"/>
        <v>0</v>
      </c>
      <c r="W50" s="9"/>
      <c r="X50" s="9"/>
      <c r="Y50" s="9"/>
      <c r="Z50" s="9"/>
      <c r="AA50" s="11"/>
    </row>
    <row r="51">
      <c r="A51" s="19"/>
      <c r="B51" s="20"/>
      <c r="C51" s="20"/>
      <c r="D51" s="20"/>
      <c r="E51" s="20"/>
      <c r="F51" s="20"/>
      <c r="G51" s="20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6">
        <f t="shared" si="2"/>
        <v>0</v>
      </c>
      <c r="W51" s="15"/>
      <c r="X51" s="15"/>
      <c r="Y51" s="15"/>
      <c r="Z51" s="15"/>
      <c r="AA51" s="17"/>
    </row>
    <row r="52">
      <c r="A52" s="21"/>
      <c r="B52" s="18"/>
      <c r="C52" s="18"/>
      <c r="D52" s="18"/>
      <c r="E52" s="18"/>
      <c r="F52" s="18"/>
      <c r="G52" s="18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10">
        <f t="shared" si="2"/>
        <v>0</v>
      </c>
      <c r="W52" s="9"/>
      <c r="X52" s="9"/>
      <c r="Y52" s="9"/>
      <c r="Z52" s="9"/>
      <c r="AA52" s="11"/>
    </row>
    <row r="53">
      <c r="A53" s="19"/>
      <c r="B53" s="20"/>
      <c r="C53" s="20"/>
      <c r="D53" s="20"/>
      <c r="E53" s="20"/>
      <c r="F53" s="20"/>
      <c r="G53" s="20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6">
        <f t="shared" si="2"/>
        <v>0</v>
      </c>
      <c r="W53" s="15"/>
      <c r="X53" s="15"/>
      <c r="Y53" s="15"/>
      <c r="Z53" s="15"/>
      <c r="AA53" s="17"/>
    </row>
    <row r="54">
      <c r="A54" s="21"/>
      <c r="B54" s="18"/>
      <c r="C54" s="18"/>
      <c r="D54" s="18"/>
      <c r="E54" s="18"/>
      <c r="F54" s="18"/>
      <c r="G54" s="18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10">
        <f t="shared" si="2"/>
        <v>0</v>
      </c>
      <c r="W54" s="9"/>
      <c r="X54" s="9"/>
      <c r="Y54" s="9"/>
      <c r="Z54" s="9"/>
      <c r="AA54" s="11"/>
    </row>
    <row r="55">
      <c r="A55" s="19"/>
      <c r="B55" s="20"/>
      <c r="C55" s="20"/>
      <c r="D55" s="20"/>
      <c r="E55" s="20"/>
      <c r="F55" s="20"/>
      <c r="G55" s="20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6">
        <f t="shared" si="2"/>
        <v>0</v>
      </c>
      <c r="W55" s="15"/>
      <c r="X55" s="15"/>
      <c r="Y55" s="15"/>
      <c r="Z55" s="15"/>
      <c r="AA55" s="17"/>
    </row>
    <row r="56">
      <c r="A56" s="21"/>
      <c r="B56" s="18"/>
      <c r="C56" s="18"/>
      <c r="D56" s="18"/>
      <c r="E56" s="18"/>
      <c r="F56" s="18"/>
      <c r="G56" s="18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10">
        <f t="shared" si="2"/>
        <v>0</v>
      </c>
      <c r="W56" s="9"/>
      <c r="X56" s="9"/>
      <c r="Y56" s="9"/>
      <c r="Z56" s="9"/>
      <c r="AA56" s="11"/>
    </row>
    <row r="57">
      <c r="A57" s="19"/>
      <c r="B57" s="20"/>
      <c r="C57" s="20"/>
      <c r="D57" s="20"/>
      <c r="E57" s="20"/>
      <c r="F57" s="20"/>
      <c r="G57" s="20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6">
        <f t="shared" si="2"/>
        <v>0</v>
      </c>
      <c r="W57" s="15"/>
      <c r="X57" s="15"/>
      <c r="Y57" s="15"/>
      <c r="Z57" s="15"/>
      <c r="AA57" s="17"/>
    </row>
    <row r="58">
      <c r="A58" s="21"/>
      <c r="B58" s="18"/>
      <c r="C58" s="18"/>
      <c r="D58" s="18"/>
      <c r="E58" s="18"/>
      <c r="F58" s="18"/>
      <c r="G58" s="18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10">
        <f t="shared" si="2"/>
        <v>0</v>
      </c>
      <c r="W58" s="9"/>
      <c r="X58" s="9"/>
      <c r="Y58" s="9"/>
      <c r="Z58" s="9"/>
      <c r="AA58" s="11"/>
    </row>
    <row r="59">
      <c r="A59" s="19"/>
      <c r="B59" s="20"/>
      <c r="C59" s="20"/>
      <c r="D59" s="20"/>
      <c r="E59" s="20"/>
      <c r="F59" s="20"/>
      <c r="G59" s="20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6">
        <f t="shared" si="2"/>
        <v>0</v>
      </c>
      <c r="W59" s="15"/>
      <c r="X59" s="15"/>
      <c r="Y59" s="15"/>
      <c r="Z59" s="15"/>
      <c r="AA59" s="17"/>
    </row>
    <row r="60">
      <c r="A60" s="21"/>
      <c r="B60" s="18"/>
      <c r="C60" s="18"/>
      <c r="D60" s="18"/>
      <c r="E60" s="18"/>
      <c r="F60" s="18"/>
      <c r="G60" s="18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10">
        <f t="shared" si="2"/>
        <v>0</v>
      </c>
      <c r="W60" s="9"/>
      <c r="X60" s="9"/>
      <c r="Y60" s="9"/>
      <c r="Z60" s="9"/>
      <c r="AA60" s="11"/>
    </row>
    <row r="61">
      <c r="A61" s="19"/>
      <c r="B61" s="20"/>
      <c r="C61" s="20"/>
      <c r="D61" s="20"/>
      <c r="E61" s="20"/>
      <c r="F61" s="20"/>
      <c r="G61" s="20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6">
        <f t="shared" si="2"/>
        <v>0</v>
      </c>
      <c r="W61" s="15"/>
      <c r="X61" s="15"/>
      <c r="Y61" s="15"/>
      <c r="Z61" s="15"/>
      <c r="AA61" s="17"/>
    </row>
    <row r="62">
      <c r="A62" s="21"/>
      <c r="B62" s="18"/>
      <c r="C62" s="18"/>
      <c r="D62" s="18"/>
      <c r="E62" s="18"/>
      <c r="F62" s="18"/>
      <c r="G62" s="18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10">
        <f t="shared" si="2"/>
        <v>0</v>
      </c>
      <c r="W62" s="9"/>
      <c r="X62" s="9"/>
      <c r="Y62" s="9"/>
      <c r="Z62" s="9"/>
      <c r="AA62" s="11"/>
    </row>
    <row r="63">
      <c r="A63" s="19"/>
      <c r="B63" s="20"/>
      <c r="C63" s="20"/>
      <c r="D63" s="20"/>
      <c r="E63" s="20"/>
      <c r="F63" s="20"/>
      <c r="G63" s="20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6">
        <f t="shared" si="2"/>
        <v>0</v>
      </c>
      <c r="W63" s="15"/>
      <c r="X63" s="15"/>
      <c r="Y63" s="15"/>
      <c r="Z63" s="15"/>
      <c r="AA63" s="17"/>
    </row>
    <row r="64">
      <c r="A64" s="21"/>
      <c r="B64" s="18"/>
      <c r="C64" s="18"/>
      <c r="D64" s="18"/>
      <c r="E64" s="18"/>
      <c r="F64" s="18"/>
      <c r="G64" s="18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>
        <f t="shared" si="2"/>
        <v>0</v>
      </c>
      <c r="W64" s="9"/>
      <c r="X64" s="9"/>
      <c r="Y64" s="9"/>
      <c r="Z64" s="9"/>
      <c r="AA64" s="11"/>
    </row>
    <row r="65">
      <c r="A65" s="19"/>
      <c r="B65" s="20"/>
      <c r="C65" s="20"/>
      <c r="D65" s="20"/>
      <c r="E65" s="20"/>
      <c r="F65" s="20"/>
      <c r="G65" s="20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6">
        <f t="shared" si="2"/>
        <v>0</v>
      </c>
      <c r="W65" s="15"/>
      <c r="X65" s="15"/>
      <c r="Y65" s="15"/>
      <c r="Z65" s="15"/>
      <c r="AA65" s="17"/>
    </row>
    <row r="66">
      <c r="A66" s="21"/>
      <c r="B66" s="18"/>
      <c r="C66" s="18"/>
      <c r="D66" s="18"/>
      <c r="E66" s="18"/>
      <c r="F66" s="18"/>
      <c r="G66" s="18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10">
        <f t="shared" si="2"/>
        <v>0</v>
      </c>
      <c r="W66" s="9"/>
      <c r="X66" s="9"/>
      <c r="Y66" s="9"/>
      <c r="Z66" s="9"/>
      <c r="AA66" s="11"/>
    </row>
    <row r="67">
      <c r="A67" s="19"/>
      <c r="B67" s="20"/>
      <c r="C67" s="20"/>
      <c r="D67" s="20"/>
      <c r="E67" s="20"/>
      <c r="F67" s="20"/>
      <c r="G67" s="20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6">
        <f t="shared" si="2"/>
        <v>0</v>
      </c>
      <c r="W67" s="15"/>
      <c r="X67" s="15"/>
      <c r="Y67" s="15"/>
      <c r="Z67" s="15"/>
      <c r="AA67" s="17"/>
    </row>
    <row r="68">
      <c r="A68" s="21"/>
      <c r="B68" s="18"/>
      <c r="C68" s="18"/>
      <c r="D68" s="18"/>
      <c r="E68" s="18"/>
      <c r="F68" s="18"/>
      <c r="G68" s="18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10">
        <f t="shared" si="2"/>
        <v>0</v>
      </c>
      <c r="W68" s="9"/>
      <c r="X68" s="9"/>
      <c r="Y68" s="9"/>
      <c r="Z68" s="9"/>
      <c r="AA68" s="11"/>
    </row>
    <row r="69">
      <c r="A69" s="19"/>
      <c r="B69" s="20"/>
      <c r="C69" s="20"/>
      <c r="D69" s="20"/>
      <c r="E69" s="20"/>
      <c r="F69" s="20"/>
      <c r="G69" s="20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6">
        <f t="shared" si="2"/>
        <v>0</v>
      </c>
      <c r="W69" s="15"/>
      <c r="X69" s="15"/>
      <c r="Y69" s="15"/>
      <c r="Z69" s="15"/>
      <c r="AA69" s="17"/>
    </row>
    <row r="70">
      <c r="A70" s="21"/>
      <c r="B70" s="18"/>
      <c r="C70" s="18"/>
      <c r="D70" s="18"/>
      <c r="E70" s="18"/>
      <c r="F70" s="18"/>
      <c r="G70" s="18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10">
        <f t="shared" si="2"/>
        <v>0</v>
      </c>
      <c r="W70" s="9"/>
      <c r="X70" s="9"/>
      <c r="Y70" s="9"/>
      <c r="Z70" s="9"/>
      <c r="AA70" s="11"/>
    </row>
    <row r="71">
      <c r="A71" s="19"/>
      <c r="B71" s="20"/>
      <c r="C71" s="20"/>
      <c r="D71" s="20"/>
      <c r="E71" s="20"/>
      <c r="F71" s="20"/>
      <c r="G71" s="20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6">
        <f t="shared" si="2"/>
        <v>0</v>
      </c>
      <c r="W71" s="15"/>
      <c r="X71" s="15"/>
      <c r="Y71" s="15"/>
      <c r="Z71" s="15"/>
      <c r="AA71" s="17"/>
    </row>
    <row r="72">
      <c r="A72" s="21"/>
      <c r="B72" s="18"/>
      <c r="C72" s="18"/>
      <c r="D72" s="18"/>
      <c r="E72" s="18"/>
      <c r="F72" s="18"/>
      <c r="G72" s="18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10">
        <f t="shared" si="2"/>
        <v>0</v>
      </c>
      <c r="W72" s="9"/>
      <c r="X72" s="9"/>
      <c r="Y72" s="9"/>
      <c r="Z72" s="9"/>
      <c r="AA72" s="11"/>
    </row>
    <row r="73">
      <c r="A73" s="19"/>
      <c r="B73" s="20"/>
      <c r="C73" s="20"/>
      <c r="D73" s="20"/>
      <c r="E73" s="20"/>
      <c r="F73" s="20"/>
      <c r="G73" s="20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6">
        <f t="shared" si="2"/>
        <v>0</v>
      </c>
      <c r="W73" s="15"/>
      <c r="X73" s="15"/>
      <c r="Y73" s="15"/>
      <c r="Z73" s="15"/>
      <c r="AA73" s="17"/>
    </row>
    <row r="74">
      <c r="A74" s="21"/>
      <c r="B74" s="18"/>
      <c r="C74" s="18"/>
      <c r="D74" s="18"/>
      <c r="E74" s="18"/>
      <c r="F74" s="18"/>
      <c r="G74" s="18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10">
        <f t="shared" si="2"/>
        <v>0</v>
      </c>
      <c r="W74" s="9"/>
      <c r="X74" s="9"/>
      <c r="Y74" s="9"/>
      <c r="Z74" s="9"/>
      <c r="AA74" s="11"/>
    </row>
    <row r="75">
      <c r="A75" s="19"/>
      <c r="B75" s="20"/>
      <c r="C75" s="20"/>
      <c r="D75" s="20"/>
      <c r="E75" s="20"/>
      <c r="F75" s="20"/>
      <c r="G75" s="20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6">
        <f t="shared" si="2"/>
        <v>0</v>
      </c>
      <c r="W75" s="15"/>
      <c r="X75" s="15"/>
      <c r="Y75" s="15"/>
      <c r="Z75" s="15"/>
      <c r="AA75" s="17"/>
    </row>
    <row r="76">
      <c r="A76" s="21"/>
      <c r="B76" s="18"/>
      <c r="C76" s="18"/>
      <c r="D76" s="18"/>
      <c r="E76" s="18"/>
      <c r="F76" s="18"/>
      <c r="G76" s="18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10">
        <f t="shared" si="2"/>
        <v>0</v>
      </c>
      <c r="W76" s="9"/>
      <c r="X76" s="9"/>
      <c r="Y76" s="9"/>
      <c r="Z76" s="9"/>
      <c r="AA76" s="11"/>
    </row>
    <row r="77">
      <c r="A77" s="19"/>
      <c r="B77" s="20"/>
      <c r="C77" s="20"/>
      <c r="D77" s="20"/>
      <c r="E77" s="20"/>
      <c r="F77" s="20"/>
      <c r="G77" s="20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6">
        <f t="shared" si="2"/>
        <v>0</v>
      </c>
      <c r="W77" s="15"/>
      <c r="X77" s="15"/>
      <c r="Y77" s="15"/>
      <c r="Z77" s="15"/>
      <c r="AA77" s="17"/>
    </row>
    <row r="78">
      <c r="A78" s="21"/>
      <c r="B78" s="18"/>
      <c r="C78" s="18"/>
      <c r="D78" s="18"/>
      <c r="E78" s="18"/>
      <c r="F78" s="18"/>
      <c r="G78" s="18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10">
        <f t="shared" si="2"/>
        <v>0</v>
      </c>
      <c r="W78" s="9"/>
      <c r="X78" s="9"/>
      <c r="Y78" s="9"/>
      <c r="Z78" s="9"/>
      <c r="AA78" s="11"/>
    </row>
    <row r="79">
      <c r="A79" s="19"/>
      <c r="B79" s="20"/>
      <c r="C79" s="20"/>
      <c r="D79" s="20"/>
      <c r="E79" s="20"/>
      <c r="F79" s="20"/>
      <c r="G79" s="20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6">
        <f t="shared" si="2"/>
        <v>0</v>
      </c>
      <c r="W79" s="15"/>
      <c r="X79" s="15"/>
      <c r="Y79" s="15"/>
      <c r="Z79" s="15"/>
      <c r="AA79" s="17"/>
    </row>
    <row r="80">
      <c r="A80" s="21"/>
      <c r="B80" s="18"/>
      <c r="C80" s="18"/>
      <c r="D80" s="18"/>
      <c r="E80" s="18"/>
      <c r="F80" s="18"/>
      <c r="G80" s="18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10">
        <f t="shared" si="2"/>
        <v>0</v>
      </c>
      <c r="W80" s="9"/>
      <c r="X80" s="9"/>
      <c r="Y80" s="9"/>
      <c r="Z80" s="9"/>
      <c r="AA80" s="11"/>
    </row>
    <row r="81">
      <c r="A81" s="19"/>
      <c r="B81" s="20"/>
      <c r="C81" s="20"/>
      <c r="D81" s="20"/>
      <c r="E81" s="20"/>
      <c r="F81" s="20"/>
      <c r="G81" s="20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6">
        <f t="shared" si="2"/>
        <v>0</v>
      </c>
      <c r="W81" s="15"/>
      <c r="X81" s="15"/>
      <c r="Y81" s="15"/>
      <c r="Z81" s="15"/>
      <c r="AA81" s="17"/>
    </row>
    <row r="82">
      <c r="A82" s="21"/>
      <c r="B82" s="18"/>
      <c r="C82" s="18"/>
      <c r="D82" s="18"/>
      <c r="E82" s="18"/>
      <c r="F82" s="18"/>
      <c r="G82" s="18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10">
        <f t="shared" si="2"/>
        <v>0</v>
      </c>
      <c r="W82" s="9"/>
      <c r="X82" s="9"/>
      <c r="Y82" s="9"/>
      <c r="Z82" s="9"/>
      <c r="AA82" s="11"/>
    </row>
    <row r="83">
      <c r="A83" s="19"/>
      <c r="B83" s="20"/>
      <c r="C83" s="20"/>
      <c r="D83" s="20"/>
      <c r="E83" s="20"/>
      <c r="F83" s="20"/>
      <c r="G83" s="20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6">
        <f t="shared" si="2"/>
        <v>0</v>
      </c>
      <c r="W83" s="15"/>
      <c r="X83" s="15"/>
      <c r="Y83" s="15"/>
      <c r="Z83" s="15"/>
      <c r="AA83" s="17"/>
    </row>
    <row r="84">
      <c r="A84" s="21"/>
      <c r="B84" s="18"/>
      <c r="C84" s="18"/>
      <c r="D84" s="18"/>
      <c r="E84" s="18"/>
      <c r="F84" s="18"/>
      <c r="G84" s="18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10">
        <f t="shared" si="2"/>
        <v>0</v>
      </c>
      <c r="W84" s="9"/>
      <c r="X84" s="9"/>
      <c r="Y84" s="9"/>
      <c r="Z84" s="9"/>
      <c r="AA84" s="11"/>
    </row>
    <row r="85">
      <c r="A85" s="19"/>
      <c r="B85" s="20"/>
      <c r="C85" s="20"/>
      <c r="D85" s="20"/>
      <c r="E85" s="20"/>
      <c r="F85" s="20"/>
      <c r="G85" s="20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6">
        <f t="shared" si="2"/>
        <v>0</v>
      </c>
      <c r="W85" s="15"/>
      <c r="X85" s="15"/>
      <c r="Y85" s="15"/>
      <c r="Z85" s="15"/>
      <c r="AA85" s="17"/>
    </row>
    <row r="86">
      <c r="A86" s="21"/>
      <c r="B86" s="18"/>
      <c r="C86" s="18"/>
      <c r="D86" s="18"/>
      <c r="E86" s="18"/>
      <c r="F86" s="18"/>
      <c r="G86" s="18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10">
        <f t="shared" si="2"/>
        <v>0</v>
      </c>
      <c r="W86" s="9"/>
      <c r="X86" s="9"/>
      <c r="Y86" s="9"/>
      <c r="Z86" s="9"/>
      <c r="AA86" s="11"/>
    </row>
    <row r="87">
      <c r="A87" s="19"/>
      <c r="B87" s="20"/>
      <c r="C87" s="20"/>
      <c r="D87" s="20"/>
      <c r="E87" s="20"/>
      <c r="F87" s="20"/>
      <c r="G87" s="20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6">
        <f t="shared" si="2"/>
        <v>0</v>
      </c>
      <c r="W87" s="15"/>
      <c r="X87" s="15"/>
      <c r="Y87" s="15"/>
      <c r="Z87" s="15"/>
      <c r="AA87" s="17"/>
    </row>
    <row r="88">
      <c r="A88" s="21"/>
      <c r="B88" s="18"/>
      <c r="C88" s="18"/>
      <c r="D88" s="18"/>
      <c r="E88" s="18"/>
      <c r="F88" s="18"/>
      <c r="G88" s="18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10">
        <f t="shared" si="2"/>
        <v>0</v>
      </c>
      <c r="W88" s="9"/>
      <c r="X88" s="9"/>
      <c r="Y88" s="9"/>
      <c r="Z88" s="9"/>
      <c r="AA88" s="11"/>
    </row>
    <row r="89">
      <c r="A89" s="19"/>
      <c r="B89" s="20"/>
      <c r="C89" s="20"/>
      <c r="D89" s="20"/>
      <c r="E89" s="20"/>
      <c r="F89" s="20"/>
      <c r="G89" s="20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6">
        <f t="shared" si="2"/>
        <v>0</v>
      </c>
      <c r="W89" s="15"/>
      <c r="X89" s="15"/>
      <c r="Y89" s="15"/>
      <c r="Z89" s="15"/>
      <c r="AA89" s="17"/>
    </row>
    <row r="90">
      <c r="A90" s="21"/>
      <c r="B90" s="18"/>
      <c r="C90" s="18"/>
      <c r="D90" s="18"/>
      <c r="E90" s="18"/>
      <c r="F90" s="18"/>
      <c r="G90" s="18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10">
        <f t="shared" si="2"/>
        <v>0</v>
      </c>
      <c r="W90" s="9"/>
      <c r="X90" s="9"/>
      <c r="Y90" s="9"/>
      <c r="Z90" s="9"/>
      <c r="AA90" s="11"/>
    </row>
    <row r="91">
      <c r="A91" s="19"/>
      <c r="B91" s="20"/>
      <c r="C91" s="20"/>
      <c r="D91" s="20"/>
      <c r="E91" s="20"/>
      <c r="F91" s="20"/>
      <c r="G91" s="20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6">
        <f t="shared" si="2"/>
        <v>0</v>
      </c>
      <c r="W91" s="15"/>
      <c r="X91" s="15"/>
      <c r="Y91" s="15"/>
      <c r="Z91" s="15"/>
      <c r="AA91" s="17"/>
    </row>
    <row r="92">
      <c r="A92" s="21"/>
      <c r="B92" s="18"/>
      <c r="C92" s="18"/>
      <c r="D92" s="18"/>
      <c r="E92" s="18"/>
      <c r="F92" s="18"/>
      <c r="G92" s="18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10">
        <f t="shared" si="2"/>
        <v>0</v>
      </c>
      <c r="W92" s="9"/>
      <c r="X92" s="9"/>
      <c r="Y92" s="9"/>
      <c r="Z92" s="9"/>
      <c r="AA92" s="11"/>
    </row>
    <row r="93">
      <c r="A93" s="19"/>
      <c r="B93" s="20"/>
      <c r="C93" s="20"/>
      <c r="D93" s="20"/>
      <c r="E93" s="20"/>
      <c r="F93" s="20"/>
      <c r="G93" s="20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6">
        <f t="shared" si="2"/>
        <v>0</v>
      </c>
      <c r="W93" s="15"/>
      <c r="X93" s="15"/>
      <c r="Y93" s="15"/>
      <c r="Z93" s="15"/>
      <c r="AA93" s="17"/>
    </row>
    <row r="94">
      <c r="A94" s="21"/>
      <c r="B94" s="18"/>
      <c r="C94" s="18"/>
      <c r="D94" s="18"/>
      <c r="E94" s="18"/>
      <c r="F94" s="18"/>
      <c r="G94" s="18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10">
        <f t="shared" si="2"/>
        <v>0</v>
      </c>
      <c r="W94" s="9"/>
      <c r="X94" s="9"/>
      <c r="Y94" s="9"/>
      <c r="Z94" s="9"/>
      <c r="AA94" s="11"/>
    </row>
    <row r="95">
      <c r="A95" s="19"/>
      <c r="B95" s="20"/>
      <c r="C95" s="20"/>
      <c r="D95" s="20"/>
      <c r="E95" s="20"/>
      <c r="F95" s="20"/>
      <c r="G95" s="20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6">
        <f t="shared" si="2"/>
        <v>0</v>
      </c>
      <c r="W95" s="15"/>
      <c r="X95" s="15"/>
      <c r="Y95" s="15"/>
      <c r="Z95" s="15"/>
      <c r="AA95" s="17"/>
    </row>
    <row r="96">
      <c r="A96" s="21"/>
      <c r="B96" s="18"/>
      <c r="C96" s="18"/>
      <c r="D96" s="18"/>
      <c r="E96" s="18"/>
      <c r="F96" s="18"/>
      <c r="G96" s="18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10">
        <f t="shared" si="2"/>
        <v>0</v>
      </c>
      <c r="W96" s="9"/>
      <c r="X96" s="9"/>
      <c r="Y96" s="9"/>
      <c r="Z96" s="9"/>
      <c r="AA96" s="11"/>
    </row>
    <row r="97">
      <c r="A97" s="19"/>
      <c r="B97" s="20"/>
      <c r="C97" s="20"/>
      <c r="D97" s="20"/>
      <c r="E97" s="20"/>
      <c r="F97" s="20"/>
      <c r="G97" s="20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6">
        <f t="shared" si="2"/>
        <v>0</v>
      </c>
      <c r="W97" s="15"/>
      <c r="X97" s="15"/>
      <c r="Y97" s="15"/>
      <c r="Z97" s="15"/>
      <c r="AA97" s="17"/>
    </row>
    <row r="98">
      <c r="A98" s="21"/>
      <c r="B98" s="18"/>
      <c r="C98" s="18"/>
      <c r="D98" s="18"/>
      <c r="E98" s="18"/>
      <c r="F98" s="18"/>
      <c r="G98" s="18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10">
        <f t="shared" si="2"/>
        <v>0</v>
      </c>
      <c r="W98" s="9"/>
      <c r="X98" s="9"/>
      <c r="Y98" s="9"/>
      <c r="Z98" s="9"/>
      <c r="AA98" s="11"/>
    </row>
    <row r="99">
      <c r="A99" s="19"/>
      <c r="B99" s="20"/>
      <c r="C99" s="20"/>
      <c r="D99" s="20"/>
      <c r="E99" s="20"/>
      <c r="F99" s="20"/>
      <c r="G99" s="20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6">
        <f t="shared" si="2"/>
        <v>0</v>
      </c>
      <c r="W99" s="15"/>
      <c r="X99" s="15"/>
      <c r="Y99" s="15"/>
      <c r="Z99" s="15"/>
      <c r="AA99" s="17"/>
    </row>
    <row r="100">
      <c r="A100" s="21"/>
      <c r="B100" s="18"/>
      <c r="C100" s="18"/>
      <c r="D100" s="18"/>
      <c r="E100" s="18"/>
      <c r="F100" s="18"/>
      <c r="G100" s="18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10">
        <f t="shared" si="2"/>
        <v>0</v>
      </c>
      <c r="W100" s="9"/>
      <c r="X100" s="9"/>
      <c r="Y100" s="9"/>
      <c r="Z100" s="9"/>
      <c r="AA100" s="11"/>
    </row>
    <row r="101">
      <c r="A101" s="19"/>
      <c r="B101" s="20"/>
      <c r="C101" s="20"/>
      <c r="D101" s="20"/>
      <c r="E101" s="20"/>
      <c r="F101" s="20"/>
      <c r="G101" s="20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6">
        <f t="shared" si="2"/>
        <v>0</v>
      </c>
      <c r="W101" s="15"/>
      <c r="X101" s="15"/>
      <c r="Y101" s="15"/>
      <c r="Z101" s="15"/>
      <c r="AA101" s="17"/>
    </row>
    <row r="102">
      <c r="A102" s="21"/>
      <c r="B102" s="18"/>
      <c r="C102" s="18"/>
      <c r="D102" s="18"/>
      <c r="E102" s="18"/>
      <c r="F102" s="18"/>
      <c r="G102" s="18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10">
        <f t="shared" si="2"/>
        <v>0</v>
      </c>
      <c r="W102" s="9"/>
      <c r="X102" s="9"/>
      <c r="Y102" s="9"/>
      <c r="Z102" s="9"/>
      <c r="AA102" s="11"/>
    </row>
    <row r="103">
      <c r="A103" s="19"/>
      <c r="B103" s="20"/>
      <c r="C103" s="20"/>
      <c r="D103" s="20"/>
      <c r="E103" s="20"/>
      <c r="F103" s="20"/>
      <c r="G103" s="20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6">
        <f t="shared" si="2"/>
        <v>0</v>
      </c>
      <c r="W103" s="15"/>
      <c r="X103" s="15"/>
      <c r="Y103" s="15"/>
      <c r="Z103" s="15"/>
      <c r="AA103" s="17"/>
    </row>
    <row r="104">
      <c r="A104" s="21"/>
      <c r="B104" s="18"/>
      <c r="C104" s="18"/>
      <c r="D104" s="18"/>
      <c r="E104" s="18"/>
      <c r="F104" s="18"/>
      <c r="G104" s="18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10">
        <f t="shared" si="2"/>
        <v>0</v>
      </c>
      <c r="W104" s="9"/>
      <c r="X104" s="9"/>
      <c r="Y104" s="9"/>
      <c r="Z104" s="9"/>
      <c r="AA104" s="11"/>
    </row>
    <row r="105">
      <c r="A105" s="19"/>
      <c r="B105" s="20"/>
      <c r="C105" s="20"/>
      <c r="D105" s="20"/>
      <c r="E105" s="20"/>
      <c r="F105" s="20"/>
      <c r="G105" s="20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6">
        <f t="shared" si="2"/>
        <v>0</v>
      </c>
      <c r="W105" s="15"/>
      <c r="X105" s="15"/>
      <c r="Y105" s="15"/>
      <c r="Z105" s="15"/>
      <c r="AA105" s="17"/>
    </row>
    <row r="106">
      <c r="A106" s="21"/>
      <c r="B106" s="18"/>
      <c r="C106" s="18"/>
      <c r="D106" s="18"/>
      <c r="E106" s="18"/>
      <c r="F106" s="18"/>
      <c r="G106" s="18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10">
        <f t="shared" si="2"/>
        <v>0</v>
      </c>
      <c r="W106" s="9"/>
      <c r="X106" s="9"/>
      <c r="Y106" s="9"/>
      <c r="Z106" s="9"/>
      <c r="AA106" s="11"/>
    </row>
    <row r="107">
      <c r="A107" s="19"/>
      <c r="B107" s="20"/>
      <c r="C107" s="20"/>
      <c r="D107" s="20"/>
      <c r="E107" s="20"/>
      <c r="F107" s="20"/>
      <c r="G107" s="20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6">
        <f t="shared" si="2"/>
        <v>0</v>
      </c>
      <c r="W107" s="15"/>
      <c r="X107" s="15"/>
      <c r="Y107" s="15"/>
      <c r="Z107" s="15"/>
      <c r="AA107" s="17"/>
    </row>
    <row r="108">
      <c r="A108" s="21"/>
      <c r="B108" s="18"/>
      <c r="C108" s="18"/>
      <c r="D108" s="18"/>
      <c r="E108" s="18"/>
      <c r="F108" s="18"/>
      <c r="G108" s="18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10">
        <f t="shared" si="2"/>
        <v>0</v>
      </c>
      <c r="W108" s="9"/>
      <c r="X108" s="9"/>
      <c r="Y108" s="9"/>
      <c r="Z108" s="9"/>
      <c r="AA108" s="11"/>
    </row>
    <row r="109">
      <c r="A109" s="19"/>
      <c r="B109" s="20"/>
      <c r="C109" s="20"/>
      <c r="D109" s="20"/>
      <c r="E109" s="20"/>
      <c r="F109" s="20"/>
      <c r="G109" s="20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6">
        <f t="shared" si="2"/>
        <v>0</v>
      </c>
      <c r="W109" s="15"/>
      <c r="X109" s="15"/>
      <c r="Y109" s="15"/>
      <c r="Z109" s="15"/>
      <c r="AA109" s="17"/>
    </row>
    <row r="110">
      <c r="A110" s="21"/>
      <c r="B110" s="18"/>
      <c r="C110" s="18"/>
      <c r="D110" s="18"/>
      <c r="E110" s="18"/>
      <c r="F110" s="18"/>
      <c r="G110" s="18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10">
        <f t="shared" si="2"/>
        <v>0</v>
      </c>
      <c r="W110" s="9"/>
      <c r="X110" s="9"/>
      <c r="Y110" s="9"/>
      <c r="Z110" s="9"/>
      <c r="AA110" s="11"/>
    </row>
    <row r="111">
      <c r="A111" s="19"/>
      <c r="B111" s="20"/>
      <c r="C111" s="20"/>
      <c r="D111" s="20"/>
      <c r="E111" s="20"/>
      <c r="F111" s="20"/>
      <c r="G111" s="20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6">
        <f t="shared" si="2"/>
        <v>0</v>
      </c>
      <c r="W111" s="15"/>
      <c r="X111" s="15"/>
      <c r="Y111" s="15"/>
      <c r="Z111" s="15"/>
      <c r="AA111" s="17"/>
    </row>
    <row r="112">
      <c r="A112" s="21"/>
      <c r="B112" s="18"/>
      <c r="C112" s="18"/>
      <c r="D112" s="18"/>
      <c r="E112" s="18"/>
      <c r="F112" s="18"/>
      <c r="G112" s="18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10">
        <f t="shared" si="2"/>
        <v>0</v>
      </c>
      <c r="W112" s="9"/>
      <c r="X112" s="9"/>
      <c r="Y112" s="9"/>
      <c r="Z112" s="9"/>
      <c r="AA112" s="11"/>
    </row>
    <row r="113">
      <c r="A113" s="19"/>
      <c r="B113" s="20"/>
      <c r="C113" s="20"/>
      <c r="D113" s="20"/>
      <c r="E113" s="20"/>
      <c r="F113" s="20"/>
      <c r="G113" s="20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6">
        <f t="shared" si="2"/>
        <v>0</v>
      </c>
      <c r="W113" s="15"/>
      <c r="X113" s="15"/>
      <c r="Y113" s="15"/>
      <c r="Z113" s="15"/>
      <c r="AA113" s="17"/>
    </row>
    <row r="114">
      <c r="A114" s="21"/>
      <c r="B114" s="18"/>
      <c r="C114" s="18"/>
      <c r="D114" s="18"/>
      <c r="E114" s="18"/>
      <c r="F114" s="18"/>
      <c r="G114" s="18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10">
        <f t="shared" si="2"/>
        <v>0</v>
      </c>
      <c r="W114" s="9"/>
      <c r="X114" s="9"/>
      <c r="Y114" s="9"/>
      <c r="Z114" s="9"/>
      <c r="AA114" s="11"/>
    </row>
    <row r="115">
      <c r="A115" s="19"/>
      <c r="B115" s="20"/>
      <c r="C115" s="20"/>
      <c r="D115" s="20"/>
      <c r="E115" s="20"/>
      <c r="F115" s="20"/>
      <c r="G115" s="20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6">
        <f t="shared" si="2"/>
        <v>0</v>
      </c>
      <c r="W115" s="15"/>
      <c r="X115" s="15"/>
      <c r="Y115" s="15"/>
      <c r="Z115" s="15"/>
      <c r="AA115" s="17"/>
    </row>
    <row r="116">
      <c r="A116" s="21"/>
      <c r="B116" s="18"/>
      <c r="C116" s="18"/>
      <c r="D116" s="18"/>
      <c r="E116" s="18"/>
      <c r="F116" s="18"/>
      <c r="G116" s="18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10">
        <f t="shared" si="2"/>
        <v>0</v>
      </c>
      <c r="W116" s="9"/>
      <c r="X116" s="9"/>
      <c r="Y116" s="9"/>
      <c r="Z116" s="9"/>
      <c r="AA116" s="11"/>
    </row>
    <row r="117">
      <c r="A117" s="19"/>
      <c r="B117" s="20"/>
      <c r="C117" s="20"/>
      <c r="D117" s="20"/>
      <c r="E117" s="20"/>
      <c r="F117" s="20"/>
      <c r="G117" s="20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6">
        <f t="shared" si="2"/>
        <v>0</v>
      </c>
      <c r="W117" s="15"/>
      <c r="X117" s="15"/>
      <c r="Y117" s="15"/>
      <c r="Z117" s="15"/>
      <c r="AA117" s="17"/>
    </row>
    <row r="118">
      <c r="A118" s="21"/>
      <c r="B118" s="18"/>
      <c r="C118" s="18"/>
      <c r="D118" s="18"/>
      <c r="E118" s="18"/>
      <c r="F118" s="18"/>
      <c r="G118" s="18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10">
        <f t="shared" si="2"/>
        <v>0</v>
      </c>
      <c r="W118" s="9"/>
      <c r="X118" s="9"/>
      <c r="Y118" s="9"/>
      <c r="Z118" s="9"/>
      <c r="AA118" s="11"/>
    </row>
    <row r="119">
      <c r="A119" s="19"/>
      <c r="B119" s="20"/>
      <c r="C119" s="20"/>
      <c r="D119" s="20"/>
      <c r="E119" s="20"/>
      <c r="F119" s="20"/>
      <c r="G119" s="20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6">
        <f t="shared" si="2"/>
        <v>0</v>
      </c>
      <c r="W119" s="15"/>
      <c r="X119" s="15"/>
      <c r="Y119" s="15"/>
      <c r="Z119" s="15"/>
      <c r="AA119" s="17"/>
    </row>
    <row r="120">
      <c r="A120" s="21"/>
      <c r="B120" s="18"/>
      <c r="C120" s="18"/>
      <c r="D120" s="18"/>
      <c r="E120" s="18"/>
      <c r="F120" s="18"/>
      <c r="G120" s="18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10">
        <f t="shared" si="2"/>
        <v>0</v>
      </c>
      <c r="W120" s="9"/>
      <c r="X120" s="9"/>
      <c r="Y120" s="9"/>
      <c r="Z120" s="9"/>
      <c r="AA120" s="11"/>
    </row>
    <row r="121">
      <c r="A121" s="19"/>
      <c r="B121" s="20"/>
      <c r="C121" s="20"/>
      <c r="D121" s="20"/>
      <c r="E121" s="20"/>
      <c r="F121" s="20"/>
      <c r="G121" s="20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6">
        <f t="shared" si="2"/>
        <v>0</v>
      </c>
      <c r="W121" s="15"/>
      <c r="X121" s="15"/>
      <c r="Y121" s="15"/>
      <c r="Z121" s="15"/>
      <c r="AA121" s="17"/>
    </row>
    <row r="122">
      <c r="A122" s="21"/>
      <c r="B122" s="18"/>
      <c r="C122" s="18"/>
      <c r="D122" s="18"/>
      <c r="E122" s="18"/>
      <c r="F122" s="18"/>
      <c r="G122" s="18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10">
        <f t="shared" si="2"/>
        <v>0</v>
      </c>
      <c r="W122" s="9"/>
      <c r="X122" s="9"/>
      <c r="Y122" s="9"/>
      <c r="Z122" s="9"/>
      <c r="AA122" s="11"/>
    </row>
    <row r="123">
      <c r="A123" s="19"/>
      <c r="B123" s="20"/>
      <c r="C123" s="20"/>
      <c r="D123" s="20"/>
      <c r="E123" s="20"/>
      <c r="F123" s="20"/>
      <c r="G123" s="20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6">
        <f t="shared" si="2"/>
        <v>0</v>
      </c>
      <c r="W123" s="15"/>
      <c r="X123" s="15"/>
      <c r="Y123" s="15"/>
      <c r="Z123" s="15"/>
      <c r="AA123" s="17"/>
    </row>
    <row r="124">
      <c r="A124" s="21"/>
      <c r="B124" s="18"/>
      <c r="C124" s="18"/>
      <c r="D124" s="18"/>
      <c r="E124" s="18"/>
      <c r="F124" s="18"/>
      <c r="G124" s="18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10">
        <f t="shared" si="2"/>
        <v>0</v>
      </c>
      <c r="W124" s="9"/>
      <c r="X124" s="9"/>
      <c r="Y124" s="9"/>
      <c r="Z124" s="9"/>
      <c r="AA124" s="11"/>
    </row>
    <row r="125">
      <c r="A125" s="19"/>
      <c r="B125" s="20"/>
      <c r="C125" s="20"/>
      <c r="D125" s="20"/>
      <c r="E125" s="20"/>
      <c r="F125" s="20"/>
      <c r="G125" s="20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6">
        <f t="shared" si="2"/>
        <v>0</v>
      </c>
      <c r="W125" s="15"/>
      <c r="X125" s="15"/>
      <c r="Y125" s="15"/>
      <c r="Z125" s="15"/>
      <c r="AA125" s="17"/>
    </row>
    <row r="126">
      <c r="A126" s="21"/>
      <c r="B126" s="18"/>
      <c r="C126" s="18"/>
      <c r="D126" s="18"/>
      <c r="E126" s="18"/>
      <c r="F126" s="18"/>
      <c r="G126" s="18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10">
        <f t="shared" si="2"/>
        <v>0</v>
      </c>
      <c r="W126" s="9"/>
      <c r="X126" s="9"/>
      <c r="Y126" s="9"/>
      <c r="Z126" s="9"/>
      <c r="AA126" s="11"/>
    </row>
    <row r="127">
      <c r="A127" s="19"/>
      <c r="B127" s="20"/>
      <c r="C127" s="20"/>
      <c r="D127" s="20"/>
      <c r="E127" s="20"/>
      <c r="F127" s="20"/>
      <c r="G127" s="20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6">
        <f t="shared" si="2"/>
        <v>0</v>
      </c>
      <c r="W127" s="15"/>
      <c r="X127" s="15"/>
      <c r="Y127" s="15"/>
      <c r="Z127" s="15"/>
      <c r="AA127" s="17"/>
    </row>
    <row r="128">
      <c r="A128" s="21"/>
      <c r="B128" s="18"/>
      <c r="C128" s="18"/>
      <c r="D128" s="18"/>
      <c r="E128" s="18"/>
      <c r="F128" s="18"/>
      <c r="G128" s="18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10">
        <f t="shared" si="2"/>
        <v>0</v>
      </c>
      <c r="W128" s="9"/>
      <c r="X128" s="9"/>
      <c r="Y128" s="9"/>
      <c r="Z128" s="9"/>
      <c r="AA128" s="11"/>
    </row>
    <row r="129">
      <c r="A129" s="19"/>
      <c r="B129" s="20"/>
      <c r="C129" s="20"/>
      <c r="D129" s="20"/>
      <c r="E129" s="20"/>
      <c r="F129" s="20"/>
      <c r="G129" s="20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6">
        <f t="shared" si="2"/>
        <v>0</v>
      </c>
      <c r="W129" s="15"/>
      <c r="X129" s="15"/>
      <c r="Y129" s="15"/>
      <c r="Z129" s="15"/>
      <c r="AA129" s="17"/>
    </row>
    <row r="130">
      <c r="A130" s="21"/>
      <c r="B130" s="18"/>
      <c r="C130" s="18"/>
      <c r="D130" s="18"/>
      <c r="E130" s="18"/>
      <c r="F130" s="18"/>
      <c r="G130" s="18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10">
        <f t="shared" si="2"/>
        <v>0</v>
      </c>
      <c r="W130" s="9"/>
      <c r="X130" s="9"/>
      <c r="Y130" s="9"/>
      <c r="Z130" s="9"/>
      <c r="AA130" s="11"/>
    </row>
    <row r="131">
      <c r="A131" s="19"/>
      <c r="B131" s="20"/>
      <c r="C131" s="20"/>
      <c r="D131" s="20"/>
      <c r="E131" s="20"/>
      <c r="F131" s="20"/>
      <c r="G131" s="20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6">
        <f t="shared" si="2"/>
        <v>0</v>
      </c>
      <c r="W131" s="15"/>
      <c r="X131" s="15"/>
      <c r="Y131" s="15"/>
      <c r="Z131" s="15"/>
      <c r="AA131" s="17"/>
    </row>
    <row r="132">
      <c r="A132" s="21"/>
      <c r="B132" s="18"/>
      <c r="C132" s="18"/>
      <c r="D132" s="18"/>
      <c r="E132" s="18"/>
      <c r="F132" s="18"/>
      <c r="G132" s="18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10">
        <f t="shared" si="2"/>
        <v>0</v>
      </c>
      <c r="W132" s="9"/>
      <c r="X132" s="9"/>
      <c r="Y132" s="9"/>
      <c r="Z132" s="9"/>
      <c r="AA132" s="11"/>
    </row>
    <row r="133">
      <c r="A133" s="19"/>
      <c r="B133" s="20"/>
      <c r="C133" s="20"/>
      <c r="D133" s="20"/>
      <c r="E133" s="20"/>
      <c r="F133" s="20"/>
      <c r="G133" s="20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6">
        <f t="shared" si="2"/>
        <v>0</v>
      </c>
      <c r="W133" s="15"/>
      <c r="X133" s="15"/>
      <c r="Y133" s="15"/>
      <c r="Z133" s="15"/>
      <c r="AA133" s="17"/>
    </row>
    <row r="134">
      <c r="A134" s="21"/>
      <c r="B134" s="18"/>
      <c r="C134" s="18"/>
      <c r="D134" s="18"/>
      <c r="E134" s="18"/>
      <c r="F134" s="18"/>
      <c r="G134" s="18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10">
        <f t="shared" si="2"/>
        <v>0</v>
      </c>
      <c r="W134" s="9"/>
      <c r="X134" s="9"/>
      <c r="Y134" s="9"/>
      <c r="Z134" s="9"/>
      <c r="AA134" s="11"/>
    </row>
    <row r="135">
      <c r="A135" s="19"/>
      <c r="B135" s="20"/>
      <c r="C135" s="20"/>
      <c r="D135" s="20"/>
      <c r="E135" s="20"/>
      <c r="F135" s="20"/>
      <c r="G135" s="20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6">
        <f t="shared" si="2"/>
        <v>0</v>
      </c>
      <c r="W135" s="15"/>
      <c r="X135" s="15"/>
      <c r="Y135" s="15"/>
      <c r="Z135" s="15"/>
      <c r="AA135" s="17"/>
    </row>
    <row r="136">
      <c r="A136" s="21"/>
      <c r="B136" s="18"/>
      <c r="C136" s="18"/>
      <c r="D136" s="18"/>
      <c r="E136" s="18"/>
      <c r="F136" s="18"/>
      <c r="G136" s="18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10">
        <f t="shared" si="2"/>
        <v>0</v>
      </c>
      <c r="W136" s="9"/>
      <c r="X136" s="9"/>
      <c r="Y136" s="9"/>
      <c r="Z136" s="9"/>
      <c r="AA136" s="11"/>
    </row>
    <row r="137">
      <c r="A137" s="19"/>
      <c r="B137" s="20"/>
      <c r="C137" s="20"/>
      <c r="D137" s="20"/>
      <c r="E137" s="20"/>
      <c r="F137" s="20"/>
      <c r="G137" s="20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6">
        <f t="shared" si="2"/>
        <v>0</v>
      </c>
      <c r="W137" s="15"/>
      <c r="X137" s="15"/>
      <c r="Y137" s="15"/>
      <c r="Z137" s="15"/>
      <c r="AA137" s="17"/>
    </row>
    <row r="138">
      <c r="A138" s="21"/>
      <c r="B138" s="18"/>
      <c r="C138" s="18"/>
      <c r="D138" s="18"/>
      <c r="E138" s="18"/>
      <c r="F138" s="18"/>
      <c r="G138" s="18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10">
        <f t="shared" si="2"/>
        <v>0</v>
      </c>
      <c r="W138" s="9"/>
      <c r="X138" s="9"/>
      <c r="Y138" s="9"/>
      <c r="Z138" s="9"/>
      <c r="AA138" s="11"/>
    </row>
    <row r="139">
      <c r="A139" s="19"/>
      <c r="B139" s="20"/>
      <c r="C139" s="20"/>
      <c r="D139" s="20"/>
      <c r="E139" s="20"/>
      <c r="F139" s="20"/>
      <c r="G139" s="20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6">
        <f t="shared" si="2"/>
        <v>0</v>
      </c>
      <c r="W139" s="15"/>
      <c r="X139" s="15"/>
      <c r="Y139" s="15"/>
      <c r="Z139" s="15"/>
      <c r="AA139" s="17"/>
    </row>
    <row r="140">
      <c r="A140" s="21"/>
      <c r="B140" s="18"/>
      <c r="C140" s="18"/>
      <c r="D140" s="18"/>
      <c r="E140" s="18"/>
      <c r="F140" s="18"/>
      <c r="G140" s="18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10">
        <f t="shared" si="2"/>
        <v>0</v>
      </c>
      <c r="W140" s="9"/>
      <c r="X140" s="9"/>
      <c r="Y140" s="9"/>
      <c r="Z140" s="9"/>
      <c r="AA140" s="11"/>
    </row>
    <row r="141">
      <c r="A141" s="19"/>
      <c r="B141" s="20"/>
      <c r="C141" s="20"/>
      <c r="D141" s="20"/>
      <c r="E141" s="20"/>
      <c r="F141" s="20"/>
      <c r="G141" s="20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6">
        <f t="shared" si="2"/>
        <v>0</v>
      </c>
      <c r="W141" s="15"/>
      <c r="X141" s="15"/>
      <c r="Y141" s="15"/>
      <c r="Z141" s="15"/>
      <c r="AA141" s="17"/>
    </row>
    <row r="142">
      <c r="A142" s="21"/>
      <c r="B142" s="18"/>
      <c r="C142" s="18"/>
      <c r="D142" s="18"/>
      <c r="E142" s="18"/>
      <c r="F142" s="18"/>
      <c r="G142" s="18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10">
        <f t="shared" si="2"/>
        <v>0</v>
      </c>
      <c r="W142" s="9"/>
      <c r="X142" s="9"/>
      <c r="Y142" s="9"/>
      <c r="Z142" s="9"/>
      <c r="AA142" s="11"/>
    </row>
    <row r="143">
      <c r="A143" s="19"/>
      <c r="B143" s="20"/>
      <c r="C143" s="20"/>
      <c r="D143" s="20"/>
      <c r="E143" s="20"/>
      <c r="F143" s="20"/>
      <c r="G143" s="20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6">
        <f t="shared" si="2"/>
        <v>0</v>
      </c>
      <c r="W143" s="15"/>
      <c r="X143" s="15"/>
      <c r="Y143" s="15"/>
      <c r="Z143" s="15"/>
      <c r="AA143" s="17"/>
    </row>
    <row r="144">
      <c r="A144" s="21"/>
      <c r="B144" s="18"/>
      <c r="C144" s="18"/>
      <c r="D144" s="18"/>
      <c r="E144" s="18"/>
      <c r="F144" s="18"/>
      <c r="G144" s="18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10">
        <f t="shared" si="2"/>
        <v>0</v>
      </c>
      <c r="W144" s="9"/>
      <c r="X144" s="9"/>
      <c r="Y144" s="9"/>
      <c r="Z144" s="9"/>
      <c r="AA144" s="11"/>
    </row>
    <row r="145">
      <c r="A145" s="19"/>
      <c r="B145" s="20"/>
      <c r="C145" s="20"/>
      <c r="D145" s="20"/>
      <c r="E145" s="20"/>
      <c r="F145" s="20"/>
      <c r="G145" s="20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6">
        <f t="shared" si="2"/>
        <v>0</v>
      </c>
      <c r="W145" s="15"/>
      <c r="X145" s="15"/>
      <c r="Y145" s="15"/>
      <c r="Z145" s="15"/>
      <c r="AA145" s="17"/>
    </row>
    <row r="146">
      <c r="A146" s="21"/>
      <c r="B146" s="18"/>
      <c r="C146" s="18"/>
      <c r="D146" s="18"/>
      <c r="E146" s="18"/>
      <c r="F146" s="18"/>
      <c r="G146" s="18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10">
        <f t="shared" si="2"/>
        <v>0</v>
      </c>
      <c r="W146" s="9"/>
      <c r="X146" s="9"/>
      <c r="Y146" s="9"/>
      <c r="Z146" s="9"/>
      <c r="AA146" s="11"/>
    </row>
    <row r="147">
      <c r="A147" s="19"/>
      <c r="B147" s="20"/>
      <c r="C147" s="20"/>
      <c r="D147" s="20"/>
      <c r="E147" s="20"/>
      <c r="F147" s="20"/>
      <c r="G147" s="20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6">
        <f t="shared" si="2"/>
        <v>0</v>
      </c>
      <c r="W147" s="15"/>
      <c r="X147" s="15"/>
      <c r="Y147" s="15"/>
      <c r="Z147" s="15"/>
      <c r="AA147" s="17"/>
    </row>
    <row r="148">
      <c r="A148" s="21"/>
      <c r="B148" s="18"/>
      <c r="C148" s="18"/>
      <c r="D148" s="18"/>
      <c r="E148" s="18"/>
      <c r="F148" s="18"/>
      <c r="G148" s="18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10">
        <f t="shared" si="2"/>
        <v>0</v>
      </c>
      <c r="W148" s="9"/>
      <c r="X148" s="9"/>
      <c r="Y148" s="9"/>
      <c r="Z148" s="9"/>
      <c r="AA148" s="11"/>
    </row>
    <row r="149">
      <c r="A149" s="19"/>
      <c r="B149" s="20"/>
      <c r="C149" s="20"/>
      <c r="D149" s="20"/>
      <c r="E149" s="20"/>
      <c r="F149" s="20"/>
      <c r="G149" s="20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6">
        <f t="shared" si="2"/>
        <v>0</v>
      </c>
      <c r="W149" s="15"/>
      <c r="X149" s="15"/>
      <c r="Y149" s="15"/>
      <c r="Z149" s="15"/>
      <c r="AA149" s="17"/>
    </row>
    <row r="150">
      <c r="A150" s="21"/>
      <c r="B150" s="18"/>
      <c r="C150" s="18"/>
      <c r="D150" s="18"/>
      <c r="E150" s="18"/>
      <c r="F150" s="18"/>
      <c r="G150" s="18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10">
        <f t="shared" si="2"/>
        <v>0</v>
      </c>
      <c r="W150" s="9"/>
      <c r="X150" s="9"/>
      <c r="Y150" s="9"/>
      <c r="Z150" s="9"/>
      <c r="AA150" s="11"/>
    </row>
    <row r="151">
      <c r="A151" s="19"/>
      <c r="B151" s="20"/>
      <c r="C151" s="20"/>
      <c r="D151" s="20"/>
      <c r="E151" s="20"/>
      <c r="F151" s="20"/>
      <c r="G151" s="20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6">
        <f t="shared" si="2"/>
        <v>0</v>
      </c>
      <c r="W151" s="15"/>
      <c r="X151" s="15"/>
      <c r="Y151" s="15"/>
      <c r="Z151" s="15"/>
      <c r="AA151" s="17"/>
    </row>
    <row r="152">
      <c r="A152" s="21"/>
      <c r="B152" s="18"/>
      <c r="C152" s="18"/>
      <c r="D152" s="18"/>
      <c r="E152" s="18"/>
      <c r="F152" s="18"/>
      <c r="G152" s="18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10">
        <f t="shared" si="2"/>
        <v>0</v>
      </c>
      <c r="W152" s="9"/>
      <c r="X152" s="9"/>
      <c r="Y152" s="9"/>
      <c r="Z152" s="9"/>
      <c r="AA152" s="11"/>
    </row>
    <row r="153">
      <c r="A153" s="19"/>
      <c r="B153" s="20"/>
      <c r="C153" s="20"/>
      <c r="D153" s="20"/>
      <c r="E153" s="20"/>
      <c r="F153" s="20"/>
      <c r="G153" s="20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6">
        <f t="shared" si="2"/>
        <v>0</v>
      </c>
      <c r="W153" s="15"/>
      <c r="X153" s="15"/>
      <c r="Y153" s="15"/>
      <c r="Z153" s="15"/>
      <c r="AA153" s="17"/>
    </row>
    <row r="154">
      <c r="A154" s="21"/>
      <c r="B154" s="18"/>
      <c r="C154" s="18"/>
      <c r="D154" s="18"/>
      <c r="E154" s="18"/>
      <c r="F154" s="18"/>
      <c r="G154" s="18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10">
        <f t="shared" si="2"/>
        <v>0</v>
      </c>
      <c r="W154" s="9"/>
      <c r="X154" s="9"/>
      <c r="Y154" s="9"/>
      <c r="Z154" s="9"/>
      <c r="AA154" s="11"/>
    </row>
    <row r="155">
      <c r="A155" s="19"/>
      <c r="B155" s="20"/>
      <c r="C155" s="20"/>
      <c r="D155" s="20"/>
      <c r="E155" s="20"/>
      <c r="F155" s="20"/>
      <c r="G155" s="20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6">
        <f t="shared" si="2"/>
        <v>0</v>
      </c>
      <c r="W155" s="15"/>
      <c r="X155" s="15"/>
      <c r="Y155" s="15"/>
      <c r="Z155" s="15"/>
      <c r="AA155" s="17"/>
    </row>
    <row r="156">
      <c r="A156" s="21"/>
      <c r="B156" s="18"/>
      <c r="C156" s="18"/>
      <c r="D156" s="18"/>
      <c r="E156" s="18"/>
      <c r="F156" s="18"/>
      <c r="G156" s="18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10">
        <f t="shared" si="2"/>
        <v>0</v>
      </c>
      <c r="W156" s="9"/>
      <c r="X156" s="9"/>
      <c r="Y156" s="9"/>
      <c r="Z156" s="9"/>
      <c r="AA156" s="11"/>
    </row>
    <row r="157">
      <c r="A157" s="19"/>
      <c r="B157" s="20"/>
      <c r="C157" s="20"/>
      <c r="D157" s="20"/>
      <c r="E157" s="20"/>
      <c r="F157" s="20"/>
      <c r="G157" s="20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6">
        <f t="shared" si="2"/>
        <v>0</v>
      </c>
      <c r="W157" s="15"/>
      <c r="X157" s="15"/>
      <c r="Y157" s="15"/>
      <c r="Z157" s="15"/>
      <c r="AA157" s="17"/>
    </row>
    <row r="158">
      <c r="A158" s="21"/>
      <c r="B158" s="18"/>
      <c r="C158" s="18"/>
      <c r="D158" s="18"/>
      <c r="E158" s="18"/>
      <c r="F158" s="18"/>
      <c r="G158" s="18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10">
        <f t="shared" si="2"/>
        <v>0</v>
      </c>
      <c r="W158" s="9"/>
      <c r="X158" s="9"/>
      <c r="Y158" s="9"/>
      <c r="Z158" s="9"/>
      <c r="AA158" s="11"/>
    </row>
    <row r="159">
      <c r="A159" s="19"/>
      <c r="B159" s="20"/>
      <c r="C159" s="20"/>
      <c r="D159" s="20"/>
      <c r="E159" s="20"/>
      <c r="F159" s="20"/>
      <c r="G159" s="20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6">
        <f t="shared" si="2"/>
        <v>0</v>
      </c>
      <c r="W159" s="15"/>
      <c r="X159" s="15"/>
      <c r="Y159" s="15"/>
      <c r="Z159" s="15"/>
      <c r="AA159" s="17"/>
    </row>
    <row r="160">
      <c r="A160" s="21"/>
      <c r="B160" s="18"/>
      <c r="C160" s="18"/>
      <c r="D160" s="18"/>
      <c r="E160" s="18"/>
      <c r="F160" s="18"/>
      <c r="G160" s="18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10">
        <f t="shared" si="2"/>
        <v>0</v>
      </c>
      <c r="W160" s="9"/>
      <c r="X160" s="9"/>
      <c r="Y160" s="9"/>
      <c r="Z160" s="9"/>
      <c r="AA160" s="11"/>
    </row>
    <row r="161">
      <c r="A161" s="19"/>
      <c r="B161" s="20"/>
      <c r="C161" s="20"/>
      <c r="D161" s="20"/>
      <c r="E161" s="20"/>
      <c r="F161" s="20"/>
      <c r="G161" s="20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6">
        <f t="shared" si="2"/>
        <v>0</v>
      </c>
      <c r="W161" s="15"/>
      <c r="X161" s="15"/>
      <c r="Y161" s="15"/>
      <c r="Z161" s="15"/>
      <c r="AA161" s="17"/>
    </row>
    <row r="162">
      <c r="A162" s="21"/>
      <c r="B162" s="18"/>
      <c r="C162" s="18"/>
      <c r="D162" s="18"/>
      <c r="E162" s="18"/>
      <c r="F162" s="18"/>
      <c r="G162" s="18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10">
        <f t="shared" si="2"/>
        <v>0</v>
      </c>
      <c r="W162" s="9"/>
      <c r="X162" s="9"/>
      <c r="Y162" s="9"/>
      <c r="Z162" s="9"/>
      <c r="AA162" s="11"/>
    </row>
    <row r="163">
      <c r="A163" s="19"/>
      <c r="B163" s="20"/>
      <c r="C163" s="20"/>
      <c r="D163" s="20"/>
      <c r="E163" s="20"/>
      <c r="F163" s="20"/>
      <c r="G163" s="20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6">
        <f t="shared" si="2"/>
        <v>0</v>
      </c>
      <c r="W163" s="15"/>
      <c r="X163" s="15"/>
      <c r="Y163" s="15"/>
      <c r="Z163" s="15"/>
      <c r="AA163" s="17"/>
    </row>
    <row r="164">
      <c r="A164" s="21"/>
      <c r="B164" s="18"/>
      <c r="C164" s="18"/>
      <c r="D164" s="18"/>
      <c r="E164" s="18"/>
      <c r="F164" s="18"/>
      <c r="G164" s="18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10">
        <f t="shared" si="2"/>
        <v>0</v>
      </c>
      <c r="W164" s="9"/>
      <c r="X164" s="9"/>
      <c r="Y164" s="9"/>
      <c r="Z164" s="9"/>
      <c r="AA164" s="11"/>
    </row>
    <row r="165">
      <c r="A165" s="19"/>
      <c r="B165" s="20"/>
      <c r="C165" s="20"/>
      <c r="D165" s="20"/>
      <c r="E165" s="20"/>
      <c r="F165" s="20"/>
      <c r="G165" s="20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6">
        <f t="shared" si="2"/>
        <v>0</v>
      </c>
      <c r="W165" s="15"/>
      <c r="X165" s="15"/>
      <c r="Y165" s="15"/>
      <c r="Z165" s="15"/>
      <c r="AA165" s="17"/>
    </row>
    <row r="166">
      <c r="A166" s="21"/>
      <c r="B166" s="18"/>
      <c r="C166" s="18"/>
      <c r="D166" s="18"/>
      <c r="E166" s="18"/>
      <c r="F166" s="18"/>
      <c r="G166" s="18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10">
        <f t="shared" si="2"/>
        <v>0</v>
      </c>
      <c r="W166" s="9"/>
      <c r="X166" s="9"/>
      <c r="Y166" s="9"/>
      <c r="Z166" s="9"/>
      <c r="AA166" s="11"/>
    </row>
    <row r="167">
      <c r="A167" s="19"/>
      <c r="B167" s="20"/>
      <c r="C167" s="20"/>
      <c r="D167" s="20"/>
      <c r="E167" s="20"/>
      <c r="F167" s="20"/>
      <c r="G167" s="20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6">
        <f t="shared" si="2"/>
        <v>0</v>
      </c>
      <c r="W167" s="15"/>
      <c r="X167" s="15"/>
      <c r="Y167" s="15"/>
      <c r="Z167" s="15"/>
      <c r="AA167" s="17"/>
    </row>
    <row r="168">
      <c r="A168" s="21"/>
      <c r="B168" s="18"/>
      <c r="C168" s="18"/>
      <c r="D168" s="18"/>
      <c r="E168" s="18"/>
      <c r="F168" s="18"/>
      <c r="G168" s="18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10">
        <f t="shared" si="2"/>
        <v>0</v>
      </c>
      <c r="W168" s="9"/>
      <c r="X168" s="9"/>
      <c r="Y168" s="9"/>
      <c r="Z168" s="9"/>
      <c r="AA168" s="11"/>
    </row>
    <row r="169">
      <c r="A169" s="19"/>
      <c r="B169" s="20"/>
      <c r="C169" s="20"/>
      <c r="D169" s="20"/>
      <c r="E169" s="20"/>
      <c r="F169" s="20"/>
      <c r="G169" s="20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6">
        <f t="shared" si="2"/>
        <v>0</v>
      </c>
      <c r="W169" s="15"/>
      <c r="X169" s="15"/>
      <c r="Y169" s="15"/>
      <c r="Z169" s="15"/>
      <c r="AA169" s="17"/>
    </row>
    <row r="170">
      <c r="A170" s="21"/>
      <c r="B170" s="18"/>
      <c r="C170" s="18"/>
      <c r="D170" s="18"/>
      <c r="E170" s="18"/>
      <c r="F170" s="18"/>
      <c r="G170" s="18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10">
        <f t="shared" si="2"/>
        <v>0</v>
      </c>
      <c r="W170" s="9"/>
      <c r="X170" s="9"/>
      <c r="Y170" s="9"/>
      <c r="Z170" s="9"/>
      <c r="AA170" s="11"/>
    </row>
    <row r="171">
      <c r="A171" s="19"/>
      <c r="B171" s="20"/>
      <c r="C171" s="20"/>
      <c r="D171" s="20"/>
      <c r="E171" s="20"/>
      <c r="F171" s="20"/>
      <c r="G171" s="20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6">
        <f t="shared" si="2"/>
        <v>0</v>
      </c>
      <c r="W171" s="15"/>
      <c r="X171" s="15"/>
      <c r="Y171" s="15"/>
      <c r="Z171" s="15"/>
      <c r="AA171" s="17"/>
    </row>
    <row r="172">
      <c r="A172" s="21"/>
      <c r="B172" s="18"/>
      <c r="C172" s="18"/>
      <c r="D172" s="18"/>
      <c r="E172" s="18"/>
      <c r="F172" s="18"/>
      <c r="G172" s="18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10">
        <f t="shared" si="2"/>
        <v>0</v>
      </c>
      <c r="W172" s="9"/>
      <c r="X172" s="9"/>
      <c r="Y172" s="9"/>
      <c r="Z172" s="9"/>
      <c r="AA172" s="11"/>
    </row>
    <row r="173">
      <c r="A173" s="19"/>
      <c r="B173" s="20"/>
      <c r="C173" s="20"/>
      <c r="D173" s="20"/>
      <c r="E173" s="20"/>
      <c r="F173" s="20"/>
      <c r="G173" s="20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6">
        <f t="shared" si="2"/>
        <v>0</v>
      </c>
      <c r="W173" s="15"/>
      <c r="X173" s="15"/>
      <c r="Y173" s="15"/>
      <c r="Z173" s="15"/>
      <c r="AA173" s="17"/>
    </row>
    <row r="174">
      <c r="A174" s="21"/>
      <c r="B174" s="18"/>
      <c r="C174" s="18"/>
      <c r="D174" s="18"/>
      <c r="E174" s="18"/>
      <c r="F174" s="18"/>
      <c r="G174" s="18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10">
        <f t="shared" si="2"/>
        <v>0</v>
      </c>
      <c r="W174" s="9"/>
      <c r="X174" s="9"/>
      <c r="Y174" s="9"/>
      <c r="Z174" s="9"/>
      <c r="AA174" s="11"/>
    </row>
    <row r="175">
      <c r="A175" s="19"/>
      <c r="B175" s="20"/>
      <c r="C175" s="20"/>
      <c r="D175" s="20"/>
      <c r="E175" s="20"/>
      <c r="F175" s="20"/>
      <c r="G175" s="20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6">
        <f t="shared" si="2"/>
        <v>0</v>
      </c>
      <c r="W175" s="15"/>
      <c r="X175" s="15"/>
      <c r="Y175" s="15"/>
      <c r="Z175" s="15"/>
      <c r="AA175" s="17"/>
    </row>
    <row r="176">
      <c r="A176" s="21"/>
      <c r="B176" s="18"/>
      <c r="C176" s="18"/>
      <c r="D176" s="18"/>
      <c r="E176" s="18"/>
      <c r="F176" s="18"/>
      <c r="G176" s="18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10">
        <f t="shared" si="2"/>
        <v>0</v>
      </c>
      <c r="W176" s="9"/>
      <c r="X176" s="9"/>
      <c r="Y176" s="9"/>
      <c r="Z176" s="9"/>
      <c r="AA176" s="11"/>
    </row>
    <row r="177">
      <c r="A177" s="19"/>
      <c r="B177" s="20"/>
      <c r="C177" s="20"/>
      <c r="D177" s="20"/>
      <c r="E177" s="20"/>
      <c r="F177" s="20"/>
      <c r="G177" s="20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6">
        <f t="shared" si="2"/>
        <v>0</v>
      </c>
      <c r="W177" s="15"/>
      <c r="X177" s="15"/>
      <c r="Y177" s="15"/>
      <c r="Z177" s="15"/>
      <c r="AA177" s="17"/>
    </row>
    <row r="178">
      <c r="A178" s="21"/>
      <c r="B178" s="18"/>
      <c r="C178" s="18"/>
      <c r="D178" s="18"/>
      <c r="E178" s="18"/>
      <c r="F178" s="18"/>
      <c r="G178" s="18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10">
        <f t="shared" si="2"/>
        <v>0</v>
      </c>
      <c r="W178" s="9"/>
      <c r="X178" s="9"/>
      <c r="Y178" s="9"/>
      <c r="Z178" s="9"/>
      <c r="AA178" s="11"/>
    </row>
    <row r="179">
      <c r="A179" s="19"/>
      <c r="B179" s="20"/>
      <c r="C179" s="20"/>
      <c r="D179" s="20"/>
      <c r="E179" s="20"/>
      <c r="F179" s="20"/>
      <c r="G179" s="20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6">
        <f t="shared" si="2"/>
        <v>0</v>
      </c>
      <c r="W179" s="15"/>
      <c r="X179" s="15"/>
      <c r="Y179" s="15"/>
      <c r="Z179" s="15"/>
      <c r="AA179" s="17"/>
    </row>
    <row r="180">
      <c r="A180" s="21"/>
      <c r="B180" s="18"/>
      <c r="C180" s="18"/>
      <c r="D180" s="18"/>
      <c r="E180" s="18"/>
      <c r="F180" s="18"/>
      <c r="G180" s="18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10">
        <f t="shared" si="2"/>
        <v>0</v>
      </c>
      <c r="W180" s="9"/>
      <c r="X180" s="9"/>
      <c r="Y180" s="9"/>
      <c r="Z180" s="9"/>
      <c r="AA180" s="11"/>
    </row>
    <row r="181">
      <c r="A181" s="19"/>
      <c r="B181" s="20"/>
      <c r="C181" s="20"/>
      <c r="D181" s="20"/>
      <c r="E181" s="20"/>
      <c r="F181" s="20"/>
      <c r="G181" s="20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6">
        <f t="shared" si="2"/>
        <v>0</v>
      </c>
      <c r="W181" s="15"/>
      <c r="X181" s="15"/>
      <c r="Y181" s="15"/>
      <c r="Z181" s="15"/>
      <c r="AA181" s="17"/>
    </row>
    <row r="182">
      <c r="A182" s="21"/>
      <c r="B182" s="18"/>
      <c r="C182" s="18"/>
      <c r="D182" s="18"/>
      <c r="E182" s="18"/>
      <c r="F182" s="18"/>
      <c r="G182" s="18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10">
        <f t="shared" si="2"/>
        <v>0</v>
      </c>
      <c r="W182" s="9"/>
      <c r="X182" s="9"/>
      <c r="Y182" s="9"/>
      <c r="Z182" s="9"/>
      <c r="AA182" s="11"/>
    </row>
    <row r="183">
      <c r="A183" s="19"/>
      <c r="B183" s="20"/>
      <c r="C183" s="20"/>
      <c r="D183" s="20"/>
      <c r="E183" s="20"/>
      <c r="F183" s="20"/>
      <c r="G183" s="20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6">
        <f t="shared" si="2"/>
        <v>0</v>
      </c>
      <c r="W183" s="15"/>
      <c r="X183" s="15"/>
      <c r="Y183" s="15"/>
      <c r="Z183" s="15"/>
      <c r="AA183" s="17"/>
    </row>
    <row r="184">
      <c r="A184" s="21"/>
      <c r="B184" s="18"/>
      <c r="C184" s="18"/>
      <c r="D184" s="18"/>
      <c r="E184" s="18"/>
      <c r="F184" s="18"/>
      <c r="G184" s="18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10">
        <f t="shared" si="2"/>
        <v>0</v>
      </c>
      <c r="W184" s="9"/>
      <c r="X184" s="9"/>
      <c r="Y184" s="9"/>
      <c r="Z184" s="9"/>
      <c r="AA184" s="11"/>
    </row>
    <row r="185">
      <c r="A185" s="19"/>
      <c r="B185" s="20"/>
      <c r="C185" s="20"/>
      <c r="D185" s="20"/>
      <c r="E185" s="20"/>
      <c r="F185" s="20"/>
      <c r="G185" s="20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6">
        <f t="shared" si="2"/>
        <v>0</v>
      </c>
      <c r="W185" s="15"/>
      <c r="X185" s="15"/>
      <c r="Y185" s="15"/>
      <c r="Z185" s="15"/>
      <c r="AA185" s="17"/>
    </row>
    <row r="186">
      <c r="A186" s="21"/>
      <c r="B186" s="18"/>
      <c r="C186" s="18"/>
      <c r="D186" s="18"/>
      <c r="E186" s="18"/>
      <c r="F186" s="18"/>
      <c r="G186" s="18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10">
        <f t="shared" si="2"/>
        <v>0</v>
      </c>
      <c r="W186" s="9"/>
      <c r="X186" s="9"/>
      <c r="Y186" s="9"/>
      <c r="Z186" s="9"/>
      <c r="AA186" s="11"/>
    </row>
    <row r="187">
      <c r="A187" s="19"/>
      <c r="B187" s="20"/>
      <c r="C187" s="20"/>
      <c r="D187" s="20"/>
      <c r="E187" s="20"/>
      <c r="F187" s="20"/>
      <c r="G187" s="20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6">
        <f t="shared" si="2"/>
        <v>0</v>
      </c>
      <c r="W187" s="15"/>
      <c r="X187" s="15"/>
      <c r="Y187" s="15"/>
      <c r="Z187" s="15"/>
      <c r="AA187" s="17"/>
    </row>
    <row r="188">
      <c r="A188" s="21"/>
      <c r="B188" s="18"/>
      <c r="C188" s="18"/>
      <c r="D188" s="18"/>
      <c r="E188" s="18"/>
      <c r="F188" s="18"/>
      <c r="G188" s="18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10">
        <f t="shared" si="2"/>
        <v>0</v>
      </c>
      <c r="W188" s="9"/>
      <c r="X188" s="9"/>
      <c r="Y188" s="9"/>
      <c r="Z188" s="9"/>
      <c r="AA188" s="11"/>
    </row>
    <row r="189">
      <c r="A189" s="19"/>
      <c r="B189" s="20"/>
      <c r="C189" s="20"/>
      <c r="D189" s="20"/>
      <c r="E189" s="20"/>
      <c r="F189" s="20"/>
      <c r="G189" s="20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6">
        <f t="shared" si="2"/>
        <v>0</v>
      </c>
      <c r="W189" s="15"/>
      <c r="X189" s="15"/>
      <c r="Y189" s="15"/>
      <c r="Z189" s="15"/>
      <c r="AA189" s="17"/>
    </row>
    <row r="190">
      <c r="A190" s="21"/>
      <c r="B190" s="18"/>
      <c r="C190" s="18"/>
      <c r="D190" s="18"/>
      <c r="E190" s="18"/>
      <c r="F190" s="18"/>
      <c r="G190" s="18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10">
        <f t="shared" si="2"/>
        <v>0</v>
      </c>
      <c r="W190" s="9"/>
      <c r="X190" s="9"/>
      <c r="Y190" s="9"/>
      <c r="Z190" s="9"/>
      <c r="AA190" s="11"/>
    </row>
    <row r="191">
      <c r="A191" s="19"/>
      <c r="B191" s="20"/>
      <c r="C191" s="20"/>
      <c r="D191" s="20"/>
      <c r="E191" s="20"/>
      <c r="F191" s="20"/>
      <c r="G191" s="20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6">
        <f t="shared" si="2"/>
        <v>0</v>
      </c>
      <c r="W191" s="15"/>
      <c r="X191" s="15"/>
      <c r="Y191" s="15"/>
      <c r="Z191" s="15"/>
      <c r="AA191" s="17"/>
    </row>
    <row r="192">
      <c r="A192" s="21"/>
      <c r="B192" s="18"/>
      <c r="C192" s="18"/>
      <c r="D192" s="18"/>
      <c r="E192" s="18"/>
      <c r="F192" s="18"/>
      <c r="G192" s="18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10">
        <f t="shared" si="2"/>
        <v>0</v>
      </c>
      <c r="W192" s="9"/>
      <c r="X192" s="9"/>
      <c r="Y192" s="9"/>
      <c r="Z192" s="9"/>
      <c r="AA192" s="11"/>
    </row>
    <row r="193">
      <c r="A193" s="19"/>
      <c r="B193" s="20"/>
      <c r="C193" s="20"/>
      <c r="D193" s="20"/>
      <c r="E193" s="20"/>
      <c r="F193" s="20"/>
      <c r="G193" s="20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6">
        <f t="shared" si="2"/>
        <v>0</v>
      </c>
      <c r="W193" s="15"/>
      <c r="X193" s="15"/>
      <c r="Y193" s="15"/>
      <c r="Z193" s="15"/>
      <c r="AA193" s="17"/>
    </row>
    <row r="194">
      <c r="A194" s="21"/>
      <c r="B194" s="18"/>
      <c r="C194" s="18"/>
      <c r="D194" s="18"/>
      <c r="E194" s="18"/>
      <c r="F194" s="18"/>
      <c r="G194" s="18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10">
        <f t="shared" si="2"/>
        <v>0</v>
      </c>
      <c r="W194" s="9"/>
      <c r="X194" s="9"/>
      <c r="Y194" s="9"/>
      <c r="Z194" s="9"/>
      <c r="AA194" s="11"/>
    </row>
    <row r="195">
      <c r="A195" s="19"/>
      <c r="B195" s="20"/>
      <c r="C195" s="20"/>
      <c r="D195" s="20"/>
      <c r="E195" s="20"/>
      <c r="F195" s="20"/>
      <c r="G195" s="20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6">
        <f t="shared" si="2"/>
        <v>0</v>
      </c>
      <c r="W195" s="15"/>
      <c r="X195" s="15"/>
      <c r="Y195" s="15"/>
      <c r="Z195" s="15"/>
      <c r="AA195" s="17"/>
    </row>
    <row r="196">
      <c r="A196" s="21"/>
      <c r="B196" s="18"/>
      <c r="C196" s="18"/>
      <c r="D196" s="18"/>
      <c r="E196" s="18"/>
      <c r="F196" s="18"/>
      <c r="G196" s="18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10">
        <f t="shared" si="2"/>
        <v>0</v>
      </c>
      <c r="W196" s="9"/>
      <c r="X196" s="9"/>
      <c r="Y196" s="9"/>
      <c r="Z196" s="9"/>
      <c r="AA196" s="11"/>
    </row>
    <row r="197">
      <c r="A197" s="19"/>
      <c r="B197" s="20"/>
      <c r="C197" s="20"/>
      <c r="D197" s="20"/>
      <c r="E197" s="20"/>
      <c r="F197" s="20"/>
      <c r="G197" s="20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6">
        <f t="shared" si="2"/>
        <v>0</v>
      </c>
      <c r="W197" s="15"/>
      <c r="X197" s="15"/>
      <c r="Y197" s="15"/>
      <c r="Z197" s="15"/>
      <c r="AA197" s="17"/>
    </row>
    <row r="198">
      <c r="A198" s="21"/>
      <c r="B198" s="18"/>
      <c r="C198" s="18"/>
      <c r="D198" s="18"/>
      <c r="E198" s="18"/>
      <c r="F198" s="18"/>
      <c r="G198" s="18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10">
        <f t="shared" si="2"/>
        <v>0</v>
      </c>
      <c r="W198" s="9"/>
      <c r="X198" s="9"/>
      <c r="Y198" s="9"/>
      <c r="Z198" s="9"/>
      <c r="AA198" s="11"/>
    </row>
    <row r="199">
      <c r="A199" s="19"/>
      <c r="B199" s="20"/>
      <c r="C199" s="20"/>
      <c r="D199" s="20"/>
      <c r="E199" s="20"/>
      <c r="F199" s="20"/>
      <c r="G199" s="20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6">
        <f t="shared" si="2"/>
        <v>0</v>
      </c>
      <c r="W199" s="15"/>
      <c r="X199" s="15"/>
      <c r="Y199" s="15"/>
      <c r="Z199" s="15"/>
      <c r="AA199" s="17"/>
    </row>
    <row r="200">
      <c r="A200" s="21"/>
      <c r="B200" s="18"/>
      <c r="C200" s="18"/>
      <c r="D200" s="18"/>
      <c r="E200" s="18"/>
      <c r="F200" s="18"/>
      <c r="G200" s="18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10">
        <f t="shared" si="2"/>
        <v>0</v>
      </c>
      <c r="W200" s="9"/>
      <c r="X200" s="9"/>
      <c r="Y200" s="9"/>
      <c r="Z200" s="9"/>
      <c r="AA200" s="11"/>
    </row>
    <row r="201">
      <c r="A201" s="19"/>
      <c r="B201" s="20"/>
      <c r="C201" s="20"/>
      <c r="D201" s="20"/>
      <c r="E201" s="20"/>
      <c r="F201" s="20"/>
      <c r="G201" s="20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6">
        <f t="shared" si="2"/>
        <v>0</v>
      </c>
      <c r="W201" s="15"/>
      <c r="X201" s="15"/>
      <c r="Y201" s="15"/>
      <c r="Z201" s="15"/>
      <c r="AA201" s="17"/>
    </row>
    <row r="202">
      <c r="A202" s="21"/>
      <c r="B202" s="18"/>
      <c r="C202" s="18"/>
      <c r="D202" s="18"/>
      <c r="E202" s="18"/>
      <c r="F202" s="18"/>
      <c r="G202" s="18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10">
        <f t="shared" si="2"/>
        <v>0</v>
      </c>
      <c r="W202" s="9"/>
      <c r="X202" s="9"/>
      <c r="Y202" s="9"/>
      <c r="Z202" s="9"/>
      <c r="AA202" s="11"/>
    </row>
    <row r="203">
      <c r="A203" s="19"/>
      <c r="B203" s="20"/>
      <c r="C203" s="20"/>
      <c r="D203" s="20"/>
      <c r="E203" s="20"/>
      <c r="F203" s="20"/>
      <c r="G203" s="20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6">
        <f t="shared" si="2"/>
        <v>0</v>
      </c>
      <c r="W203" s="15"/>
      <c r="X203" s="15"/>
      <c r="Y203" s="15"/>
      <c r="Z203" s="15"/>
      <c r="AA203" s="17"/>
    </row>
    <row r="204">
      <c r="A204" s="21"/>
      <c r="B204" s="18"/>
      <c r="C204" s="18"/>
      <c r="D204" s="18"/>
      <c r="E204" s="18"/>
      <c r="F204" s="18"/>
      <c r="G204" s="18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10">
        <f t="shared" si="2"/>
        <v>0</v>
      </c>
      <c r="W204" s="9"/>
      <c r="X204" s="9"/>
      <c r="Y204" s="9"/>
      <c r="Z204" s="9"/>
      <c r="AA204" s="11"/>
    </row>
    <row r="205">
      <c r="A205" s="19"/>
      <c r="B205" s="20"/>
      <c r="C205" s="20"/>
      <c r="D205" s="20"/>
      <c r="E205" s="20"/>
      <c r="F205" s="20"/>
      <c r="G205" s="20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6">
        <f t="shared" si="2"/>
        <v>0</v>
      </c>
      <c r="W205" s="15"/>
      <c r="X205" s="15"/>
      <c r="Y205" s="15"/>
      <c r="Z205" s="15"/>
      <c r="AA205" s="17"/>
    </row>
    <row r="206">
      <c r="A206" s="21"/>
      <c r="B206" s="18"/>
      <c r="C206" s="18"/>
      <c r="D206" s="18"/>
      <c r="E206" s="18"/>
      <c r="F206" s="18"/>
      <c r="G206" s="18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10">
        <f t="shared" si="2"/>
        <v>0</v>
      </c>
      <c r="W206" s="9"/>
      <c r="X206" s="9"/>
      <c r="Y206" s="9"/>
      <c r="Z206" s="9"/>
      <c r="AA206" s="11"/>
    </row>
    <row r="207">
      <c r="A207" s="19"/>
      <c r="B207" s="20"/>
      <c r="C207" s="20"/>
      <c r="D207" s="20"/>
      <c r="E207" s="20"/>
      <c r="F207" s="20"/>
      <c r="G207" s="20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6">
        <f t="shared" si="2"/>
        <v>0</v>
      </c>
      <c r="W207" s="15"/>
      <c r="X207" s="15"/>
      <c r="Y207" s="15"/>
      <c r="Z207" s="15"/>
      <c r="AA207" s="17"/>
    </row>
    <row r="208">
      <c r="A208" s="21"/>
      <c r="B208" s="18"/>
      <c r="C208" s="18"/>
      <c r="D208" s="18"/>
      <c r="E208" s="18"/>
      <c r="F208" s="18"/>
      <c r="G208" s="18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10">
        <f t="shared" si="2"/>
        <v>0</v>
      </c>
      <c r="W208" s="9"/>
      <c r="X208" s="9"/>
      <c r="Y208" s="9"/>
      <c r="Z208" s="9"/>
      <c r="AA208" s="11"/>
    </row>
    <row r="209">
      <c r="A209" s="19"/>
      <c r="B209" s="20"/>
      <c r="C209" s="20"/>
      <c r="D209" s="20"/>
      <c r="E209" s="20"/>
      <c r="F209" s="20"/>
      <c r="G209" s="20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6">
        <f t="shared" si="2"/>
        <v>0</v>
      </c>
      <c r="W209" s="15"/>
      <c r="X209" s="15"/>
      <c r="Y209" s="15"/>
      <c r="Z209" s="15"/>
      <c r="AA209" s="17"/>
    </row>
    <row r="210">
      <c r="A210" s="21"/>
      <c r="B210" s="18"/>
      <c r="C210" s="18"/>
      <c r="D210" s="18"/>
      <c r="E210" s="18"/>
      <c r="F210" s="18"/>
      <c r="G210" s="18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10">
        <f t="shared" si="2"/>
        <v>0</v>
      </c>
      <c r="W210" s="9"/>
      <c r="X210" s="9"/>
      <c r="Y210" s="9"/>
      <c r="Z210" s="9"/>
      <c r="AA210" s="11"/>
    </row>
    <row r="211">
      <c r="A211" s="19"/>
      <c r="B211" s="20"/>
      <c r="C211" s="20"/>
      <c r="D211" s="20"/>
      <c r="E211" s="20"/>
      <c r="F211" s="20"/>
      <c r="G211" s="20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6">
        <f t="shared" si="2"/>
        <v>0</v>
      </c>
      <c r="W211" s="15"/>
      <c r="X211" s="15"/>
      <c r="Y211" s="15"/>
      <c r="Z211" s="15"/>
      <c r="AA211" s="17"/>
    </row>
    <row r="212">
      <c r="A212" s="21"/>
      <c r="B212" s="18"/>
      <c r="C212" s="18"/>
      <c r="D212" s="18"/>
      <c r="E212" s="18"/>
      <c r="F212" s="18"/>
      <c r="G212" s="18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10">
        <f t="shared" si="2"/>
        <v>0</v>
      </c>
      <c r="W212" s="9"/>
      <c r="X212" s="9"/>
      <c r="Y212" s="9"/>
      <c r="Z212" s="9"/>
      <c r="AA212" s="11"/>
    </row>
    <row r="213">
      <c r="A213" s="19"/>
      <c r="B213" s="20"/>
      <c r="C213" s="20"/>
      <c r="D213" s="20"/>
      <c r="E213" s="20"/>
      <c r="F213" s="20"/>
      <c r="G213" s="20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6">
        <f t="shared" si="2"/>
        <v>0</v>
      </c>
      <c r="W213" s="15"/>
      <c r="X213" s="15"/>
      <c r="Y213" s="15"/>
      <c r="Z213" s="15"/>
      <c r="AA213" s="17"/>
    </row>
    <row r="214">
      <c r="A214" s="21"/>
      <c r="B214" s="18"/>
      <c r="C214" s="18"/>
      <c r="D214" s="18"/>
      <c r="E214" s="18"/>
      <c r="F214" s="18"/>
      <c r="G214" s="18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10">
        <f t="shared" si="2"/>
        <v>0</v>
      </c>
      <c r="W214" s="9"/>
      <c r="X214" s="9"/>
      <c r="Y214" s="9"/>
      <c r="Z214" s="9"/>
      <c r="AA214" s="11"/>
    </row>
    <row r="215">
      <c r="A215" s="19"/>
      <c r="B215" s="20"/>
      <c r="C215" s="20"/>
      <c r="D215" s="20"/>
      <c r="E215" s="20"/>
      <c r="F215" s="20"/>
      <c r="G215" s="20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6">
        <f t="shared" si="2"/>
        <v>0</v>
      </c>
      <c r="W215" s="15"/>
      <c r="X215" s="15"/>
      <c r="Y215" s="15"/>
      <c r="Z215" s="15"/>
      <c r="AA215" s="17"/>
    </row>
    <row r="216">
      <c r="A216" s="21"/>
      <c r="B216" s="18"/>
      <c r="C216" s="18"/>
      <c r="D216" s="18"/>
      <c r="E216" s="18"/>
      <c r="F216" s="18"/>
      <c r="G216" s="18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10">
        <f t="shared" si="2"/>
        <v>0</v>
      </c>
      <c r="W216" s="9"/>
      <c r="X216" s="9"/>
      <c r="Y216" s="9"/>
      <c r="Z216" s="9"/>
      <c r="AA216" s="11"/>
    </row>
    <row r="217">
      <c r="A217" s="19"/>
      <c r="B217" s="20"/>
      <c r="C217" s="20"/>
      <c r="D217" s="20"/>
      <c r="E217" s="20"/>
      <c r="F217" s="20"/>
      <c r="G217" s="20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6">
        <f t="shared" si="2"/>
        <v>0</v>
      </c>
      <c r="W217" s="15"/>
      <c r="X217" s="15"/>
      <c r="Y217" s="15"/>
      <c r="Z217" s="15"/>
      <c r="AA217" s="17"/>
    </row>
    <row r="218">
      <c r="A218" s="21"/>
      <c r="B218" s="18"/>
      <c r="C218" s="18"/>
      <c r="D218" s="18"/>
      <c r="E218" s="18"/>
      <c r="F218" s="18"/>
      <c r="G218" s="18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10">
        <f t="shared" si="2"/>
        <v>0</v>
      </c>
      <c r="W218" s="9"/>
      <c r="X218" s="9"/>
      <c r="Y218" s="9"/>
      <c r="Z218" s="9"/>
      <c r="AA218" s="11"/>
    </row>
    <row r="219">
      <c r="A219" s="19"/>
      <c r="B219" s="20"/>
      <c r="C219" s="20"/>
      <c r="D219" s="20"/>
      <c r="E219" s="20"/>
      <c r="F219" s="20"/>
      <c r="G219" s="20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6">
        <f t="shared" si="2"/>
        <v>0</v>
      </c>
      <c r="W219" s="15"/>
      <c r="X219" s="15"/>
      <c r="Y219" s="15"/>
      <c r="Z219" s="15"/>
      <c r="AA219" s="17"/>
    </row>
    <row r="220">
      <c r="A220" s="21"/>
      <c r="B220" s="18"/>
      <c r="C220" s="18"/>
      <c r="D220" s="18"/>
      <c r="E220" s="18"/>
      <c r="F220" s="18"/>
      <c r="G220" s="18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10">
        <f t="shared" si="2"/>
        <v>0</v>
      </c>
      <c r="W220" s="9"/>
      <c r="X220" s="9"/>
      <c r="Y220" s="9"/>
      <c r="Z220" s="9"/>
      <c r="AA220" s="11"/>
    </row>
    <row r="221">
      <c r="A221" s="19"/>
      <c r="B221" s="20"/>
      <c r="C221" s="20"/>
      <c r="D221" s="20"/>
      <c r="E221" s="20"/>
      <c r="F221" s="20"/>
      <c r="G221" s="20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6">
        <f t="shared" si="2"/>
        <v>0</v>
      </c>
      <c r="W221" s="15"/>
      <c r="X221" s="15"/>
      <c r="Y221" s="15"/>
      <c r="Z221" s="15"/>
      <c r="AA221" s="17"/>
    </row>
    <row r="222">
      <c r="A222" s="21"/>
      <c r="B222" s="18"/>
      <c r="C222" s="18"/>
      <c r="D222" s="18"/>
      <c r="E222" s="18"/>
      <c r="F222" s="18"/>
      <c r="G222" s="18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10">
        <f t="shared" si="2"/>
        <v>0</v>
      </c>
      <c r="W222" s="9"/>
      <c r="X222" s="9"/>
      <c r="Y222" s="9"/>
      <c r="Z222" s="9"/>
      <c r="AA222" s="11"/>
    </row>
    <row r="223">
      <c r="A223" s="19"/>
      <c r="B223" s="20"/>
      <c r="C223" s="20"/>
      <c r="D223" s="20"/>
      <c r="E223" s="20"/>
      <c r="F223" s="20"/>
      <c r="G223" s="20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6">
        <f t="shared" si="2"/>
        <v>0</v>
      </c>
      <c r="W223" s="15"/>
      <c r="X223" s="15"/>
      <c r="Y223" s="15"/>
      <c r="Z223" s="15"/>
      <c r="AA223" s="17"/>
    </row>
    <row r="224">
      <c r="A224" s="21"/>
      <c r="B224" s="18"/>
      <c r="C224" s="18"/>
      <c r="D224" s="18"/>
      <c r="E224" s="18"/>
      <c r="F224" s="18"/>
      <c r="G224" s="18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10">
        <f t="shared" si="2"/>
        <v>0</v>
      </c>
      <c r="W224" s="9"/>
      <c r="X224" s="9"/>
      <c r="Y224" s="9"/>
      <c r="Z224" s="9"/>
      <c r="AA224" s="11"/>
    </row>
    <row r="225">
      <c r="A225" s="19"/>
      <c r="B225" s="20"/>
      <c r="C225" s="20"/>
      <c r="D225" s="20"/>
      <c r="E225" s="20"/>
      <c r="F225" s="20"/>
      <c r="G225" s="20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6">
        <f t="shared" si="2"/>
        <v>0</v>
      </c>
      <c r="W225" s="15"/>
      <c r="X225" s="15"/>
      <c r="Y225" s="15"/>
      <c r="Z225" s="15"/>
      <c r="AA225" s="17"/>
    </row>
    <row r="226">
      <c r="A226" s="21"/>
      <c r="B226" s="18"/>
      <c r="C226" s="18"/>
      <c r="D226" s="18"/>
      <c r="E226" s="18"/>
      <c r="F226" s="18"/>
      <c r="G226" s="18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10">
        <f t="shared" si="2"/>
        <v>0</v>
      </c>
      <c r="W226" s="9"/>
      <c r="X226" s="9"/>
      <c r="Y226" s="9"/>
      <c r="Z226" s="9"/>
      <c r="AA226" s="11"/>
    </row>
    <row r="227">
      <c r="A227" s="19"/>
      <c r="B227" s="20"/>
      <c r="C227" s="20"/>
      <c r="D227" s="20"/>
      <c r="E227" s="20"/>
      <c r="F227" s="20"/>
      <c r="G227" s="20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6">
        <f t="shared" si="2"/>
        <v>0</v>
      </c>
      <c r="W227" s="15"/>
      <c r="X227" s="15"/>
      <c r="Y227" s="15"/>
      <c r="Z227" s="15"/>
      <c r="AA227" s="17"/>
    </row>
    <row r="228">
      <c r="A228" s="21"/>
      <c r="B228" s="18"/>
      <c r="C228" s="18"/>
      <c r="D228" s="18"/>
      <c r="E228" s="18"/>
      <c r="F228" s="18"/>
      <c r="G228" s="18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10">
        <f t="shared" si="2"/>
        <v>0</v>
      </c>
      <c r="W228" s="9"/>
      <c r="X228" s="9"/>
      <c r="Y228" s="9"/>
      <c r="Z228" s="9"/>
      <c r="AA228" s="11"/>
    </row>
    <row r="229">
      <c r="A229" s="19"/>
      <c r="B229" s="20"/>
      <c r="C229" s="20"/>
      <c r="D229" s="20"/>
      <c r="E229" s="20"/>
      <c r="F229" s="20"/>
      <c r="G229" s="20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6">
        <f t="shared" si="2"/>
        <v>0</v>
      </c>
      <c r="W229" s="15"/>
      <c r="X229" s="15"/>
      <c r="Y229" s="15"/>
      <c r="Z229" s="15"/>
      <c r="AA229" s="17"/>
    </row>
    <row r="230">
      <c r="A230" s="21"/>
      <c r="B230" s="18"/>
      <c r="C230" s="18"/>
      <c r="D230" s="18"/>
      <c r="E230" s="18"/>
      <c r="F230" s="18"/>
      <c r="G230" s="18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10">
        <f t="shared" si="2"/>
        <v>0</v>
      </c>
      <c r="W230" s="9"/>
      <c r="X230" s="9"/>
      <c r="Y230" s="9"/>
      <c r="Z230" s="9"/>
      <c r="AA230" s="11"/>
    </row>
    <row r="231">
      <c r="A231" s="19"/>
      <c r="B231" s="20"/>
      <c r="C231" s="20"/>
      <c r="D231" s="20"/>
      <c r="E231" s="20"/>
      <c r="F231" s="20"/>
      <c r="G231" s="20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6">
        <f t="shared" si="2"/>
        <v>0</v>
      </c>
      <c r="W231" s="15"/>
      <c r="X231" s="15"/>
      <c r="Y231" s="15"/>
      <c r="Z231" s="15"/>
      <c r="AA231" s="17"/>
    </row>
    <row r="232">
      <c r="A232" s="21"/>
      <c r="B232" s="18"/>
      <c r="C232" s="18"/>
      <c r="D232" s="18"/>
      <c r="E232" s="18"/>
      <c r="F232" s="18"/>
      <c r="G232" s="18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10">
        <f t="shared" si="2"/>
        <v>0</v>
      </c>
      <c r="W232" s="9"/>
      <c r="X232" s="9"/>
      <c r="Y232" s="9"/>
      <c r="Z232" s="9"/>
      <c r="AA232" s="11"/>
    </row>
    <row r="233">
      <c r="A233" s="19"/>
      <c r="B233" s="20"/>
      <c r="C233" s="20"/>
      <c r="D233" s="20"/>
      <c r="E233" s="20"/>
      <c r="F233" s="20"/>
      <c r="G233" s="20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6">
        <f t="shared" si="2"/>
        <v>0</v>
      </c>
      <c r="W233" s="15"/>
      <c r="X233" s="15"/>
      <c r="Y233" s="15"/>
      <c r="Z233" s="15"/>
      <c r="AA233" s="17"/>
    </row>
    <row r="234">
      <c r="A234" s="21"/>
      <c r="B234" s="18"/>
      <c r="C234" s="18"/>
      <c r="D234" s="18"/>
      <c r="E234" s="18"/>
      <c r="F234" s="18"/>
      <c r="G234" s="18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10">
        <f t="shared" si="2"/>
        <v>0</v>
      </c>
      <c r="W234" s="9"/>
      <c r="X234" s="9"/>
      <c r="Y234" s="9"/>
      <c r="Z234" s="9"/>
      <c r="AA234" s="11"/>
    </row>
    <row r="235">
      <c r="A235" s="19"/>
      <c r="B235" s="20"/>
      <c r="C235" s="20"/>
      <c r="D235" s="20"/>
      <c r="E235" s="20"/>
      <c r="F235" s="20"/>
      <c r="G235" s="20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6">
        <f t="shared" si="2"/>
        <v>0</v>
      </c>
      <c r="W235" s="15"/>
      <c r="X235" s="15"/>
      <c r="Y235" s="15"/>
      <c r="Z235" s="15"/>
      <c r="AA235" s="17"/>
    </row>
    <row r="236">
      <c r="A236" s="21"/>
      <c r="B236" s="18"/>
      <c r="C236" s="18"/>
      <c r="D236" s="18"/>
      <c r="E236" s="18"/>
      <c r="F236" s="18"/>
      <c r="G236" s="18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10">
        <f t="shared" si="2"/>
        <v>0</v>
      </c>
      <c r="W236" s="9"/>
      <c r="X236" s="9"/>
      <c r="Y236" s="9"/>
      <c r="Z236" s="9"/>
      <c r="AA236" s="11"/>
    </row>
    <row r="237">
      <c r="A237" s="19"/>
      <c r="B237" s="20"/>
      <c r="C237" s="20"/>
      <c r="D237" s="20"/>
      <c r="E237" s="20"/>
      <c r="F237" s="20"/>
      <c r="G237" s="20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6">
        <f t="shared" si="2"/>
        <v>0</v>
      </c>
      <c r="W237" s="15"/>
      <c r="X237" s="15"/>
      <c r="Y237" s="15"/>
      <c r="Z237" s="15"/>
      <c r="AA237" s="17"/>
    </row>
    <row r="238">
      <c r="A238" s="21"/>
      <c r="B238" s="18"/>
      <c r="C238" s="18"/>
      <c r="D238" s="18"/>
      <c r="E238" s="18"/>
      <c r="F238" s="18"/>
      <c r="G238" s="18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10">
        <f t="shared" si="2"/>
        <v>0</v>
      </c>
      <c r="W238" s="9"/>
      <c r="X238" s="9"/>
      <c r="Y238" s="9"/>
      <c r="Z238" s="9"/>
      <c r="AA238" s="11"/>
    </row>
    <row r="239">
      <c r="A239" s="19"/>
      <c r="B239" s="20"/>
      <c r="C239" s="20"/>
      <c r="D239" s="20"/>
      <c r="E239" s="20"/>
      <c r="F239" s="20"/>
      <c r="G239" s="20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6">
        <f t="shared" si="2"/>
        <v>0</v>
      </c>
      <c r="W239" s="15"/>
      <c r="X239" s="15"/>
      <c r="Y239" s="15"/>
      <c r="Z239" s="15"/>
      <c r="AA239" s="17"/>
    </row>
    <row r="240">
      <c r="A240" s="21"/>
      <c r="B240" s="18"/>
      <c r="C240" s="18"/>
      <c r="D240" s="18"/>
      <c r="E240" s="18"/>
      <c r="F240" s="18"/>
      <c r="G240" s="18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10">
        <f t="shared" si="2"/>
        <v>0</v>
      </c>
      <c r="W240" s="9"/>
      <c r="X240" s="9"/>
      <c r="Y240" s="9"/>
      <c r="Z240" s="9"/>
      <c r="AA240" s="11"/>
    </row>
    <row r="241">
      <c r="A241" s="19"/>
      <c r="B241" s="20"/>
      <c r="C241" s="20"/>
      <c r="D241" s="20"/>
      <c r="E241" s="20"/>
      <c r="F241" s="20"/>
      <c r="G241" s="20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6">
        <f t="shared" si="2"/>
        <v>0</v>
      </c>
      <c r="W241" s="15"/>
      <c r="X241" s="15"/>
      <c r="Y241" s="15"/>
      <c r="Z241" s="15"/>
      <c r="AA241" s="17"/>
    </row>
    <row r="242">
      <c r="A242" s="21"/>
      <c r="B242" s="18"/>
      <c r="C242" s="18"/>
      <c r="D242" s="18"/>
      <c r="E242" s="18"/>
      <c r="F242" s="18"/>
      <c r="G242" s="18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10">
        <f t="shared" si="2"/>
        <v>0</v>
      </c>
      <c r="W242" s="9"/>
      <c r="X242" s="9"/>
      <c r="Y242" s="9"/>
      <c r="Z242" s="9"/>
      <c r="AA242" s="11"/>
    </row>
    <row r="243">
      <c r="A243" s="19"/>
      <c r="B243" s="20"/>
      <c r="C243" s="20"/>
      <c r="D243" s="20"/>
      <c r="E243" s="20"/>
      <c r="F243" s="20"/>
      <c r="G243" s="20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6">
        <f t="shared" si="2"/>
        <v>0</v>
      </c>
      <c r="W243" s="15"/>
      <c r="X243" s="15"/>
      <c r="Y243" s="15"/>
      <c r="Z243" s="15"/>
      <c r="AA243" s="17"/>
    </row>
    <row r="244">
      <c r="A244" s="21"/>
      <c r="B244" s="18"/>
      <c r="C244" s="18"/>
      <c r="D244" s="18"/>
      <c r="E244" s="18"/>
      <c r="F244" s="18"/>
      <c r="G244" s="18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10">
        <f t="shared" si="2"/>
        <v>0</v>
      </c>
      <c r="W244" s="9"/>
      <c r="X244" s="9"/>
      <c r="Y244" s="9"/>
      <c r="Z244" s="9"/>
      <c r="AA244" s="11"/>
    </row>
    <row r="245">
      <c r="A245" s="19"/>
      <c r="B245" s="20"/>
      <c r="C245" s="20"/>
      <c r="D245" s="20"/>
      <c r="E245" s="20"/>
      <c r="F245" s="20"/>
      <c r="G245" s="20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6">
        <f t="shared" si="2"/>
        <v>0</v>
      </c>
      <c r="W245" s="15"/>
      <c r="X245" s="15"/>
      <c r="Y245" s="15"/>
      <c r="Z245" s="15"/>
      <c r="AA245" s="17"/>
    </row>
    <row r="246">
      <c r="A246" s="21"/>
      <c r="B246" s="18"/>
      <c r="C246" s="18"/>
      <c r="D246" s="18"/>
      <c r="E246" s="18"/>
      <c r="F246" s="18"/>
      <c r="G246" s="18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10">
        <f t="shared" si="2"/>
        <v>0</v>
      </c>
      <c r="W246" s="9"/>
      <c r="X246" s="9"/>
      <c r="Y246" s="9"/>
      <c r="Z246" s="9"/>
      <c r="AA246" s="11"/>
    </row>
    <row r="247">
      <c r="A247" s="19"/>
      <c r="B247" s="20"/>
      <c r="C247" s="20"/>
      <c r="D247" s="20"/>
      <c r="E247" s="20"/>
      <c r="F247" s="20"/>
      <c r="G247" s="20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6">
        <f t="shared" si="2"/>
        <v>0</v>
      </c>
      <c r="W247" s="15"/>
      <c r="X247" s="15"/>
      <c r="Y247" s="15"/>
      <c r="Z247" s="15"/>
      <c r="AA247" s="17"/>
    </row>
    <row r="248">
      <c r="A248" s="21"/>
      <c r="B248" s="18"/>
      <c r="C248" s="18"/>
      <c r="D248" s="18"/>
      <c r="E248" s="18"/>
      <c r="F248" s="18"/>
      <c r="G248" s="18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10">
        <f t="shared" si="2"/>
        <v>0</v>
      </c>
      <c r="W248" s="9"/>
      <c r="X248" s="9"/>
      <c r="Y248" s="9"/>
      <c r="Z248" s="9"/>
      <c r="AA248" s="11"/>
    </row>
    <row r="249">
      <c r="A249" s="19"/>
      <c r="B249" s="20"/>
      <c r="C249" s="20"/>
      <c r="D249" s="20"/>
      <c r="E249" s="20"/>
      <c r="F249" s="20"/>
      <c r="G249" s="20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6">
        <f t="shared" si="2"/>
        <v>0</v>
      </c>
      <c r="W249" s="15"/>
      <c r="X249" s="15"/>
      <c r="Y249" s="15"/>
      <c r="Z249" s="15"/>
      <c r="AA249" s="17"/>
    </row>
    <row r="250">
      <c r="A250" s="21"/>
      <c r="B250" s="18"/>
      <c r="C250" s="18"/>
      <c r="D250" s="18"/>
      <c r="E250" s="18"/>
      <c r="F250" s="18"/>
      <c r="G250" s="18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10">
        <f t="shared" si="2"/>
        <v>0</v>
      </c>
      <c r="W250" s="9"/>
      <c r="X250" s="9"/>
      <c r="Y250" s="9"/>
      <c r="Z250" s="9"/>
      <c r="AA250" s="11"/>
    </row>
    <row r="251">
      <c r="A251" s="19"/>
      <c r="B251" s="20"/>
      <c r="C251" s="20"/>
      <c r="D251" s="20"/>
      <c r="E251" s="20"/>
      <c r="F251" s="20"/>
      <c r="G251" s="20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6">
        <f t="shared" si="2"/>
        <v>0</v>
      </c>
      <c r="W251" s="15"/>
      <c r="X251" s="15"/>
      <c r="Y251" s="15"/>
      <c r="Z251" s="15"/>
      <c r="AA251" s="17"/>
    </row>
    <row r="252">
      <c r="A252" s="21"/>
      <c r="B252" s="18"/>
      <c r="C252" s="18"/>
      <c r="D252" s="18"/>
      <c r="E252" s="18"/>
      <c r="F252" s="18"/>
      <c r="G252" s="18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10">
        <f t="shared" si="2"/>
        <v>0</v>
      </c>
      <c r="W252" s="9"/>
      <c r="X252" s="9"/>
      <c r="Y252" s="9"/>
      <c r="Z252" s="9"/>
      <c r="AA252" s="11"/>
    </row>
    <row r="253">
      <c r="A253" s="19"/>
      <c r="B253" s="20"/>
      <c r="C253" s="20"/>
      <c r="D253" s="20"/>
      <c r="E253" s="20"/>
      <c r="F253" s="20"/>
      <c r="G253" s="20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6">
        <f t="shared" si="2"/>
        <v>0</v>
      </c>
      <c r="W253" s="15"/>
      <c r="X253" s="15"/>
      <c r="Y253" s="15"/>
      <c r="Z253" s="15"/>
      <c r="AA253" s="17"/>
    </row>
    <row r="254">
      <c r="A254" s="21"/>
      <c r="B254" s="18"/>
      <c r="C254" s="18"/>
      <c r="D254" s="18"/>
      <c r="E254" s="18"/>
      <c r="F254" s="18"/>
      <c r="G254" s="18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10">
        <f t="shared" si="2"/>
        <v>0</v>
      </c>
      <c r="W254" s="9"/>
      <c r="X254" s="9"/>
      <c r="Y254" s="9"/>
      <c r="Z254" s="9"/>
      <c r="AA254" s="11"/>
    </row>
    <row r="255">
      <c r="A255" s="19"/>
      <c r="B255" s="20"/>
      <c r="C255" s="20"/>
      <c r="D255" s="20"/>
      <c r="E255" s="20"/>
      <c r="F255" s="20"/>
      <c r="G255" s="20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6">
        <f t="shared" si="2"/>
        <v>0</v>
      </c>
      <c r="W255" s="15"/>
      <c r="X255" s="15"/>
      <c r="Y255" s="15"/>
      <c r="Z255" s="15"/>
      <c r="AA255" s="17"/>
    </row>
    <row r="256">
      <c r="A256" s="21"/>
      <c r="B256" s="18"/>
      <c r="C256" s="18"/>
      <c r="D256" s="18"/>
      <c r="E256" s="18"/>
      <c r="F256" s="18"/>
      <c r="G256" s="18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10">
        <f t="shared" si="2"/>
        <v>0</v>
      </c>
      <c r="W256" s="9"/>
      <c r="X256" s="9"/>
      <c r="Y256" s="9"/>
      <c r="Z256" s="9"/>
      <c r="AA256" s="11"/>
    </row>
    <row r="257">
      <c r="A257" s="19"/>
      <c r="B257" s="20"/>
      <c r="C257" s="20"/>
      <c r="D257" s="20"/>
      <c r="E257" s="20"/>
      <c r="F257" s="20"/>
      <c r="G257" s="20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6">
        <f t="shared" si="2"/>
        <v>0</v>
      </c>
      <c r="W257" s="15"/>
      <c r="X257" s="15"/>
      <c r="Y257" s="15"/>
      <c r="Z257" s="15"/>
      <c r="AA257" s="17"/>
    </row>
    <row r="258">
      <c r="A258" s="21"/>
      <c r="B258" s="18"/>
      <c r="C258" s="18"/>
      <c r="D258" s="18"/>
      <c r="E258" s="18"/>
      <c r="F258" s="18"/>
      <c r="G258" s="18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10">
        <f t="shared" si="2"/>
        <v>0</v>
      </c>
      <c r="W258" s="9"/>
      <c r="X258" s="9"/>
      <c r="Y258" s="9"/>
      <c r="Z258" s="9"/>
      <c r="AA258" s="11"/>
    </row>
    <row r="259">
      <c r="A259" s="19"/>
      <c r="B259" s="20"/>
      <c r="C259" s="20"/>
      <c r="D259" s="20"/>
      <c r="E259" s="20"/>
      <c r="F259" s="20"/>
      <c r="G259" s="20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6">
        <f t="shared" si="2"/>
        <v>0</v>
      </c>
      <c r="W259" s="15"/>
      <c r="X259" s="15"/>
      <c r="Y259" s="15"/>
      <c r="Z259" s="15"/>
      <c r="AA259" s="17"/>
    </row>
    <row r="260">
      <c r="A260" s="21"/>
      <c r="B260" s="18"/>
      <c r="C260" s="18"/>
      <c r="D260" s="18"/>
      <c r="E260" s="18"/>
      <c r="F260" s="18"/>
      <c r="G260" s="18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10">
        <f t="shared" si="2"/>
        <v>0</v>
      </c>
      <c r="W260" s="9"/>
      <c r="X260" s="9"/>
      <c r="Y260" s="9"/>
      <c r="Z260" s="9"/>
      <c r="AA260" s="11"/>
    </row>
    <row r="261">
      <c r="A261" s="19"/>
      <c r="B261" s="20"/>
      <c r="C261" s="20"/>
      <c r="D261" s="20"/>
      <c r="E261" s="20"/>
      <c r="F261" s="20"/>
      <c r="G261" s="20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6">
        <f t="shared" si="2"/>
        <v>0</v>
      </c>
      <c r="W261" s="15"/>
      <c r="X261" s="15"/>
      <c r="Y261" s="15"/>
      <c r="Z261" s="15"/>
      <c r="AA261" s="17"/>
    </row>
    <row r="262">
      <c r="A262" s="21"/>
      <c r="B262" s="18"/>
      <c r="C262" s="18"/>
      <c r="D262" s="18"/>
      <c r="E262" s="18"/>
      <c r="F262" s="18"/>
      <c r="G262" s="18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10">
        <f t="shared" si="2"/>
        <v>0</v>
      </c>
      <c r="W262" s="9"/>
      <c r="X262" s="9"/>
      <c r="Y262" s="9"/>
      <c r="Z262" s="9"/>
      <c r="AA262" s="11"/>
    </row>
    <row r="263">
      <c r="A263" s="19"/>
      <c r="B263" s="20"/>
      <c r="C263" s="20"/>
      <c r="D263" s="20"/>
      <c r="E263" s="20"/>
      <c r="F263" s="20"/>
      <c r="G263" s="20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6">
        <f t="shared" si="2"/>
        <v>0</v>
      </c>
      <c r="W263" s="15"/>
      <c r="X263" s="15"/>
      <c r="Y263" s="15"/>
      <c r="Z263" s="15"/>
      <c r="AA263" s="17"/>
    </row>
    <row r="264">
      <c r="A264" s="21"/>
      <c r="B264" s="18"/>
      <c r="C264" s="18"/>
      <c r="D264" s="18"/>
      <c r="E264" s="18"/>
      <c r="F264" s="18"/>
      <c r="G264" s="18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10">
        <f t="shared" si="2"/>
        <v>0</v>
      </c>
      <c r="W264" s="9"/>
      <c r="X264" s="9"/>
      <c r="Y264" s="9"/>
      <c r="Z264" s="9"/>
      <c r="AA264" s="11"/>
    </row>
    <row r="265">
      <c r="A265" s="19"/>
      <c r="B265" s="20"/>
      <c r="C265" s="20"/>
      <c r="D265" s="20"/>
      <c r="E265" s="20"/>
      <c r="F265" s="20"/>
      <c r="G265" s="20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6">
        <f t="shared" si="2"/>
        <v>0</v>
      </c>
      <c r="W265" s="15"/>
      <c r="X265" s="15"/>
      <c r="Y265" s="15"/>
      <c r="Z265" s="15"/>
      <c r="AA265" s="17"/>
    </row>
    <row r="266">
      <c r="A266" s="21"/>
      <c r="B266" s="18"/>
      <c r="C266" s="18"/>
      <c r="D266" s="18"/>
      <c r="E266" s="18"/>
      <c r="F266" s="18"/>
      <c r="G266" s="18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10">
        <f t="shared" si="2"/>
        <v>0</v>
      </c>
      <c r="W266" s="9"/>
      <c r="X266" s="9"/>
      <c r="Y266" s="9"/>
      <c r="Z266" s="9"/>
      <c r="AA266" s="11"/>
    </row>
    <row r="267">
      <c r="A267" s="19"/>
      <c r="B267" s="20"/>
      <c r="C267" s="20"/>
      <c r="D267" s="20"/>
      <c r="E267" s="20"/>
      <c r="F267" s="20"/>
      <c r="G267" s="20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6">
        <f t="shared" si="2"/>
        <v>0</v>
      </c>
      <c r="W267" s="15"/>
      <c r="X267" s="15"/>
      <c r="Y267" s="15"/>
      <c r="Z267" s="15"/>
      <c r="AA267" s="17"/>
    </row>
    <row r="268">
      <c r="A268" s="21"/>
      <c r="B268" s="18"/>
      <c r="C268" s="18"/>
      <c r="D268" s="18"/>
      <c r="E268" s="18"/>
      <c r="F268" s="18"/>
      <c r="G268" s="18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10">
        <f t="shared" si="2"/>
        <v>0</v>
      </c>
      <c r="W268" s="9"/>
      <c r="X268" s="9"/>
      <c r="Y268" s="9"/>
      <c r="Z268" s="9"/>
      <c r="AA268" s="11"/>
    </row>
    <row r="269">
      <c r="A269" s="19"/>
      <c r="B269" s="20"/>
      <c r="C269" s="20"/>
      <c r="D269" s="20"/>
      <c r="E269" s="20"/>
      <c r="F269" s="20"/>
      <c r="G269" s="20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6">
        <f t="shared" si="2"/>
        <v>0</v>
      </c>
      <c r="W269" s="15"/>
      <c r="X269" s="15"/>
      <c r="Y269" s="15"/>
      <c r="Z269" s="15"/>
      <c r="AA269" s="17"/>
    </row>
    <row r="270">
      <c r="A270" s="21"/>
      <c r="B270" s="18"/>
      <c r="C270" s="18"/>
      <c r="D270" s="18"/>
      <c r="E270" s="18"/>
      <c r="F270" s="18"/>
      <c r="G270" s="18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10">
        <f t="shared" si="2"/>
        <v>0</v>
      </c>
      <c r="W270" s="9"/>
      <c r="X270" s="9"/>
      <c r="Y270" s="9"/>
      <c r="Z270" s="9"/>
      <c r="AA270" s="11"/>
    </row>
    <row r="271">
      <c r="A271" s="19"/>
      <c r="B271" s="20"/>
      <c r="C271" s="20"/>
      <c r="D271" s="20"/>
      <c r="E271" s="20"/>
      <c r="F271" s="20"/>
      <c r="G271" s="20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6">
        <f t="shared" si="2"/>
        <v>0</v>
      </c>
      <c r="W271" s="15"/>
      <c r="X271" s="15"/>
      <c r="Y271" s="15"/>
      <c r="Z271" s="15"/>
      <c r="AA271" s="17"/>
    </row>
    <row r="272">
      <c r="A272" s="21"/>
      <c r="B272" s="18"/>
      <c r="C272" s="18"/>
      <c r="D272" s="18"/>
      <c r="E272" s="18"/>
      <c r="F272" s="18"/>
      <c r="G272" s="18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10">
        <f t="shared" si="2"/>
        <v>0</v>
      </c>
      <c r="W272" s="9"/>
      <c r="X272" s="9"/>
      <c r="Y272" s="9"/>
      <c r="Z272" s="9"/>
      <c r="AA272" s="11"/>
    </row>
    <row r="273">
      <c r="A273" s="19"/>
      <c r="B273" s="20"/>
      <c r="C273" s="20"/>
      <c r="D273" s="20"/>
      <c r="E273" s="20"/>
      <c r="F273" s="20"/>
      <c r="G273" s="20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6">
        <f t="shared" si="2"/>
        <v>0</v>
      </c>
      <c r="W273" s="15"/>
      <c r="X273" s="15"/>
      <c r="Y273" s="15"/>
      <c r="Z273" s="15"/>
      <c r="AA273" s="17"/>
    </row>
    <row r="274">
      <c r="A274" s="21"/>
      <c r="B274" s="18"/>
      <c r="C274" s="18"/>
      <c r="D274" s="18"/>
      <c r="E274" s="18"/>
      <c r="F274" s="18"/>
      <c r="G274" s="18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10">
        <f t="shared" si="2"/>
        <v>0</v>
      </c>
      <c r="W274" s="9"/>
      <c r="X274" s="9"/>
      <c r="Y274" s="9"/>
      <c r="Z274" s="9"/>
      <c r="AA274" s="11"/>
    </row>
    <row r="275">
      <c r="A275" s="19"/>
      <c r="B275" s="20"/>
      <c r="C275" s="20"/>
      <c r="D275" s="20"/>
      <c r="E275" s="20"/>
      <c r="F275" s="20"/>
      <c r="G275" s="20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6">
        <f t="shared" si="2"/>
        <v>0</v>
      </c>
      <c r="W275" s="15"/>
      <c r="X275" s="15"/>
      <c r="Y275" s="15"/>
      <c r="Z275" s="15"/>
      <c r="AA275" s="17"/>
    </row>
    <row r="276">
      <c r="A276" s="21"/>
      <c r="B276" s="18"/>
      <c r="C276" s="18"/>
      <c r="D276" s="18"/>
      <c r="E276" s="18"/>
      <c r="F276" s="18"/>
      <c r="G276" s="18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10">
        <f t="shared" si="2"/>
        <v>0</v>
      </c>
      <c r="W276" s="9"/>
      <c r="X276" s="9"/>
      <c r="Y276" s="9"/>
      <c r="Z276" s="9"/>
      <c r="AA276" s="11"/>
    </row>
    <row r="277">
      <c r="A277" s="19"/>
      <c r="B277" s="20"/>
      <c r="C277" s="20"/>
      <c r="D277" s="20"/>
      <c r="E277" s="20"/>
      <c r="F277" s="20"/>
      <c r="G277" s="20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6">
        <f t="shared" si="2"/>
        <v>0</v>
      </c>
      <c r="W277" s="15"/>
      <c r="X277" s="15"/>
      <c r="Y277" s="15"/>
      <c r="Z277" s="15"/>
      <c r="AA277" s="17"/>
    </row>
    <row r="278">
      <c r="A278" s="21"/>
      <c r="B278" s="18"/>
      <c r="C278" s="18"/>
      <c r="D278" s="18"/>
      <c r="E278" s="18"/>
      <c r="F278" s="18"/>
      <c r="G278" s="18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10">
        <f t="shared" si="2"/>
        <v>0</v>
      </c>
      <c r="W278" s="9"/>
      <c r="X278" s="9"/>
      <c r="Y278" s="9"/>
      <c r="Z278" s="9"/>
      <c r="AA278" s="11"/>
    </row>
    <row r="279">
      <c r="A279" s="19"/>
      <c r="B279" s="20"/>
      <c r="C279" s="20"/>
      <c r="D279" s="20"/>
      <c r="E279" s="20"/>
      <c r="F279" s="20"/>
      <c r="G279" s="20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6">
        <f t="shared" si="2"/>
        <v>0</v>
      </c>
      <c r="W279" s="15"/>
      <c r="X279" s="15"/>
      <c r="Y279" s="15"/>
      <c r="Z279" s="15"/>
      <c r="AA279" s="17"/>
    </row>
    <row r="280">
      <c r="A280" s="21"/>
      <c r="B280" s="18"/>
      <c r="C280" s="18"/>
      <c r="D280" s="18"/>
      <c r="E280" s="18"/>
      <c r="F280" s="18"/>
      <c r="G280" s="18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10">
        <f t="shared" si="2"/>
        <v>0</v>
      </c>
      <c r="W280" s="9"/>
      <c r="X280" s="9"/>
      <c r="Y280" s="9"/>
      <c r="Z280" s="9"/>
      <c r="AA280" s="11"/>
    </row>
    <row r="281">
      <c r="A281" s="19"/>
      <c r="B281" s="20"/>
      <c r="C281" s="20"/>
      <c r="D281" s="20"/>
      <c r="E281" s="20"/>
      <c r="F281" s="20"/>
      <c r="G281" s="20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6">
        <f t="shared" si="2"/>
        <v>0</v>
      </c>
      <c r="W281" s="15"/>
      <c r="X281" s="15"/>
      <c r="Y281" s="15"/>
      <c r="Z281" s="15"/>
      <c r="AA281" s="17"/>
    </row>
    <row r="282">
      <c r="A282" s="21"/>
      <c r="B282" s="18"/>
      <c r="C282" s="18"/>
      <c r="D282" s="18"/>
      <c r="E282" s="18"/>
      <c r="F282" s="18"/>
      <c r="G282" s="18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10">
        <f t="shared" si="2"/>
        <v>0</v>
      </c>
      <c r="W282" s="9"/>
      <c r="X282" s="9"/>
      <c r="Y282" s="9"/>
      <c r="Z282" s="9"/>
      <c r="AA282" s="11"/>
    </row>
    <row r="283">
      <c r="A283" s="19"/>
      <c r="B283" s="20"/>
      <c r="C283" s="20"/>
      <c r="D283" s="20"/>
      <c r="E283" s="20"/>
      <c r="F283" s="20"/>
      <c r="G283" s="20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6">
        <f t="shared" si="2"/>
        <v>0</v>
      </c>
      <c r="W283" s="15"/>
      <c r="X283" s="15"/>
      <c r="Y283" s="15"/>
      <c r="Z283" s="15"/>
      <c r="AA283" s="17"/>
    </row>
    <row r="284">
      <c r="A284" s="21"/>
      <c r="B284" s="18"/>
      <c r="C284" s="18"/>
      <c r="D284" s="18"/>
      <c r="E284" s="18"/>
      <c r="F284" s="18"/>
      <c r="G284" s="18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10">
        <f t="shared" si="2"/>
        <v>0</v>
      </c>
      <c r="W284" s="9"/>
      <c r="X284" s="9"/>
      <c r="Y284" s="9"/>
      <c r="Z284" s="9"/>
      <c r="AA284" s="11"/>
    </row>
    <row r="285">
      <c r="A285" s="19"/>
      <c r="B285" s="20"/>
      <c r="C285" s="20"/>
      <c r="D285" s="20"/>
      <c r="E285" s="20"/>
      <c r="F285" s="20"/>
      <c r="G285" s="20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6">
        <f t="shared" si="2"/>
        <v>0</v>
      </c>
      <c r="W285" s="15"/>
      <c r="X285" s="15"/>
      <c r="Y285" s="15"/>
      <c r="Z285" s="15"/>
      <c r="AA285" s="17"/>
    </row>
    <row r="286">
      <c r="A286" s="21"/>
      <c r="B286" s="18"/>
      <c r="C286" s="18"/>
      <c r="D286" s="18"/>
      <c r="E286" s="18"/>
      <c r="F286" s="18"/>
      <c r="G286" s="18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10">
        <f t="shared" si="2"/>
        <v>0</v>
      </c>
      <c r="W286" s="9"/>
      <c r="X286" s="9"/>
      <c r="Y286" s="9"/>
      <c r="Z286" s="9"/>
      <c r="AA286" s="11"/>
    </row>
    <row r="287">
      <c r="A287" s="19"/>
      <c r="B287" s="20"/>
      <c r="C287" s="20"/>
      <c r="D287" s="20"/>
      <c r="E287" s="20"/>
      <c r="F287" s="20"/>
      <c r="G287" s="20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6">
        <f t="shared" si="2"/>
        <v>0</v>
      </c>
      <c r="W287" s="15"/>
      <c r="X287" s="15"/>
      <c r="Y287" s="15"/>
      <c r="Z287" s="15"/>
      <c r="AA287" s="17"/>
    </row>
    <row r="288">
      <c r="A288" s="21"/>
      <c r="B288" s="18"/>
      <c r="C288" s="18"/>
      <c r="D288" s="18"/>
      <c r="E288" s="18"/>
      <c r="F288" s="18"/>
      <c r="G288" s="18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10">
        <f t="shared" si="2"/>
        <v>0</v>
      </c>
      <c r="W288" s="9"/>
      <c r="X288" s="9"/>
      <c r="Y288" s="9"/>
      <c r="Z288" s="9"/>
      <c r="AA288" s="11"/>
    </row>
    <row r="289">
      <c r="A289" s="19"/>
      <c r="B289" s="20"/>
      <c r="C289" s="20"/>
      <c r="D289" s="20"/>
      <c r="E289" s="20"/>
      <c r="F289" s="20"/>
      <c r="G289" s="20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6">
        <f t="shared" si="2"/>
        <v>0</v>
      </c>
      <c r="W289" s="15"/>
      <c r="X289" s="15"/>
      <c r="Y289" s="15"/>
      <c r="Z289" s="15"/>
      <c r="AA289" s="17"/>
    </row>
    <row r="290">
      <c r="A290" s="21"/>
      <c r="B290" s="18"/>
      <c r="C290" s="18"/>
      <c r="D290" s="18"/>
      <c r="E290" s="18"/>
      <c r="F290" s="18"/>
      <c r="G290" s="18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10">
        <f t="shared" si="2"/>
        <v>0</v>
      </c>
      <c r="W290" s="9"/>
      <c r="X290" s="9"/>
      <c r="Y290" s="9"/>
      <c r="Z290" s="9"/>
      <c r="AA290" s="11"/>
    </row>
    <row r="291">
      <c r="A291" s="19"/>
      <c r="B291" s="20"/>
      <c r="C291" s="20"/>
      <c r="D291" s="20"/>
      <c r="E291" s="20"/>
      <c r="F291" s="20"/>
      <c r="G291" s="20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6">
        <f t="shared" si="2"/>
        <v>0</v>
      </c>
      <c r="W291" s="15"/>
      <c r="X291" s="15"/>
      <c r="Y291" s="15"/>
      <c r="Z291" s="15"/>
      <c r="AA291" s="17"/>
    </row>
    <row r="292">
      <c r="A292" s="21"/>
      <c r="B292" s="18"/>
      <c r="C292" s="18"/>
      <c r="D292" s="18"/>
      <c r="E292" s="18"/>
      <c r="F292" s="18"/>
      <c r="G292" s="18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10">
        <f t="shared" si="2"/>
        <v>0</v>
      </c>
      <c r="W292" s="9"/>
      <c r="X292" s="9"/>
      <c r="Y292" s="9"/>
      <c r="Z292" s="9"/>
      <c r="AA292" s="11"/>
    </row>
    <row r="293">
      <c r="A293" s="19"/>
      <c r="B293" s="20"/>
      <c r="C293" s="20"/>
      <c r="D293" s="20"/>
      <c r="E293" s="20"/>
      <c r="F293" s="20"/>
      <c r="G293" s="20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6">
        <f t="shared" si="2"/>
        <v>0</v>
      </c>
      <c r="W293" s="15"/>
      <c r="X293" s="15"/>
      <c r="Y293" s="15"/>
      <c r="Z293" s="15"/>
      <c r="AA293" s="17"/>
    </row>
    <row r="294">
      <c r="A294" s="21"/>
      <c r="B294" s="18"/>
      <c r="C294" s="18"/>
      <c r="D294" s="18"/>
      <c r="E294" s="18"/>
      <c r="F294" s="18"/>
      <c r="G294" s="18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10">
        <f t="shared" si="2"/>
        <v>0</v>
      </c>
      <c r="W294" s="9"/>
      <c r="X294" s="9"/>
      <c r="Y294" s="9"/>
      <c r="Z294" s="9"/>
      <c r="AA294" s="11"/>
    </row>
    <row r="295">
      <c r="A295" s="19"/>
      <c r="B295" s="20"/>
      <c r="C295" s="20"/>
      <c r="D295" s="20"/>
      <c r="E295" s="20"/>
      <c r="F295" s="20"/>
      <c r="G295" s="20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6">
        <f t="shared" si="2"/>
        <v>0</v>
      </c>
      <c r="W295" s="15"/>
      <c r="X295" s="15"/>
      <c r="Y295" s="15"/>
      <c r="Z295" s="15"/>
      <c r="AA295" s="17"/>
    </row>
    <row r="296">
      <c r="A296" s="21"/>
      <c r="B296" s="18"/>
      <c r="C296" s="18"/>
      <c r="D296" s="18"/>
      <c r="E296" s="18"/>
      <c r="F296" s="18"/>
      <c r="G296" s="18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10">
        <f t="shared" si="2"/>
        <v>0</v>
      </c>
      <c r="W296" s="9"/>
      <c r="X296" s="9"/>
      <c r="Y296" s="9"/>
      <c r="Z296" s="9"/>
      <c r="AA296" s="11"/>
    </row>
    <row r="297">
      <c r="A297" s="19"/>
      <c r="B297" s="20"/>
      <c r="C297" s="20"/>
      <c r="D297" s="20"/>
      <c r="E297" s="20"/>
      <c r="F297" s="20"/>
      <c r="G297" s="20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6">
        <f t="shared" si="2"/>
        <v>0</v>
      </c>
      <c r="W297" s="15"/>
      <c r="X297" s="15"/>
      <c r="Y297" s="15"/>
      <c r="Z297" s="15"/>
      <c r="AA297" s="17"/>
    </row>
    <row r="298">
      <c r="A298" s="21"/>
      <c r="B298" s="18"/>
      <c r="C298" s="18"/>
      <c r="D298" s="18"/>
      <c r="E298" s="18"/>
      <c r="F298" s="18"/>
      <c r="G298" s="18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10">
        <f t="shared" si="2"/>
        <v>0</v>
      </c>
      <c r="W298" s="9"/>
      <c r="X298" s="9"/>
      <c r="Y298" s="9"/>
      <c r="Z298" s="9"/>
      <c r="AA298" s="11"/>
    </row>
    <row r="299">
      <c r="A299" s="19"/>
      <c r="B299" s="20"/>
      <c r="C299" s="20"/>
      <c r="D299" s="20"/>
      <c r="E299" s="20"/>
      <c r="F299" s="20"/>
      <c r="G299" s="20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6">
        <f t="shared" si="2"/>
        <v>0</v>
      </c>
      <c r="W299" s="15"/>
      <c r="X299" s="15"/>
      <c r="Y299" s="15"/>
      <c r="Z299" s="15"/>
      <c r="AA299" s="17"/>
    </row>
    <row r="300">
      <c r="A300" s="21"/>
      <c r="B300" s="18"/>
      <c r="C300" s="18"/>
      <c r="D300" s="18"/>
      <c r="E300" s="18"/>
      <c r="F300" s="18"/>
      <c r="G300" s="18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10">
        <f t="shared" si="2"/>
        <v>0</v>
      </c>
      <c r="W300" s="9"/>
      <c r="X300" s="9"/>
      <c r="Y300" s="9"/>
      <c r="Z300" s="9"/>
      <c r="AA300" s="11"/>
    </row>
    <row r="301">
      <c r="A301" s="19"/>
      <c r="B301" s="20"/>
      <c r="C301" s="20"/>
      <c r="D301" s="20"/>
      <c r="E301" s="20"/>
      <c r="F301" s="20"/>
      <c r="G301" s="20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6">
        <f t="shared" si="2"/>
        <v>0</v>
      </c>
      <c r="W301" s="15"/>
      <c r="X301" s="15"/>
      <c r="Y301" s="15"/>
      <c r="Z301" s="15"/>
      <c r="AA301" s="17"/>
    </row>
    <row r="302">
      <c r="A302" s="21"/>
      <c r="B302" s="18"/>
      <c r="C302" s="18"/>
      <c r="D302" s="18"/>
      <c r="E302" s="18"/>
      <c r="F302" s="18"/>
      <c r="G302" s="18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10">
        <f t="shared" si="2"/>
        <v>0</v>
      </c>
      <c r="W302" s="9"/>
      <c r="X302" s="9"/>
      <c r="Y302" s="9"/>
      <c r="Z302" s="9"/>
      <c r="AA302" s="11"/>
    </row>
    <row r="303">
      <c r="A303" s="19"/>
      <c r="B303" s="20"/>
      <c r="C303" s="20"/>
      <c r="D303" s="20"/>
      <c r="E303" s="20"/>
      <c r="F303" s="20"/>
      <c r="G303" s="20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6">
        <f t="shared" si="2"/>
        <v>0</v>
      </c>
      <c r="W303" s="15"/>
      <c r="X303" s="15"/>
      <c r="Y303" s="15"/>
      <c r="Z303" s="15"/>
      <c r="AA303" s="17"/>
    </row>
    <row r="304">
      <c r="A304" s="21"/>
      <c r="B304" s="18"/>
      <c r="C304" s="18"/>
      <c r="D304" s="18"/>
      <c r="E304" s="18"/>
      <c r="F304" s="18"/>
      <c r="G304" s="18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10">
        <f t="shared" si="2"/>
        <v>0</v>
      </c>
      <c r="W304" s="9"/>
      <c r="X304" s="9"/>
      <c r="Y304" s="9"/>
      <c r="Z304" s="9"/>
      <c r="AA304" s="11"/>
    </row>
    <row r="305">
      <c r="A305" s="19"/>
      <c r="B305" s="20"/>
      <c r="C305" s="20"/>
      <c r="D305" s="20"/>
      <c r="E305" s="20"/>
      <c r="F305" s="20"/>
      <c r="G305" s="20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6">
        <f t="shared" si="2"/>
        <v>0</v>
      </c>
      <c r="W305" s="15"/>
      <c r="X305" s="15"/>
      <c r="Y305" s="15"/>
      <c r="Z305" s="15"/>
      <c r="AA305" s="17"/>
    </row>
    <row r="306">
      <c r="A306" s="21"/>
      <c r="B306" s="18"/>
      <c r="C306" s="18"/>
      <c r="D306" s="18"/>
      <c r="E306" s="18"/>
      <c r="F306" s="18"/>
      <c r="G306" s="18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10">
        <f t="shared" si="2"/>
        <v>0</v>
      </c>
      <c r="W306" s="9"/>
      <c r="X306" s="9"/>
      <c r="Y306" s="9"/>
      <c r="Z306" s="9"/>
      <c r="AA306" s="11"/>
    </row>
    <row r="307">
      <c r="A307" s="19"/>
      <c r="B307" s="20"/>
      <c r="C307" s="20"/>
      <c r="D307" s="20"/>
      <c r="E307" s="20"/>
      <c r="F307" s="20"/>
      <c r="G307" s="20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6">
        <f t="shared" si="2"/>
        <v>0</v>
      </c>
      <c r="W307" s="15"/>
      <c r="X307" s="15"/>
      <c r="Y307" s="15"/>
      <c r="Z307" s="15"/>
      <c r="AA307" s="17"/>
    </row>
    <row r="308">
      <c r="A308" s="21"/>
      <c r="B308" s="18"/>
      <c r="C308" s="18"/>
      <c r="D308" s="18"/>
      <c r="E308" s="18"/>
      <c r="F308" s="18"/>
      <c r="G308" s="18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10">
        <f t="shared" si="2"/>
        <v>0</v>
      </c>
      <c r="W308" s="9"/>
      <c r="X308" s="9"/>
      <c r="Y308" s="9"/>
      <c r="Z308" s="9"/>
      <c r="AA308" s="11"/>
    </row>
    <row r="309">
      <c r="A309" s="19"/>
      <c r="B309" s="20"/>
      <c r="C309" s="20"/>
      <c r="D309" s="20"/>
      <c r="E309" s="20"/>
      <c r="F309" s="20"/>
      <c r="G309" s="20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6">
        <f t="shared" si="2"/>
        <v>0</v>
      </c>
      <c r="W309" s="15"/>
      <c r="X309" s="15"/>
      <c r="Y309" s="15"/>
      <c r="Z309" s="15"/>
      <c r="AA309" s="17"/>
    </row>
    <row r="310">
      <c r="A310" s="21"/>
      <c r="B310" s="18"/>
      <c r="C310" s="18"/>
      <c r="D310" s="18"/>
      <c r="E310" s="18"/>
      <c r="F310" s="18"/>
      <c r="G310" s="18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10">
        <f t="shared" si="2"/>
        <v>0</v>
      </c>
      <c r="W310" s="9"/>
      <c r="X310" s="9"/>
      <c r="Y310" s="9"/>
      <c r="Z310" s="9"/>
      <c r="AA310" s="11"/>
    </row>
    <row r="311">
      <c r="A311" s="19"/>
      <c r="B311" s="20"/>
      <c r="C311" s="20"/>
      <c r="D311" s="20"/>
      <c r="E311" s="20"/>
      <c r="F311" s="20"/>
      <c r="G311" s="20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6">
        <f t="shared" si="2"/>
        <v>0</v>
      </c>
      <c r="W311" s="15"/>
      <c r="X311" s="15"/>
      <c r="Y311" s="15"/>
      <c r="Z311" s="15"/>
      <c r="AA311" s="17"/>
    </row>
    <row r="312">
      <c r="A312" s="21"/>
      <c r="B312" s="18"/>
      <c r="C312" s="18"/>
      <c r="D312" s="18"/>
      <c r="E312" s="18"/>
      <c r="F312" s="18"/>
      <c r="G312" s="18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10">
        <f t="shared" si="2"/>
        <v>0</v>
      </c>
      <c r="W312" s="9"/>
      <c r="X312" s="9"/>
      <c r="Y312" s="9"/>
      <c r="Z312" s="9"/>
      <c r="AA312" s="11"/>
    </row>
    <row r="313">
      <c r="A313" s="19"/>
      <c r="B313" s="20"/>
      <c r="C313" s="20"/>
      <c r="D313" s="20"/>
      <c r="E313" s="20"/>
      <c r="F313" s="20"/>
      <c r="G313" s="20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6">
        <f t="shared" si="2"/>
        <v>0</v>
      </c>
      <c r="W313" s="15"/>
      <c r="X313" s="15"/>
      <c r="Y313" s="15"/>
      <c r="Z313" s="15"/>
      <c r="AA313" s="17"/>
    </row>
    <row r="314">
      <c r="A314" s="21"/>
      <c r="B314" s="18"/>
      <c r="C314" s="18"/>
      <c r="D314" s="18"/>
      <c r="E314" s="18"/>
      <c r="F314" s="18"/>
      <c r="G314" s="18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10">
        <f t="shared" si="2"/>
        <v>0</v>
      </c>
      <c r="W314" s="9"/>
      <c r="X314" s="9"/>
      <c r="Y314" s="9"/>
      <c r="Z314" s="9"/>
      <c r="AA314" s="11"/>
    </row>
    <row r="315">
      <c r="A315" s="19"/>
      <c r="B315" s="20"/>
      <c r="C315" s="20"/>
      <c r="D315" s="20"/>
      <c r="E315" s="20"/>
      <c r="F315" s="20"/>
      <c r="G315" s="20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6">
        <f t="shared" si="2"/>
        <v>0</v>
      </c>
      <c r="W315" s="15"/>
      <c r="X315" s="15"/>
      <c r="Y315" s="15"/>
      <c r="Z315" s="15"/>
      <c r="AA315" s="17"/>
    </row>
    <row r="316">
      <c r="A316" s="21"/>
      <c r="B316" s="18"/>
      <c r="C316" s="18"/>
      <c r="D316" s="18"/>
      <c r="E316" s="18"/>
      <c r="F316" s="18"/>
      <c r="G316" s="18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10">
        <f t="shared" si="2"/>
        <v>0</v>
      </c>
      <c r="W316" s="9"/>
      <c r="X316" s="9"/>
      <c r="Y316" s="9"/>
      <c r="Z316" s="9"/>
      <c r="AA316" s="11"/>
    </row>
    <row r="317">
      <c r="A317" s="19"/>
      <c r="B317" s="20"/>
      <c r="C317" s="20"/>
      <c r="D317" s="20"/>
      <c r="E317" s="20"/>
      <c r="F317" s="20"/>
      <c r="G317" s="20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6">
        <f t="shared" si="2"/>
        <v>0</v>
      </c>
      <c r="W317" s="15"/>
      <c r="X317" s="15"/>
      <c r="Y317" s="15"/>
      <c r="Z317" s="15"/>
      <c r="AA317" s="17"/>
    </row>
    <row r="318">
      <c r="A318" s="21"/>
      <c r="B318" s="18"/>
      <c r="C318" s="18"/>
      <c r="D318" s="18"/>
      <c r="E318" s="18"/>
      <c r="F318" s="18"/>
      <c r="G318" s="18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10">
        <f t="shared" si="2"/>
        <v>0</v>
      </c>
      <c r="W318" s="9"/>
      <c r="X318" s="9"/>
      <c r="Y318" s="9"/>
      <c r="Z318" s="9"/>
      <c r="AA318" s="11"/>
    </row>
    <row r="319">
      <c r="A319" s="19"/>
      <c r="B319" s="20"/>
      <c r="C319" s="20"/>
      <c r="D319" s="20"/>
      <c r="E319" s="20"/>
      <c r="F319" s="20"/>
      <c r="G319" s="20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6">
        <f t="shared" si="2"/>
        <v>0</v>
      </c>
      <c r="W319" s="15"/>
      <c r="X319" s="15"/>
      <c r="Y319" s="15"/>
      <c r="Z319" s="15"/>
      <c r="AA319" s="17"/>
    </row>
    <row r="320">
      <c r="A320" s="21"/>
      <c r="B320" s="18"/>
      <c r="C320" s="18"/>
      <c r="D320" s="18"/>
      <c r="E320" s="18"/>
      <c r="F320" s="18"/>
      <c r="G320" s="18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10">
        <f t="shared" si="2"/>
        <v>0</v>
      </c>
      <c r="W320" s="9"/>
      <c r="X320" s="9"/>
      <c r="Y320" s="9"/>
      <c r="Z320" s="9"/>
      <c r="AA320" s="11"/>
    </row>
    <row r="321">
      <c r="A321" s="19"/>
      <c r="B321" s="20"/>
      <c r="C321" s="20"/>
      <c r="D321" s="20"/>
      <c r="E321" s="20"/>
      <c r="F321" s="20"/>
      <c r="G321" s="20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6">
        <f t="shared" si="2"/>
        <v>0</v>
      </c>
      <c r="W321" s="15"/>
      <c r="X321" s="15"/>
      <c r="Y321" s="15"/>
      <c r="Z321" s="15"/>
      <c r="AA321" s="17"/>
    </row>
    <row r="322">
      <c r="A322" s="21"/>
      <c r="B322" s="18"/>
      <c r="C322" s="18"/>
      <c r="D322" s="18"/>
      <c r="E322" s="18"/>
      <c r="F322" s="18"/>
      <c r="G322" s="18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10">
        <f t="shared" si="2"/>
        <v>0</v>
      </c>
      <c r="W322" s="9"/>
      <c r="X322" s="9"/>
      <c r="Y322" s="9"/>
      <c r="Z322" s="9"/>
      <c r="AA322" s="11"/>
    </row>
    <row r="323">
      <c r="A323" s="19"/>
      <c r="B323" s="20"/>
      <c r="C323" s="20"/>
      <c r="D323" s="20"/>
      <c r="E323" s="20"/>
      <c r="F323" s="20"/>
      <c r="G323" s="20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6">
        <f t="shared" si="2"/>
        <v>0</v>
      </c>
      <c r="W323" s="15"/>
      <c r="X323" s="15"/>
      <c r="Y323" s="15"/>
      <c r="Z323" s="15"/>
      <c r="AA323" s="17"/>
    </row>
    <row r="324">
      <c r="A324" s="21"/>
      <c r="B324" s="18"/>
      <c r="C324" s="18"/>
      <c r="D324" s="18"/>
      <c r="E324" s="18"/>
      <c r="F324" s="18"/>
      <c r="G324" s="18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10">
        <f t="shared" si="2"/>
        <v>0</v>
      </c>
      <c r="W324" s="9"/>
      <c r="X324" s="9"/>
      <c r="Y324" s="9"/>
      <c r="Z324" s="9"/>
      <c r="AA324" s="11"/>
    </row>
    <row r="325">
      <c r="A325" s="19"/>
      <c r="B325" s="20"/>
      <c r="C325" s="20"/>
      <c r="D325" s="20"/>
      <c r="E325" s="20"/>
      <c r="F325" s="20"/>
      <c r="G325" s="20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6">
        <f t="shared" si="2"/>
        <v>0</v>
      </c>
      <c r="W325" s="15"/>
      <c r="X325" s="15"/>
      <c r="Y325" s="15"/>
      <c r="Z325" s="15"/>
      <c r="AA325" s="17"/>
    </row>
    <row r="326">
      <c r="A326" s="21"/>
      <c r="B326" s="18"/>
      <c r="C326" s="18"/>
      <c r="D326" s="18"/>
      <c r="E326" s="18"/>
      <c r="F326" s="18"/>
      <c r="G326" s="18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10">
        <f t="shared" si="2"/>
        <v>0</v>
      </c>
      <c r="W326" s="9"/>
      <c r="X326" s="9"/>
      <c r="Y326" s="9"/>
      <c r="Z326" s="9"/>
      <c r="AA326" s="11"/>
    </row>
    <row r="327">
      <c r="A327" s="19"/>
      <c r="B327" s="20"/>
      <c r="C327" s="20"/>
      <c r="D327" s="20"/>
      <c r="E327" s="20"/>
      <c r="F327" s="20"/>
      <c r="G327" s="20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6">
        <f t="shared" si="2"/>
        <v>0</v>
      </c>
      <c r="W327" s="15"/>
      <c r="X327" s="15"/>
      <c r="Y327" s="15"/>
      <c r="Z327" s="15"/>
      <c r="AA327" s="17"/>
    </row>
    <row r="328">
      <c r="A328" s="21"/>
      <c r="B328" s="18"/>
      <c r="C328" s="18"/>
      <c r="D328" s="18"/>
      <c r="E328" s="18"/>
      <c r="F328" s="18"/>
      <c r="G328" s="18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10">
        <f t="shared" si="2"/>
        <v>0</v>
      </c>
      <c r="W328" s="9"/>
      <c r="X328" s="9"/>
      <c r="Y328" s="9"/>
      <c r="Z328" s="9"/>
      <c r="AA328" s="11"/>
    </row>
    <row r="329">
      <c r="A329" s="19"/>
      <c r="B329" s="20"/>
      <c r="C329" s="20"/>
      <c r="D329" s="20"/>
      <c r="E329" s="20"/>
      <c r="F329" s="20"/>
      <c r="G329" s="20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6">
        <f t="shared" si="2"/>
        <v>0</v>
      </c>
      <c r="W329" s="15"/>
      <c r="X329" s="15"/>
      <c r="Y329" s="15"/>
      <c r="Z329" s="15"/>
      <c r="AA329" s="17"/>
    </row>
    <row r="330">
      <c r="A330" s="21"/>
      <c r="B330" s="18"/>
      <c r="C330" s="18"/>
      <c r="D330" s="18"/>
      <c r="E330" s="18"/>
      <c r="F330" s="18"/>
      <c r="G330" s="18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10">
        <f t="shared" si="2"/>
        <v>0</v>
      </c>
      <c r="W330" s="9"/>
      <c r="X330" s="9"/>
      <c r="Y330" s="9"/>
      <c r="Z330" s="9"/>
      <c r="AA330" s="11"/>
    </row>
    <row r="331">
      <c r="A331" s="19"/>
      <c r="B331" s="20"/>
      <c r="C331" s="20"/>
      <c r="D331" s="20"/>
      <c r="E331" s="20"/>
      <c r="F331" s="20"/>
      <c r="G331" s="20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6">
        <f t="shared" si="2"/>
        <v>0</v>
      </c>
      <c r="W331" s="15"/>
      <c r="X331" s="15"/>
      <c r="Y331" s="15"/>
      <c r="Z331" s="15"/>
      <c r="AA331" s="17"/>
    </row>
    <row r="332">
      <c r="A332" s="21"/>
      <c r="B332" s="18"/>
      <c r="C332" s="18"/>
      <c r="D332" s="18"/>
      <c r="E332" s="18"/>
      <c r="F332" s="18"/>
      <c r="G332" s="18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10">
        <f t="shared" si="2"/>
        <v>0</v>
      </c>
      <c r="W332" s="9"/>
      <c r="X332" s="9"/>
      <c r="Y332" s="9"/>
      <c r="Z332" s="9"/>
      <c r="AA332" s="11"/>
    </row>
    <row r="333">
      <c r="A333" s="19"/>
      <c r="B333" s="20"/>
      <c r="C333" s="20"/>
      <c r="D333" s="20"/>
      <c r="E333" s="20"/>
      <c r="F333" s="20"/>
      <c r="G333" s="20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6">
        <f t="shared" si="2"/>
        <v>0</v>
      </c>
      <c r="W333" s="15"/>
      <c r="X333" s="15"/>
      <c r="Y333" s="15"/>
      <c r="Z333" s="15"/>
      <c r="AA333" s="17"/>
    </row>
    <row r="334">
      <c r="A334" s="21"/>
      <c r="B334" s="18"/>
      <c r="C334" s="18"/>
      <c r="D334" s="18"/>
      <c r="E334" s="18"/>
      <c r="F334" s="18"/>
      <c r="G334" s="18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10">
        <f t="shared" si="2"/>
        <v>0</v>
      </c>
      <c r="W334" s="9"/>
      <c r="X334" s="9"/>
      <c r="Y334" s="9"/>
      <c r="Z334" s="9"/>
      <c r="AA334" s="11"/>
    </row>
    <row r="335">
      <c r="A335" s="19"/>
      <c r="B335" s="20"/>
      <c r="C335" s="20"/>
      <c r="D335" s="20"/>
      <c r="E335" s="20"/>
      <c r="F335" s="20"/>
      <c r="G335" s="20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6">
        <f t="shared" si="2"/>
        <v>0</v>
      </c>
      <c r="W335" s="15"/>
      <c r="X335" s="15"/>
      <c r="Y335" s="15"/>
      <c r="Z335" s="15"/>
      <c r="AA335" s="17"/>
    </row>
    <row r="336">
      <c r="A336" s="21"/>
      <c r="B336" s="18"/>
      <c r="C336" s="18"/>
      <c r="D336" s="18"/>
      <c r="E336" s="18"/>
      <c r="F336" s="18"/>
      <c r="G336" s="18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10">
        <f t="shared" si="2"/>
        <v>0</v>
      </c>
      <c r="W336" s="9"/>
      <c r="X336" s="9"/>
      <c r="Y336" s="9"/>
      <c r="Z336" s="9"/>
      <c r="AA336" s="11"/>
    </row>
    <row r="337">
      <c r="A337" s="19"/>
      <c r="B337" s="20"/>
      <c r="C337" s="20"/>
      <c r="D337" s="20"/>
      <c r="E337" s="20"/>
      <c r="F337" s="20"/>
      <c r="G337" s="20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6">
        <f t="shared" si="2"/>
        <v>0</v>
      </c>
      <c r="W337" s="15"/>
      <c r="X337" s="15"/>
      <c r="Y337" s="15"/>
      <c r="Z337" s="15"/>
      <c r="AA337" s="17"/>
    </row>
    <row r="338">
      <c r="A338" s="21"/>
      <c r="B338" s="18"/>
      <c r="C338" s="18"/>
      <c r="D338" s="18"/>
      <c r="E338" s="18"/>
      <c r="F338" s="18"/>
      <c r="G338" s="18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10">
        <f t="shared" si="2"/>
        <v>0</v>
      </c>
      <c r="W338" s="9"/>
      <c r="X338" s="9"/>
      <c r="Y338" s="9"/>
      <c r="Z338" s="9"/>
      <c r="AA338" s="11"/>
    </row>
    <row r="339">
      <c r="A339" s="19"/>
      <c r="B339" s="20"/>
      <c r="C339" s="20"/>
      <c r="D339" s="20"/>
      <c r="E339" s="20"/>
      <c r="F339" s="20"/>
      <c r="G339" s="20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6">
        <f t="shared" si="2"/>
        <v>0</v>
      </c>
      <c r="W339" s="15"/>
      <c r="X339" s="15"/>
      <c r="Y339" s="15"/>
      <c r="Z339" s="15"/>
      <c r="AA339" s="17"/>
    </row>
    <row r="340">
      <c r="A340" s="21"/>
      <c r="B340" s="18"/>
      <c r="C340" s="18"/>
      <c r="D340" s="18"/>
      <c r="E340" s="18"/>
      <c r="F340" s="18"/>
      <c r="G340" s="18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10">
        <f t="shared" si="2"/>
        <v>0</v>
      </c>
      <c r="W340" s="9"/>
      <c r="X340" s="9"/>
      <c r="Y340" s="9"/>
      <c r="Z340" s="9"/>
      <c r="AA340" s="11"/>
    </row>
    <row r="341">
      <c r="A341" s="19"/>
      <c r="B341" s="20"/>
      <c r="C341" s="20"/>
      <c r="D341" s="20"/>
      <c r="E341" s="20"/>
      <c r="F341" s="20"/>
      <c r="G341" s="20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6">
        <f t="shared" si="2"/>
        <v>0</v>
      </c>
      <c r="W341" s="15"/>
      <c r="X341" s="15"/>
      <c r="Y341" s="15"/>
      <c r="Z341" s="15"/>
      <c r="AA341" s="17"/>
    </row>
    <row r="342">
      <c r="A342" s="21"/>
      <c r="B342" s="18"/>
      <c r="C342" s="18"/>
      <c r="D342" s="18"/>
      <c r="E342" s="18"/>
      <c r="F342" s="18"/>
      <c r="G342" s="18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10">
        <f t="shared" si="2"/>
        <v>0</v>
      </c>
      <c r="W342" s="9"/>
      <c r="X342" s="9"/>
      <c r="Y342" s="9"/>
      <c r="Z342" s="9"/>
      <c r="AA342" s="11"/>
    </row>
    <row r="343">
      <c r="A343" s="19"/>
      <c r="B343" s="20"/>
      <c r="C343" s="20"/>
      <c r="D343" s="20"/>
      <c r="E343" s="20"/>
      <c r="F343" s="20"/>
      <c r="G343" s="20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6">
        <f t="shared" si="2"/>
        <v>0</v>
      </c>
      <c r="W343" s="15"/>
      <c r="X343" s="15"/>
      <c r="Y343" s="15"/>
      <c r="Z343" s="15"/>
      <c r="AA343" s="17"/>
    </row>
    <row r="344">
      <c r="A344" s="21"/>
      <c r="B344" s="18"/>
      <c r="C344" s="18"/>
      <c r="D344" s="18"/>
      <c r="E344" s="18"/>
      <c r="F344" s="18"/>
      <c r="G344" s="18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10">
        <f t="shared" si="2"/>
        <v>0</v>
      </c>
      <c r="W344" s="9"/>
      <c r="X344" s="9"/>
      <c r="Y344" s="9"/>
      <c r="Z344" s="9"/>
      <c r="AA344" s="11"/>
    </row>
    <row r="345">
      <c r="A345" s="19"/>
      <c r="B345" s="20"/>
      <c r="C345" s="20"/>
      <c r="D345" s="20"/>
      <c r="E345" s="20"/>
      <c r="F345" s="20"/>
      <c r="G345" s="20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6">
        <f t="shared" si="2"/>
        <v>0</v>
      </c>
      <c r="W345" s="15"/>
      <c r="X345" s="15"/>
      <c r="Y345" s="15"/>
      <c r="Z345" s="15"/>
      <c r="AA345" s="17"/>
    </row>
    <row r="346">
      <c r="A346" s="21"/>
      <c r="B346" s="18"/>
      <c r="C346" s="18"/>
      <c r="D346" s="18"/>
      <c r="E346" s="18"/>
      <c r="F346" s="18"/>
      <c r="G346" s="18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10">
        <f t="shared" si="2"/>
        <v>0</v>
      </c>
      <c r="W346" s="9"/>
      <c r="X346" s="9"/>
      <c r="Y346" s="9"/>
      <c r="Z346" s="9"/>
      <c r="AA346" s="11"/>
    </row>
    <row r="347">
      <c r="A347" s="19"/>
      <c r="B347" s="20"/>
      <c r="C347" s="20"/>
      <c r="D347" s="20"/>
      <c r="E347" s="20"/>
      <c r="F347" s="20"/>
      <c r="G347" s="20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6">
        <f t="shared" si="2"/>
        <v>0</v>
      </c>
      <c r="W347" s="15"/>
      <c r="X347" s="15"/>
      <c r="Y347" s="15"/>
      <c r="Z347" s="15"/>
      <c r="AA347" s="17"/>
    </row>
    <row r="348">
      <c r="A348" s="21"/>
      <c r="B348" s="18"/>
      <c r="C348" s="18"/>
      <c r="D348" s="18"/>
      <c r="E348" s="18"/>
      <c r="F348" s="18"/>
      <c r="G348" s="18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10">
        <f t="shared" si="2"/>
        <v>0</v>
      </c>
      <c r="W348" s="9"/>
      <c r="X348" s="9"/>
      <c r="Y348" s="9"/>
      <c r="Z348" s="9"/>
      <c r="AA348" s="11"/>
    </row>
    <row r="349">
      <c r="A349" s="19"/>
      <c r="B349" s="20"/>
      <c r="C349" s="20"/>
      <c r="D349" s="20"/>
      <c r="E349" s="20"/>
      <c r="F349" s="20"/>
      <c r="G349" s="20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6">
        <f t="shared" si="2"/>
        <v>0</v>
      </c>
      <c r="W349" s="15"/>
      <c r="X349" s="15"/>
      <c r="Y349" s="15"/>
      <c r="Z349" s="15"/>
      <c r="AA349" s="17"/>
    </row>
    <row r="350">
      <c r="A350" s="21"/>
      <c r="B350" s="18"/>
      <c r="C350" s="18"/>
      <c r="D350" s="18"/>
      <c r="E350" s="18"/>
      <c r="F350" s="18"/>
      <c r="G350" s="18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10">
        <f t="shared" si="2"/>
        <v>0</v>
      </c>
      <c r="W350" s="9"/>
      <c r="X350" s="9"/>
      <c r="Y350" s="9"/>
      <c r="Z350" s="9"/>
      <c r="AA350" s="11"/>
    </row>
    <row r="351">
      <c r="A351" s="19"/>
      <c r="B351" s="20"/>
      <c r="C351" s="20"/>
      <c r="D351" s="20"/>
      <c r="E351" s="20"/>
      <c r="F351" s="20"/>
      <c r="G351" s="20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6">
        <f t="shared" si="2"/>
        <v>0</v>
      </c>
      <c r="W351" s="15"/>
      <c r="X351" s="15"/>
      <c r="Y351" s="15"/>
      <c r="Z351" s="15"/>
      <c r="AA351" s="17"/>
    </row>
    <row r="352">
      <c r="A352" s="21"/>
      <c r="B352" s="18"/>
      <c r="C352" s="18"/>
      <c r="D352" s="18"/>
      <c r="E352" s="18"/>
      <c r="F352" s="18"/>
      <c r="G352" s="18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10">
        <f t="shared" si="2"/>
        <v>0</v>
      </c>
      <c r="W352" s="9"/>
      <c r="X352" s="9"/>
      <c r="Y352" s="9"/>
      <c r="Z352" s="9"/>
      <c r="AA352" s="11"/>
    </row>
    <row r="353">
      <c r="A353" s="19"/>
      <c r="B353" s="20"/>
      <c r="C353" s="20"/>
      <c r="D353" s="20"/>
      <c r="E353" s="20"/>
      <c r="F353" s="20"/>
      <c r="G353" s="20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6">
        <f t="shared" si="2"/>
        <v>0</v>
      </c>
      <c r="W353" s="15"/>
      <c r="X353" s="15"/>
      <c r="Y353" s="15"/>
      <c r="Z353" s="15"/>
      <c r="AA353" s="17"/>
    </row>
    <row r="354">
      <c r="A354" s="21"/>
      <c r="B354" s="18"/>
      <c r="C354" s="18"/>
      <c r="D354" s="18"/>
      <c r="E354" s="18"/>
      <c r="F354" s="18"/>
      <c r="G354" s="18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10">
        <f t="shared" si="2"/>
        <v>0</v>
      </c>
      <c r="W354" s="9"/>
      <c r="X354" s="9"/>
      <c r="Y354" s="9"/>
      <c r="Z354" s="9"/>
      <c r="AA354" s="11"/>
    </row>
    <row r="355">
      <c r="A355" s="19"/>
      <c r="B355" s="20"/>
      <c r="C355" s="20"/>
      <c r="D355" s="20"/>
      <c r="E355" s="20"/>
      <c r="F355" s="20"/>
      <c r="G355" s="20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6">
        <f t="shared" si="2"/>
        <v>0</v>
      </c>
      <c r="W355" s="15"/>
      <c r="X355" s="15"/>
      <c r="Y355" s="15"/>
      <c r="Z355" s="15"/>
      <c r="AA355" s="17"/>
    </row>
    <row r="356">
      <c r="A356" s="21"/>
      <c r="B356" s="18"/>
      <c r="C356" s="18"/>
      <c r="D356" s="18"/>
      <c r="E356" s="18"/>
      <c r="F356" s="18"/>
      <c r="G356" s="18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10">
        <f t="shared" si="2"/>
        <v>0</v>
      </c>
      <c r="W356" s="9"/>
      <c r="X356" s="9"/>
      <c r="Y356" s="9"/>
      <c r="Z356" s="9"/>
      <c r="AA356" s="11"/>
    </row>
    <row r="357">
      <c r="A357" s="19"/>
      <c r="B357" s="20"/>
      <c r="C357" s="20"/>
      <c r="D357" s="20"/>
      <c r="E357" s="20"/>
      <c r="F357" s="20"/>
      <c r="G357" s="20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6">
        <f t="shared" si="2"/>
        <v>0</v>
      </c>
      <c r="W357" s="15"/>
      <c r="X357" s="15"/>
      <c r="Y357" s="15"/>
      <c r="Z357" s="15"/>
      <c r="AA357" s="17"/>
    </row>
    <row r="358">
      <c r="A358" s="21"/>
      <c r="B358" s="18"/>
      <c r="C358" s="18"/>
      <c r="D358" s="18"/>
      <c r="E358" s="18"/>
      <c r="F358" s="18"/>
      <c r="G358" s="18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10">
        <f t="shared" si="2"/>
        <v>0</v>
      </c>
      <c r="W358" s="9"/>
      <c r="X358" s="9"/>
      <c r="Y358" s="9"/>
      <c r="Z358" s="9"/>
      <c r="AA358" s="11"/>
    </row>
    <row r="359">
      <c r="A359" s="19"/>
      <c r="B359" s="20"/>
      <c r="C359" s="20"/>
      <c r="D359" s="20"/>
      <c r="E359" s="20"/>
      <c r="F359" s="20"/>
      <c r="G359" s="20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6">
        <f t="shared" si="2"/>
        <v>0</v>
      </c>
      <c r="W359" s="15"/>
      <c r="X359" s="15"/>
      <c r="Y359" s="15"/>
      <c r="Z359" s="15"/>
      <c r="AA359" s="17"/>
    </row>
    <row r="360">
      <c r="A360" s="21"/>
      <c r="B360" s="18"/>
      <c r="C360" s="18"/>
      <c r="D360" s="18"/>
      <c r="E360" s="18"/>
      <c r="F360" s="18"/>
      <c r="G360" s="18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10">
        <f t="shared" si="2"/>
        <v>0</v>
      </c>
      <c r="W360" s="9"/>
      <c r="X360" s="9"/>
      <c r="Y360" s="9"/>
      <c r="Z360" s="9"/>
      <c r="AA360" s="11"/>
    </row>
    <row r="361">
      <c r="A361" s="19"/>
      <c r="B361" s="20"/>
      <c r="C361" s="20"/>
      <c r="D361" s="20"/>
      <c r="E361" s="20"/>
      <c r="F361" s="20"/>
      <c r="G361" s="20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6">
        <f t="shared" si="2"/>
        <v>0</v>
      </c>
      <c r="W361" s="15"/>
      <c r="X361" s="15"/>
      <c r="Y361" s="15"/>
      <c r="Z361" s="15"/>
      <c r="AA361" s="17"/>
    </row>
    <row r="362">
      <c r="A362" s="21"/>
      <c r="B362" s="18"/>
      <c r="C362" s="18"/>
      <c r="D362" s="18"/>
      <c r="E362" s="18"/>
      <c r="F362" s="18"/>
      <c r="G362" s="18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10">
        <f t="shared" si="2"/>
        <v>0</v>
      </c>
      <c r="W362" s="9"/>
      <c r="X362" s="9"/>
      <c r="Y362" s="9"/>
      <c r="Z362" s="9"/>
      <c r="AA362" s="11"/>
    </row>
    <row r="363">
      <c r="A363" s="19"/>
      <c r="B363" s="20"/>
      <c r="C363" s="20"/>
      <c r="D363" s="20"/>
      <c r="E363" s="20"/>
      <c r="F363" s="20"/>
      <c r="G363" s="20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6">
        <f t="shared" si="2"/>
        <v>0</v>
      </c>
      <c r="W363" s="15"/>
      <c r="X363" s="15"/>
      <c r="Y363" s="15"/>
      <c r="Z363" s="15"/>
      <c r="AA363" s="17"/>
    </row>
    <row r="364">
      <c r="A364" s="21"/>
      <c r="B364" s="18"/>
      <c r="C364" s="18"/>
      <c r="D364" s="18"/>
      <c r="E364" s="18"/>
      <c r="F364" s="18"/>
      <c r="G364" s="18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10">
        <f t="shared" si="2"/>
        <v>0</v>
      </c>
      <c r="W364" s="9"/>
      <c r="X364" s="9"/>
      <c r="Y364" s="9"/>
      <c r="Z364" s="9"/>
      <c r="AA364" s="11"/>
    </row>
    <row r="365">
      <c r="A365" s="19"/>
      <c r="B365" s="20"/>
      <c r="C365" s="20"/>
      <c r="D365" s="20"/>
      <c r="E365" s="20"/>
      <c r="F365" s="20"/>
      <c r="G365" s="20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6">
        <f t="shared" si="2"/>
        <v>0</v>
      </c>
      <c r="W365" s="15"/>
      <c r="X365" s="15"/>
      <c r="Y365" s="15"/>
      <c r="Z365" s="15"/>
      <c r="AA365" s="17"/>
    </row>
    <row r="366">
      <c r="A366" s="21"/>
      <c r="B366" s="18"/>
      <c r="C366" s="18"/>
      <c r="D366" s="18"/>
      <c r="E366" s="18"/>
      <c r="F366" s="18"/>
      <c r="G366" s="18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10">
        <f t="shared" si="2"/>
        <v>0</v>
      </c>
      <c r="W366" s="9"/>
      <c r="X366" s="9"/>
      <c r="Y366" s="9"/>
      <c r="Z366" s="9"/>
      <c r="AA366" s="11"/>
    </row>
    <row r="367">
      <c r="A367" s="19"/>
      <c r="B367" s="20"/>
      <c r="C367" s="20"/>
      <c r="D367" s="20"/>
      <c r="E367" s="20"/>
      <c r="F367" s="20"/>
      <c r="G367" s="20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6">
        <f t="shared" si="2"/>
        <v>0</v>
      </c>
      <c r="W367" s="15"/>
      <c r="X367" s="15"/>
      <c r="Y367" s="15"/>
      <c r="Z367" s="15"/>
      <c r="AA367" s="17"/>
    </row>
    <row r="368">
      <c r="A368" s="21"/>
      <c r="B368" s="18"/>
      <c r="C368" s="18"/>
      <c r="D368" s="18"/>
      <c r="E368" s="18"/>
      <c r="F368" s="18"/>
      <c r="G368" s="18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10">
        <f t="shared" si="2"/>
        <v>0</v>
      </c>
      <c r="W368" s="9"/>
      <c r="X368" s="9"/>
      <c r="Y368" s="9"/>
      <c r="Z368" s="9"/>
      <c r="AA368" s="11"/>
    </row>
    <row r="369">
      <c r="A369" s="19"/>
      <c r="B369" s="20"/>
      <c r="C369" s="20"/>
      <c r="D369" s="20"/>
      <c r="E369" s="20"/>
      <c r="F369" s="20"/>
      <c r="G369" s="20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6">
        <f t="shared" si="2"/>
        <v>0</v>
      </c>
      <c r="W369" s="15"/>
      <c r="X369" s="15"/>
      <c r="Y369" s="15"/>
      <c r="Z369" s="15"/>
      <c r="AA369" s="17"/>
    </row>
    <row r="370">
      <c r="A370" s="21"/>
      <c r="B370" s="18"/>
      <c r="C370" s="18"/>
      <c r="D370" s="18"/>
      <c r="E370" s="18"/>
      <c r="F370" s="18"/>
      <c r="G370" s="18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10">
        <f t="shared" si="2"/>
        <v>0</v>
      </c>
      <c r="W370" s="9"/>
      <c r="X370" s="9"/>
      <c r="Y370" s="9"/>
      <c r="Z370" s="9"/>
      <c r="AA370" s="11"/>
    </row>
    <row r="371">
      <c r="A371" s="19"/>
      <c r="B371" s="20"/>
      <c r="C371" s="20"/>
      <c r="D371" s="20"/>
      <c r="E371" s="20"/>
      <c r="F371" s="20"/>
      <c r="G371" s="20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6">
        <f t="shared" si="2"/>
        <v>0</v>
      </c>
      <c r="W371" s="15"/>
      <c r="X371" s="15"/>
      <c r="Y371" s="15"/>
      <c r="Z371" s="15"/>
      <c r="AA371" s="17"/>
    </row>
    <row r="372">
      <c r="A372" s="21"/>
      <c r="B372" s="18"/>
      <c r="C372" s="18"/>
      <c r="D372" s="18"/>
      <c r="E372" s="18"/>
      <c r="F372" s="18"/>
      <c r="G372" s="18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10">
        <f t="shared" si="2"/>
        <v>0</v>
      </c>
      <c r="W372" s="9"/>
      <c r="X372" s="9"/>
      <c r="Y372" s="9"/>
      <c r="Z372" s="9"/>
      <c r="AA372" s="11"/>
    </row>
    <row r="373">
      <c r="A373" s="19"/>
      <c r="B373" s="20"/>
      <c r="C373" s="20"/>
      <c r="D373" s="20"/>
      <c r="E373" s="20"/>
      <c r="F373" s="20"/>
      <c r="G373" s="20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6">
        <f t="shared" si="2"/>
        <v>0</v>
      </c>
      <c r="W373" s="15"/>
      <c r="X373" s="15"/>
      <c r="Y373" s="15"/>
      <c r="Z373" s="15"/>
      <c r="AA373" s="17"/>
    </row>
    <row r="374">
      <c r="A374" s="21"/>
      <c r="B374" s="18"/>
      <c r="C374" s="18"/>
      <c r="D374" s="18"/>
      <c r="E374" s="18"/>
      <c r="F374" s="18"/>
      <c r="G374" s="18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10">
        <f t="shared" si="2"/>
        <v>0</v>
      </c>
      <c r="W374" s="9"/>
      <c r="X374" s="9"/>
      <c r="Y374" s="9"/>
      <c r="Z374" s="9"/>
      <c r="AA374" s="11"/>
    </row>
    <row r="375">
      <c r="A375" s="19"/>
      <c r="B375" s="20"/>
      <c r="C375" s="20"/>
      <c r="D375" s="20"/>
      <c r="E375" s="20"/>
      <c r="F375" s="20"/>
      <c r="G375" s="20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6">
        <f t="shared" si="2"/>
        <v>0</v>
      </c>
      <c r="W375" s="15"/>
      <c r="X375" s="15"/>
      <c r="Y375" s="15"/>
      <c r="Z375" s="15"/>
      <c r="AA375" s="17"/>
    </row>
    <row r="376">
      <c r="A376" s="21"/>
      <c r="B376" s="18"/>
      <c r="C376" s="18"/>
      <c r="D376" s="18"/>
      <c r="E376" s="18"/>
      <c r="F376" s="18"/>
      <c r="G376" s="18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10">
        <f t="shared" si="2"/>
        <v>0</v>
      </c>
      <c r="W376" s="9"/>
      <c r="X376" s="9"/>
      <c r="Y376" s="9"/>
      <c r="Z376" s="9"/>
      <c r="AA376" s="11"/>
    </row>
    <row r="377">
      <c r="A377" s="19"/>
      <c r="B377" s="20"/>
      <c r="C377" s="20"/>
      <c r="D377" s="20"/>
      <c r="E377" s="20"/>
      <c r="F377" s="20"/>
      <c r="G377" s="20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6">
        <f t="shared" si="2"/>
        <v>0</v>
      </c>
      <c r="W377" s="15"/>
      <c r="X377" s="15"/>
      <c r="Y377" s="15"/>
      <c r="Z377" s="15"/>
      <c r="AA377" s="17"/>
    </row>
    <row r="378">
      <c r="A378" s="21"/>
      <c r="B378" s="18"/>
      <c r="C378" s="18"/>
      <c r="D378" s="18"/>
      <c r="E378" s="18"/>
      <c r="F378" s="18"/>
      <c r="G378" s="18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10">
        <f t="shared" si="2"/>
        <v>0</v>
      </c>
      <c r="W378" s="9"/>
      <c r="X378" s="9"/>
      <c r="Y378" s="9"/>
      <c r="Z378" s="9"/>
      <c r="AA378" s="11"/>
    </row>
    <row r="379">
      <c r="A379" s="19"/>
      <c r="B379" s="20"/>
      <c r="C379" s="20"/>
      <c r="D379" s="20"/>
      <c r="E379" s="20"/>
      <c r="F379" s="20"/>
      <c r="G379" s="20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6">
        <f t="shared" si="2"/>
        <v>0</v>
      </c>
      <c r="W379" s="15"/>
      <c r="X379" s="15"/>
      <c r="Y379" s="15"/>
      <c r="Z379" s="15"/>
      <c r="AA379" s="17"/>
    </row>
    <row r="380">
      <c r="A380" s="21"/>
      <c r="B380" s="18"/>
      <c r="C380" s="18"/>
      <c r="D380" s="18"/>
      <c r="E380" s="18"/>
      <c r="F380" s="18"/>
      <c r="G380" s="18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10">
        <f t="shared" si="2"/>
        <v>0</v>
      </c>
      <c r="W380" s="9"/>
      <c r="X380" s="9"/>
      <c r="Y380" s="9"/>
      <c r="Z380" s="9"/>
      <c r="AA380" s="11"/>
    </row>
    <row r="381">
      <c r="A381" s="19"/>
      <c r="B381" s="20"/>
      <c r="C381" s="20"/>
      <c r="D381" s="20"/>
      <c r="E381" s="20"/>
      <c r="F381" s="20"/>
      <c r="G381" s="20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6">
        <f t="shared" si="2"/>
        <v>0</v>
      </c>
      <c r="W381" s="15"/>
      <c r="X381" s="15"/>
      <c r="Y381" s="15"/>
      <c r="Z381" s="15"/>
      <c r="AA381" s="17"/>
    </row>
    <row r="382">
      <c r="A382" s="21"/>
      <c r="B382" s="18"/>
      <c r="C382" s="18"/>
      <c r="D382" s="18"/>
      <c r="E382" s="18"/>
      <c r="F382" s="18"/>
      <c r="G382" s="18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10">
        <f t="shared" si="2"/>
        <v>0</v>
      </c>
      <c r="W382" s="9"/>
      <c r="X382" s="9"/>
      <c r="Y382" s="9"/>
      <c r="Z382" s="9"/>
      <c r="AA382" s="11"/>
    </row>
    <row r="383">
      <c r="A383" s="19"/>
      <c r="B383" s="20"/>
      <c r="C383" s="20"/>
      <c r="D383" s="20"/>
      <c r="E383" s="20"/>
      <c r="F383" s="20"/>
      <c r="G383" s="20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6">
        <f t="shared" si="2"/>
        <v>0</v>
      </c>
      <c r="W383" s="15"/>
      <c r="X383" s="15"/>
      <c r="Y383" s="15"/>
      <c r="Z383" s="15"/>
      <c r="AA383" s="17"/>
    </row>
    <row r="384">
      <c r="A384" s="21"/>
      <c r="B384" s="18"/>
      <c r="C384" s="18"/>
      <c r="D384" s="18"/>
      <c r="E384" s="18"/>
      <c r="F384" s="18"/>
      <c r="G384" s="18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10">
        <f t="shared" si="2"/>
        <v>0</v>
      </c>
      <c r="W384" s="9"/>
      <c r="X384" s="9"/>
      <c r="Y384" s="9"/>
      <c r="Z384" s="9"/>
      <c r="AA384" s="11"/>
    </row>
    <row r="385">
      <c r="A385" s="19"/>
      <c r="B385" s="20"/>
      <c r="C385" s="20"/>
      <c r="D385" s="20"/>
      <c r="E385" s="20"/>
      <c r="F385" s="20"/>
      <c r="G385" s="20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6">
        <f t="shared" si="2"/>
        <v>0</v>
      </c>
      <c r="W385" s="15"/>
      <c r="X385" s="15"/>
      <c r="Y385" s="15"/>
      <c r="Z385" s="15"/>
      <c r="AA385" s="17"/>
    </row>
    <row r="386">
      <c r="A386" s="21"/>
      <c r="B386" s="18"/>
      <c r="C386" s="18"/>
      <c r="D386" s="18"/>
      <c r="E386" s="18"/>
      <c r="F386" s="18"/>
      <c r="G386" s="18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10">
        <f t="shared" si="2"/>
        <v>0</v>
      </c>
      <c r="W386" s="9"/>
      <c r="X386" s="9"/>
      <c r="Y386" s="9"/>
      <c r="Z386" s="9"/>
      <c r="AA386" s="11"/>
    </row>
    <row r="387">
      <c r="A387" s="19"/>
      <c r="B387" s="20"/>
      <c r="C387" s="20"/>
      <c r="D387" s="20"/>
      <c r="E387" s="20"/>
      <c r="F387" s="20"/>
      <c r="G387" s="20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6">
        <f t="shared" si="2"/>
        <v>0</v>
      </c>
      <c r="W387" s="15"/>
      <c r="X387" s="15"/>
      <c r="Y387" s="15"/>
      <c r="Z387" s="15"/>
      <c r="AA387" s="17"/>
    </row>
    <row r="388">
      <c r="A388" s="21"/>
      <c r="B388" s="18"/>
      <c r="C388" s="18"/>
      <c r="D388" s="18"/>
      <c r="E388" s="18"/>
      <c r="F388" s="18"/>
      <c r="G388" s="18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10">
        <f t="shared" si="2"/>
        <v>0</v>
      </c>
      <c r="W388" s="9"/>
      <c r="X388" s="9"/>
      <c r="Y388" s="9"/>
      <c r="Z388" s="9"/>
      <c r="AA388" s="11"/>
    </row>
    <row r="389">
      <c r="A389" s="19"/>
      <c r="B389" s="20"/>
      <c r="C389" s="20"/>
      <c r="D389" s="20"/>
      <c r="E389" s="20"/>
      <c r="F389" s="20"/>
      <c r="G389" s="20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6">
        <f t="shared" si="2"/>
        <v>0</v>
      </c>
      <c r="W389" s="15"/>
      <c r="X389" s="15"/>
      <c r="Y389" s="15"/>
      <c r="Z389" s="15"/>
      <c r="AA389" s="17"/>
    </row>
    <row r="390">
      <c r="A390" s="21"/>
      <c r="B390" s="18"/>
      <c r="C390" s="18"/>
      <c r="D390" s="18"/>
      <c r="E390" s="18"/>
      <c r="F390" s="18"/>
      <c r="G390" s="18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10">
        <f t="shared" si="2"/>
        <v>0</v>
      </c>
      <c r="W390" s="9"/>
      <c r="X390" s="9"/>
      <c r="Y390" s="9"/>
      <c r="Z390" s="9"/>
      <c r="AA390" s="11"/>
    </row>
    <row r="391">
      <c r="A391" s="19"/>
      <c r="B391" s="20"/>
      <c r="C391" s="20"/>
      <c r="D391" s="20"/>
      <c r="E391" s="20"/>
      <c r="F391" s="20"/>
      <c r="G391" s="20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6">
        <f t="shared" si="2"/>
        <v>0</v>
      </c>
      <c r="W391" s="15"/>
      <c r="X391" s="15"/>
      <c r="Y391" s="15"/>
      <c r="Z391" s="15"/>
      <c r="AA391" s="17"/>
    </row>
    <row r="392">
      <c r="A392" s="21"/>
      <c r="B392" s="18"/>
      <c r="C392" s="18"/>
      <c r="D392" s="18"/>
      <c r="E392" s="18"/>
      <c r="F392" s="18"/>
      <c r="G392" s="18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10">
        <f t="shared" si="2"/>
        <v>0</v>
      </c>
      <c r="W392" s="9"/>
      <c r="X392" s="9"/>
      <c r="Y392" s="9"/>
      <c r="Z392" s="9"/>
      <c r="AA392" s="11"/>
    </row>
    <row r="393">
      <c r="A393" s="19"/>
      <c r="B393" s="20"/>
      <c r="C393" s="20"/>
      <c r="D393" s="20"/>
      <c r="E393" s="20"/>
      <c r="F393" s="20"/>
      <c r="G393" s="20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6">
        <f t="shared" si="2"/>
        <v>0</v>
      </c>
      <c r="W393" s="15"/>
      <c r="X393" s="15"/>
      <c r="Y393" s="15"/>
      <c r="Z393" s="15"/>
      <c r="AA393" s="17"/>
    </row>
    <row r="394">
      <c r="A394" s="21"/>
      <c r="B394" s="18"/>
      <c r="C394" s="18"/>
      <c r="D394" s="18"/>
      <c r="E394" s="18"/>
      <c r="F394" s="18"/>
      <c r="G394" s="18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10">
        <f t="shared" si="2"/>
        <v>0</v>
      </c>
      <c r="W394" s="9"/>
      <c r="X394" s="9"/>
      <c r="Y394" s="9"/>
      <c r="Z394" s="9"/>
      <c r="AA394" s="11"/>
    </row>
    <row r="395">
      <c r="A395" s="19"/>
      <c r="B395" s="20"/>
      <c r="C395" s="20"/>
      <c r="D395" s="20"/>
      <c r="E395" s="20"/>
      <c r="F395" s="20"/>
      <c r="G395" s="20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6">
        <f t="shared" si="2"/>
        <v>0</v>
      </c>
      <c r="W395" s="15"/>
      <c r="X395" s="15"/>
      <c r="Y395" s="15"/>
      <c r="Z395" s="15"/>
      <c r="AA395" s="17"/>
    </row>
    <row r="396">
      <c r="A396" s="21"/>
      <c r="B396" s="18"/>
      <c r="C396" s="18"/>
      <c r="D396" s="18"/>
      <c r="E396" s="18"/>
      <c r="F396" s="18"/>
      <c r="G396" s="18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10">
        <f t="shared" si="2"/>
        <v>0</v>
      </c>
      <c r="W396" s="9"/>
      <c r="X396" s="9"/>
      <c r="Y396" s="9"/>
      <c r="Z396" s="9"/>
      <c r="AA396" s="11"/>
    </row>
    <row r="397">
      <c r="A397" s="19"/>
      <c r="B397" s="20"/>
      <c r="C397" s="20"/>
      <c r="D397" s="20"/>
      <c r="E397" s="20"/>
      <c r="F397" s="20"/>
      <c r="G397" s="20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6">
        <f t="shared" si="2"/>
        <v>0</v>
      </c>
      <c r="W397" s="15"/>
      <c r="X397" s="15"/>
      <c r="Y397" s="15"/>
      <c r="Z397" s="15"/>
      <c r="AA397" s="17"/>
    </row>
    <row r="398">
      <c r="A398" s="21"/>
      <c r="B398" s="18"/>
      <c r="C398" s="18"/>
      <c r="D398" s="18"/>
      <c r="E398" s="18"/>
      <c r="F398" s="18"/>
      <c r="G398" s="18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10">
        <f t="shared" si="2"/>
        <v>0</v>
      </c>
      <c r="W398" s="9"/>
      <c r="X398" s="9"/>
      <c r="Y398" s="9"/>
      <c r="Z398" s="9"/>
      <c r="AA398" s="11"/>
    </row>
    <row r="399">
      <c r="A399" s="19"/>
      <c r="B399" s="20"/>
      <c r="C399" s="20"/>
      <c r="D399" s="20"/>
      <c r="E399" s="20"/>
      <c r="F399" s="20"/>
      <c r="G399" s="20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6">
        <f t="shared" si="2"/>
        <v>0</v>
      </c>
      <c r="W399" s="15"/>
      <c r="X399" s="15"/>
      <c r="Y399" s="15"/>
      <c r="Z399" s="15"/>
      <c r="AA399" s="17"/>
    </row>
    <row r="400">
      <c r="A400" s="21"/>
      <c r="B400" s="18"/>
      <c r="C400" s="18"/>
      <c r="D400" s="18"/>
      <c r="E400" s="18"/>
      <c r="F400" s="18"/>
      <c r="G400" s="18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10">
        <f t="shared" si="2"/>
        <v>0</v>
      </c>
      <c r="W400" s="9"/>
      <c r="X400" s="9"/>
      <c r="Y400" s="9"/>
      <c r="Z400" s="9"/>
      <c r="AA400" s="11"/>
    </row>
    <row r="401">
      <c r="A401" s="19"/>
      <c r="B401" s="20"/>
      <c r="C401" s="20"/>
      <c r="D401" s="20"/>
      <c r="E401" s="20"/>
      <c r="F401" s="20"/>
      <c r="G401" s="20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6">
        <f t="shared" si="2"/>
        <v>0</v>
      </c>
      <c r="W401" s="15"/>
      <c r="X401" s="15"/>
      <c r="Y401" s="15"/>
      <c r="Z401" s="15"/>
      <c r="AA401" s="17"/>
    </row>
    <row r="402">
      <c r="A402" s="21"/>
      <c r="B402" s="18"/>
      <c r="C402" s="18"/>
      <c r="D402" s="18"/>
      <c r="E402" s="18"/>
      <c r="F402" s="18"/>
      <c r="G402" s="18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10">
        <f t="shared" si="2"/>
        <v>0</v>
      </c>
      <c r="W402" s="9"/>
      <c r="X402" s="9"/>
      <c r="Y402" s="9"/>
      <c r="Z402" s="9"/>
      <c r="AA402" s="11"/>
    </row>
    <row r="403">
      <c r="A403" s="19"/>
      <c r="B403" s="20"/>
      <c r="C403" s="20"/>
      <c r="D403" s="20"/>
      <c r="E403" s="20"/>
      <c r="F403" s="20"/>
      <c r="G403" s="20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6">
        <f t="shared" si="2"/>
        <v>0</v>
      </c>
      <c r="W403" s="15"/>
      <c r="X403" s="15"/>
      <c r="Y403" s="15"/>
      <c r="Z403" s="15"/>
      <c r="AA403" s="17"/>
    </row>
    <row r="404">
      <c r="A404" s="21"/>
      <c r="B404" s="18"/>
      <c r="C404" s="18"/>
      <c r="D404" s="18"/>
      <c r="E404" s="18"/>
      <c r="F404" s="18"/>
      <c r="G404" s="18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10">
        <f t="shared" si="2"/>
        <v>0</v>
      </c>
      <c r="W404" s="9"/>
      <c r="X404" s="9"/>
      <c r="Y404" s="9"/>
      <c r="Z404" s="9"/>
      <c r="AA404" s="11"/>
    </row>
    <row r="405">
      <c r="A405" s="19"/>
      <c r="B405" s="20"/>
      <c r="C405" s="20"/>
      <c r="D405" s="20"/>
      <c r="E405" s="20"/>
      <c r="F405" s="20"/>
      <c r="G405" s="20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6">
        <f t="shared" si="2"/>
        <v>0</v>
      </c>
      <c r="W405" s="15"/>
      <c r="X405" s="15"/>
      <c r="Y405" s="15"/>
      <c r="Z405" s="15"/>
      <c r="AA405" s="17"/>
    </row>
    <row r="406">
      <c r="A406" s="21"/>
      <c r="B406" s="18"/>
      <c r="C406" s="18"/>
      <c r="D406" s="18"/>
      <c r="E406" s="18"/>
      <c r="F406" s="18"/>
      <c r="G406" s="18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10">
        <f t="shared" si="2"/>
        <v>0</v>
      </c>
      <c r="W406" s="9"/>
      <c r="X406" s="9"/>
      <c r="Y406" s="9"/>
      <c r="Z406" s="9"/>
      <c r="AA406" s="11"/>
    </row>
    <row r="407">
      <c r="A407" s="19"/>
      <c r="B407" s="20"/>
      <c r="C407" s="20"/>
      <c r="D407" s="20"/>
      <c r="E407" s="20"/>
      <c r="F407" s="20"/>
      <c r="G407" s="20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6">
        <f t="shared" si="2"/>
        <v>0</v>
      </c>
      <c r="W407" s="15"/>
      <c r="X407" s="15"/>
      <c r="Y407" s="15"/>
      <c r="Z407" s="15"/>
      <c r="AA407" s="17"/>
    </row>
    <row r="408">
      <c r="A408" s="21"/>
      <c r="B408" s="18"/>
      <c r="C408" s="18"/>
      <c r="D408" s="18"/>
      <c r="E408" s="18"/>
      <c r="F408" s="18"/>
      <c r="G408" s="18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10">
        <f t="shared" si="2"/>
        <v>0</v>
      </c>
      <c r="W408" s="9"/>
      <c r="X408" s="9"/>
      <c r="Y408" s="9"/>
      <c r="Z408" s="9"/>
      <c r="AA408" s="11"/>
    </row>
    <row r="409">
      <c r="A409" s="19"/>
      <c r="B409" s="20"/>
      <c r="C409" s="20"/>
      <c r="D409" s="20"/>
      <c r="E409" s="20"/>
      <c r="F409" s="20"/>
      <c r="G409" s="20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6">
        <f t="shared" si="2"/>
        <v>0</v>
      </c>
      <c r="W409" s="15"/>
      <c r="X409" s="15"/>
      <c r="Y409" s="15"/>
      <c r="Z409" s="15"/>
      <c r="AA409" s="17"/>
    </row>
    <row r="410">
      <c r="A410" s="21"/>
      <c r="B410" s="18"/>
      <c r="C410" s="18"/>
      <c r="D410" s="18"/>
      <c r="E410" s="18"/>
      <c r="F410" s="18"/>
      <c r="G410" s="18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10">
        <f t="shared" si="2"/>
        <v>0</v>
      </c>
      <c r="W410" s="9"/>
      <c r="X410" s="9"/>
      <c r="Y410" s="9"/>
      <c r="Z410" s="9"/>
      <c r="AA410" s="11"/>
    </row>
    <row r="411">
      <c r="A411" s="19"/>
      <c r="B411" s="20"/>
      <c r="C411" s="20"/>
      <c r="D411" s="20"/>
      <c r="E411" s="20"/>
      <c r="F411" s="20"/>
      <c r="G411" s="20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6">
        <f t="shared" si="2"/>
        <v>0</v>
      </c>
      <c r="W411" s="15"/>
      <c r="X411" s="15"/>
      <c r="Y411" s="15"/>
      <c r="Z411" s="15"/>
      <c r="AA411" s="17"/>
    </row>
    <row r="412">
      <c r="A412" s="21"/>
      <c r="B412" s="18"/>
      <c r="C412" s="18"/>
      <c r="D412" s="18"/>
      <c r="E412" s="18"/>
      <c r="F412" s="18"/>
      <c r="G412" s="18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10">
        <f t="shared" si="2"/>
        <v>0</v>
      </c>
      <c r="W412" s="9"/>
      <c r="X412" s="9"/>
      <c r="Y412" s="9"/>
      <c r="Z412" s="9"/>
      <c r="AA412" s="11"/>
    </row>
    <row r="413">
      <c r="A413" s="19"/>
      <c r="B413" s="20"/>
      <c r="C413" s="20"/>
      <c r="D413" s="20"/>
      <c r="E413" s="20"/>
      <c r="F413" s="20"/>
      <c r="G413" s="20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6">
        <f t="shared" si="2"/>
        <v>0</v>
      </c>
      <c r="W413" s="15"/>
      <c r="X413" s="15"/>
      <c r="Y413" s="15"/>
      <c r="Z413" s="15"/>
      <c r="AA413" s="17"/>
    </row>
    <row r="414">
      <c r="A414" s="21"/>
      <c r="B414" s="18"/>
      <c r="C414" s="18"/>
      <c r="D414" s="18"/>
      <c r="E414" s="18"/>
      <c r="F414" s="18"/>
      <c r="G414" s="18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10">
        <f t="shared" si="2"/>
        <v>0</v>
      </c>
      <c r="W414" s="9"/>
      <c r="X414" s="9"/>
      <c r="Y414" s="9"/>
      <c r="Z414" s="9"/>
      <c r="AA414" s="11"/>
    </row>
    <row r="415">
      <c r="A415" s="19"/>
      <c r="B415" s="20"/>
      <c r="C415" s="20"/>
      <c r="D415" s="20"/>
      <c r="E415" s="20"/>
      <c r="F415" s="20"/>
      <c r="G415" s="20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6">
        <f t="shared" si="2"/>
        <v>0</v>
      </c>
      <c r="W415" s="15"/>
      <c r="X415" s="15"/>
      <c r="Y415" s="15"/>
      <c r="Z415" s="15"/>
      <c r="AA415" s="17"/>
    </row>
    <row r="416">
      <c r="A416" s="21"/>
      <c r="B416" s="18"/>
      <c r="C416" s="18"/>
      <c r="D416" s="18"/>
      <c r="E416" s="18"/>
      <c r="F416" s="18"/>
      <c r="G416" s="18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10">
        <f t="shared" si="2"/>
        <v>0</v>
      </c>
      <c r="W416" s="9"/>
      <c r="X416" s="9"/>
      <c r="Y416" s="9"/>
      <c r="Z416" s="9"/>
      <c r="AA416" s="11"/>
    </row>
    <row r="417">
      <c r="A417" s="19"/>
      <c r="B417" s="20"/>
      <c r="C417" s="20"/>
      <c r="D417" s="20"/>
      <c r="E417" s="20"/>
      <c r="F417" s="20"/>
      <c r="G417" s="20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6">
        <f t="shared" si="2"/>
        <v>0</v>
      </c>
      <c r="W417" s="15"/>
      <c r="X417" s="15"/>
      <c r="Y417" s="15"/>
      <c r="Z417" s="15"/>
      <c r="AA417" s="17"/>
    </row>
    <row r="418">
      <c r="A418" s="21"/>
      <c r="B418" s="18"/>
      <c r="C418" s="18"/>
      <c r="D418" s="18"/>
      <c r="E418" s="18"/>
      <c r="F418" s="18"/>
      <c r="G418" s="18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10">
        <f t="shared" si="2"/>
        <v>0</v>
      </c>
      <c r="W418" s="9"/>
      <c r="X418" s="9"/>
      <c r="Y418" s="9"/>
      <c r="Z418" s="9"/>
      <c r="AA418" s="11"/>
    </row>
    <row r="419">
      <c r="A419" s="19"/>
      <c r="B419" s="20"/>
      <c r="C419" s="20"/>
      <c r="D419" s="20"/>
      <c r="E419" s="20"/>
      <c r="F419" s="20"/>
      <c r="G419" s="20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6">
        <f t="shared" si="2"/>
        <v>0</v>
      </c>
      <c r="W419" s="15"/>
      <c r="X419" s="15"/>
      <c r="Y419" s="15"/>
      <c r="Z419" s="15"/>
      <c r="AA419" s="17"/>
    </row>
    <row r="420">
      <c r="A420" s="21"/>
      <c r="B420" s="18"/>
      <c r="C420" s="18"/>
      <c r="D420" s="18"/>
      <c r="E420" s="18"/>
      <c r="F420" s="18"/>
      <c r="G420" s="18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10">
        <f t="shared" si="2"/>
        <v>0</v>
      </c>
      <c r="W420" s="9"/>
      <c r="X420" s="9"/>
      <c r="Y420" s="9"/>
      <c r="Z420" s="9"/>
      <c r="AA420" s="11"/>
    </row>
    <row r="421">
      <c r="A421" s="19"/>
      <c r="B421" s="20"/>
      <c r="C421" s="20"/>
      <c r="D421" s="20"/>
      <c r="E421" s="20"/>
      <c r="F421" s="20"/>
      <c r="G421" s="20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6">
        <f t="shared" si="2"/>
        <v>0</v>
      </c>
      <c r="W421" s="15"/>
      <c r="X421" s="15"/>
      <c r="Y421" s="15"/>
      <c r="Z421" s="15"/>
      <c r="AA421" s="17"/>
    </row>
    <row r="422">
      <c r="A422" s="21"/>
      <c r="B422" s="18"/>
      <c r="C422" s="18"/>
      <c r="D422" s="18"/>
      <c r="E422" s="18"/>
      <c r="F422" s="18"/>
      <c r="G422" s="18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10">
        <f t="shared" si="2"/>
        <v>0</v>
      </c>
      <c r="W422" s="9"/>
      <c r="X422" s="9"/>
      <c r="Y422" s="9"/>
      <c r="Z422" s="9"/>
      <c r="AA422" s="11"/>
    </row>
    <row r="423">
      <c r="A423" s="19"/>
      <c r="B423" s="20"/>
      <c r="C423" s="20"/>
      <c r="D423" s="20"/>
      <c r="E423" s="20"/>
      <c r="F423" s="20"/>
      <c r="G423" s="20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6">
        <f t="shared" si="2"/>
        <v>0</v>
      </c>
      <c r="W423" s="15"/>
      <c r="X423" s="15"/>
      <c r="Y423" s="15"/>
      <c r="Z423" s="15"/>
      <c r="AA423" s="17"/>
    </row>
    <row r="424">
      <c r="A424" s="21"/>
      <c r="B424" s="18"/>
      <c r="C424" s="18"/>
      <c r="D424" s="18"/>
      <c r="E424" s="18"/>
      <c r="F424" s="18"/>
      <c r="G424" s="18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10">
        <f t="shared" si="2"/>
        <v>0</v>
      </c>
      <c r="W424" s="9"/>
      <c r="X424" s="9"/>
      <c r="Y424" s="9"/>
      <c r="Z424" s="9"/>
      <c r="AA424" s="11"/>
    </row>
    <row r="425">
      <c r="A425" s="19"/>
      <c r="B425" s="20"/>
      <c r="C425" s="20"/>
      <c r="D425" s="20"/>
      <c r="E425" s="20"/>
      <c r="F425" s="20"/>
      <c r="G425" s="20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6">
        <f t="shared" si="2"/>
        <v>0</v>
      </c>
      <c r="W425" s="15"/>
      <c r="X425" s="15"/>
      <c r="Y425" s="15"/>
      <c r="Z425" s="15"/>
      <c r="AA425" s="17"/>
    </row>
    <row r="426">
      <c r="A426" s="21"/>
      <c r="B426" s="18"/>
      <c r="C426" s="18"/>
      <c r="D426" s="18"/>
      <c r="E426" s="18"/>
      <c r="F426" s="18"/>
      <c r="G426" s="18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10">
        <f t="shared" si="2"/>
        <v>0</v>
      </c>
      <c r="W426" s="9"/>
      <c r="X426" s="9"/>
      <c r="Y426" s="9"/>
      <c r="Z426" s="9"/>
      <c r="AA426" s="11"/>
    </row>
    <row r="427">
      <c r="A427" s="19"/>
      <c r="B427" s="20"/>
      <c r="C427" s="20"/>
      <c r="D427" s="20"/>
      <c r="E427" s="20"/>
      <c r="F427" s="20"/>
      <c r="G427" s="20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6">
        <f t="shared" si="2"/>
        <v>0</v>
      </c>
      <c r="W427" s="15"/>
      <c r="X427" s="15"/>
      <c r="Y427" s="15"/>
      <c r="Z427" s="15"/>
      <c r="AA427" s="17"/>
    </row>
    <row r="428">
      <c r="A428" s="21"/>
      <c r="B428" s="18"/>
      <c r="C428" s="18"/>
      <c r="D428" s="18"/>
      <c r="E428" s="18"/>
      <c r="F428" s="18"/>
      <c r="G428" s="18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10">
        <f t="shared" si="2"/>
        <v>0</v>
      </c>
      <c r="W428" s="9"/>
      <c r="X428" s="9"/>
      <c r="Y428" s="9"/>
      <c r="Z428" s="9"/>
      <c r="AA428" s="11"/>
    </row>
    <row r="429">
      <c r="A429" s="19"/>
      <c r="B429" s="20"/>
      <c r="C429" s="20"/>
      <c r="D429" s="20"/>
      <c r="E429" s="20"/>
      <c r="F429" s="20"/>
      <c r="G429" s="20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6">
        <f t="shared" si="2"/>
        <v>0</v>
      </c>
      <c r="W429" s="15"/>
      <c r="X429" s="15"/>
      <c r="Y429" s="15"/>
      <c r="Z429" s="15"/>
      <c r="AA429" s="17"/>
    </row>
    <row r="430">
      <c r="A430" s="21"/>
      <c r="B430" s="18"/>
      <c r="C430" s="18"/>
      <c r="D430" s="18"/>
      <c r="E430" s="18"/>
      <c r="F430" s="18"/>
      <c r="G430" s="18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10">
        <f t="shared" si="2"/>
        <v>0</v>
      </c>
      <c r="W430" s="9"/>
      <c r="X430" s="9"/>
      <c r="Y430" s="9"/>
      <c r="Z430" s="9"/>
      <c r="AA430" s="11"/>
    </row>
    <row r="431">
      <c r="A431" s="19"/>
      <c r="B431" s="20"/>
      <c r="C431" s="20"/>
      <c r="D431" s="20"/>
      <c r="E431" s="20"/>
      <c r="F431" s="20"/>
      <c r="G431" s="20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6">
        <f t="shared" si="2"/>
        <v>0</v>
      </c>
      <c r="W431" s="15"/>
      <c r="X431" s="15"/>
      <c r="Y431" s="15"/>
      <c r="Z431" s="15"/>
      <c r="AA431" s="17"/>
    </row>
    <row r="432">
      <c r="A432" s="21"/>
      <c r="B432" s="18"/>
      <c r="C432" s="18"/>
      <c r="D432" s="18"/>
      <c r="E432" s="18"/>
      <c r="F432" s="18"/>
      <c r="G432" s="18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10">
        <f t="shared" si="2"/>
        <v>0</v>
      </c>
      <c r="W432" s="9"/>
      <c r="X432" s="9"/>
      <c r="Y432" s="9"/>
      <c r="Z432" s="9"/>
      <c r="AA432" s="11"/>
    </row>
    <row r="433">
      <c r="A433" s="19"/>
      <c r="B433" s="20"/>
      <c r="C433" s="20"/>
      <c r="D433" s="20"/>
      <c r="E433" s="20"/>
      <c r="F433" s="20"/>
      <c r="G433" s="20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6">
        <f t="shared" si="2"/>
        <v>0</v>
      </c>
      <c r="W433" s="15"/>
      <c r="X433" s="15"/>
      <c r="Y433" s="15"/>
      <c r="Z433" s="15"/>
      <c r="AA433" s="17"/>
    </row>
    <row r="434">
      <c r="A434" s="21"/>
      <c r="B434" s="18"/>
      <c r="C434" s="18"/>
      <c r="D434" s="18"/>
      <c r="E434" s="18"/>
      <c r="F434" s="18"/>
      <c r="G434" s="18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10">
        <f t="shared" si="2"/>
        <v>0</v>
      </c>
      <c r="W434" s="9"/>
      <c r="X434" s="9"/>
      <c r="Y434" s="9"/>
      <c r="Z434" s="9"/>
      <c r="AA434" s="11"/>
    </row>
    <row r="435">
      <c r="A435" s="19"/>
      <c r="B435" s="20"/>
      <c r="C435" s="20"/>
      <c r="D435" s="20"/>
      <c r="E435" s="20"/>
      <c r="F435" s="20"/>
      <c r="G435" s="20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6">
        <f t="shared" si="2"/>
        <v>0</v>
      </c>
      <c r="W435" s="15"/>
      <c r="X435" s="15"/>
      <c r="Y435" s="15"/>
      <c r="Z435" s="15"/>
      <c r="AA435" s="17"/>
    </row>
    <row r="436">
      <c r="A436" s="21"/>
      <c r="B436" s="18"/>
      <c r="C436" s="18"/>
      <c r="D436" s="18"/>
      <c r="E436" s="18"/>
      <c r="F436" s="18"/>
      <c r="G436" s="18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10">
        <f t="shared" si="2"/>
        <v>0</v>
      </c>
      <c r="W436" s="9"/>
      <c r="X436" s="9"/>
      <c r="Y436" s="9"/>
      <c r="Z436" s="9"/>
      <c r="AA436" s="11"/>
    </row>
    <row r="437">
      <c r="A437" s="19"/>
      <c r="B437" s="20"/>
      <c r="C437" s="20"/>
      <c r="D437" s="20"/>
      <c r="E437" s="20"/>
      <c r="F437" s="20"/>
      <c r="G437" s="20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6">
        <f t="shared" si="2"/>
        <v>0</v>
      </c>
      <c r="W437" s="15"/>
      <c r="X437" s="15"/>
      <c r="Y437" s="15"/>
      <c r="Z437" s="15"/>
      <c r="AA437" s="17"/>
    </row>
    <row r="438">
      <c r="A438" s="21"/>
      <c r="B438" s="18"/>
      <c r="C438" s="18"/>
      <c r="D438" s="18"/>
      <c r="E438" s="18"/>
      <c r="F438" s="18"/>
      <c r="G438" s="18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10">
        <f t="shared" si="2"/>
        <v>0</v>
      </c>
      <c r="W438" s="9"/>
      <c r="X438" s="9"/>
      <c r="Y438" s="9"/>
      <c r="Z438" s="9"/>
      <c r="AA438" s="11"/>
    </row>
    <row r="439">
      <c r="A439" s="19"/>
      <c r="B439" s="20"/>
      <c r="C439" s="20"/>
      <c r="D439" s="20"/>
      <c r="E439" s="20"/>
      <c r="F439" s="20"/>
      <c r="G439" s="20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6">
        <f t="shared" si="2"/>
        <v>0</v>
      </c>
      <c r="W439" s="15"/>
      <c r="X439" s="15"/>
      <c r="Y439" s="15"/>
      <c r="Z439" s="15"/>
      <c r="AA439" s="17"/>
    </row>
    <row r="440">
      <c r="A440" s="21"/>
      <c r="B440" s="18"/>
      <c r="C440" s="18"/>
      <c r="D440" s="18"/>
      <c r="E440" s="18"/>
      <c r="F440" s="18"/>
      <c r="G440" s="18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10">
        <f t="shared" si="2"/>
        <v>0</v>
      </c>
      <c r="W440" s="9"/>
      <c r="X440" s="9"/>
      <c r="Y440" s="9"/>
      <c r="Z440" s="9"/>
      <c r="AA440" s="11"/>
    </row>
    <row r="441">
      <c r="A441" s="19"/>
      <c r="B441" s="20"/>
      <c r="C441" s="20"/>
      <c r="D441" s="20"/>
      <c r="E441" s="20"/>
      <c r="F441" s="20"/>
      <c r="G441" s="20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6">
        <f t="shared" si="2"/>
        <v>0</v>
      </c>
      <c r="W441" s="15"/>
      <c r="X441" s="15"/>
      <c r="Y441" s="15"/>
      <c r="Z441" s="15"/>
      <c r="AA441" s="17"/>
    </row>
    <row r="442">
      <c r="A442" s="21"/>
      <c r="B442" s="18"/>
      <c r="C442" s="18"/>
      <c r="D442" s="18"/>
      <c r="E442" s="18"/>
      <c r="F442" s="18"/>
      <c r="G442" s="18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10">
        <f t="shared" si="2"/>
        <v>0</v>
      </c>
      <c r="W442" s="9"/>
      <c r="X442" s="9"/>
      <c r="Y442" s="9"/>
      <c r="Z442" s="9"/>
      <c r="AA442" s="11"/>
    </row>
    <row r="443">
      <c r="A443" s="19"/>
      <c r="B443" s="20"/>
      <c r="C443" s="20"/>
      <c r="D443" s="20"/>
      <c r="E443" s="20"/>
      <c r="F443" s="20"/>
      <c r="G443" s="20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6">
        <f t="shared" si="2"/>
        <v>0</v>
      </c>
      <c r="W443" s="15"/>
      <c r="X443" s="15"/>
      <c r="Y443" s="15"/>
      <c r="Z443" s="15"/>
      <c r="AA443" s="17"/>
    </row>
    <row r="444">
      <c r="A444" s="21"/>
      <c r="B444" s="18"/>
      <c r="C444" s="18"/>
      <c r="D444" s="18"/>
      <c r="E444" s="18"/>
      <c r="F444" s="18"/>
      <c r="G444" s="18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10">
        <f t="shared" si="2"/>
        <v>0</v>
      </c>
      <c r="W444" s="9"/>
      <c r="X444" s="9"/>
      <c r="Y444" s="9"/>
      <c r="Z444" s="9"/>
      <c r="AA444" s="11"/>
    </row>
    <row r="445">
      <c r="A445" s="19"/>
      <c r="B445" s="20"/>
      <c r="C445" s="20"/>
      <c r="D445" s="20"/>
      <c r="E445" s="20"/>
      <c r="F445" s="20"/>
      <c r="G445" s="20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6">
        <f t="shared" si="2"/>
        <v>0</v>
      </c>
      <c r="W445" s="15"/>
      <c r="X445" s="15"/>
      <c r="Y445" s="15"/>
      <c r="Z445" s="15"/>
      <c r="AA445" s="17"/>
    </row>
    <row r="446">
      <c r="A446" s="21"/>
      <c r="B446" s="18"/>
      <c r="C446" s="18"/>
      <c r="D446" s="18"/>
      <c r="E446" s="18"/>
      <c r="F446" s="18"/>
      <c r="G446" s="18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10">
        <f t="shared" si="2"/>
        <v>0</v>
      </c>
      <c r="W446" s="9"/>
      <c r="X446" s="9"/>
      <c r="Y446" s="9"/>
      <c r="Z446" s="9"/>
      <c r="AA446" s="11"/>
    </row>
    <row r="447">
      <c r="A447" s="19"/>
      <c r="B447" s="20"/>
      <c r="C447" s="20"/>
      <c r="D447" s="20"/>
      <c r="E447" s="20"/>
      <c r="F447" s="20"/>
      <c r="G447" s="20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6">
        <f t="shared" si="2"/>
        <v>0</v>
      </c>
      <c r="W447" s="15"/>
      <c r="X447" s="15"/>
      <c r="Y447" s="15"/>
      <c r="Z447" s="15"/>
      <c r="AA447" s="17"/>
    </row>
    <row r="448">
      <c r="A448" s="21"/>
      <c r="B448" s="18"/>
      <c r="C448" s="18"/>
      <c r="D448" s="18"/>
      <c r="E448" s="18"/>
      <c r="F448" s="18"/>
      <c r="G448" s="18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10">
        <f t="shared" si="2"/>
        <v>0</v>
      </c>
      <c r="W448" s="9"/>
      <c r="X448" s="9"/>
      <c r="Y448" s="9"/>
      <c r="Z448" s="9"/>
      <c r="AA448" s="11"/>
    </row>
    <row r="449">
      <c r="A449" s="19"/>
      <c r="B449" s="20"/>
      <c r="C449" s="20"/>
      <c r="D449" s="20"/>
      <c r="E449" s="20"/>
      <c r="F449" s="20"/>
      <c r="G449" s="20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6">
        <f t="shared" si="2"/>
        <v>0</v>
      </c>
      <c r="W449" s="15"/>
      <c r="X449" s="15"/>
      <c r="Y449" s="15"/>
      <c r="Z449" s="15"/>
      <c r="AA449" s="17"/>
    </row>
    <row r="450">
      <c r="A450" s="21"/>
      <c r="B450" s="18"/>
      <c r="C450" s="18"/>
      <c r="D450" s="18"/>
      <c r="E450" s="18"/>
      <c r="F450" s="18"/>
      <c r="G450" s="18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10">
        <f t="shared" si="2"/>
        <v>0</v>
      </c>
      <c r="W450" s="9"/>
      <c r="X450" s="9"/>
      <c r="Y450" s="9"/>
      <c r="Z450" s="9"/>
      <c r="AA450" s="11"/>
    </row>
    <row r="451">
      <c r="A451" s="19"/>
      <c r="B451" s="20"/>
      <c r="C451" s="20"/>
      <c r="D451" s="20"/>
      <c r="E451" s="20"/>
      <c r="F451" s="20"/>
      <c r="G451" s="20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6">
        <f t="shared" si="2"/>
        <v>0</v>
      </c>
      <c r="W451" s="15"/>
      <c r="X451" s="15"/>
      <c r="Y451" s="15"/>
      <c r="Z451" s="15"/>
      <c r="AA451" s="17"/>
    </row>
    <row r="452">
      <c r="A452" s="21"/>
      <c r="B452" s="18"/>
      <c r="C452" s="18"/>
      <c r="D452" s="18"/>
      <c r="E452" s="18"/>
      <c r="F452" s="18"/>
      <c r="G452" s="18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10">
        <f t="shared" si="2"/>
        <v>0</v>
      </c>
      <c r="W452" s="9"/>
      <c r="X452" s="9"/>
      <c r="Y452" s="9"/>
      <c r="Z452" s="9"/>
      <c r="AA452" s="11"/>
    </row>
    <row r="453">
      <c r="A453" s="19"/>
      <c r="B453" s="20"/>
      <c r="C453" s="20"/>
      <c r="D453" s="20"/>
      <c r="E453" s="20"/>
      <c r="F453" s="20"/>
      <c r="G453" s="20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6">
        <f t="shared" si="2"/>
        <v>0</v>
      </c>
      <c r="W453" s="15"/>
      <c r="X453" s="15"/>
      <c r="Y453" s="15"/>
      <c r="Z453" s="15"/>
      <c r="AA453" s="17"/>
    </row>
    <row r="454">
      <c r="A454" s="21"/>
      <c r="B454" s="18"/>
      <c r="C454" s="18"/>
      <c r="D454" s="18"/>
      <c r="E454" s="18"/>
      <c r="F454" s="18"/>
      <c r="G454" s="18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10">
        <f t="shared" si="2"/>
        <v>0</v>
      </c>
      <c r="W454" s="9"/>
      <c r="X454" s="9"/>
      <c r="Y454" s="9"/>
      <c r="Z454" s="9"/>
      <c r="AA454" s="11"/>
    </row>
    <row r="455">
      <c r="A455" s="19"/>
      <c r="B455" s="20"/>
      <c r="C455" s="20"/>
      <c r="D455" s="20"/>
      <c r="E455" s="20"/>
      <c r="F455" s="20"/>
      <c r="G455" s="20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6">
        <f t="shared" si="2"/>
        <v>0</v>
      </c>
      <c r="W455" s="15"/>
      <c r="X455" s="15"/>
      <c r="Y455" s="15"/>
      <c r="Z455" s="15"/>
      <c r="AA455" s="17"/>
    </row>
    <row r="456">
      <c r="A456" s="21"/>
      <c r="B456" s="18"/>
      <c r="C456" s="18"/>
      <c r="D456" s="18"/>
      <c r="E456" s="18"/>
      <c r="F456" s="18"/>
      <c r="G456" s="18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10">
        <f t="shared" si="2"/>
        <v>0</v>
      </c>
      <c r="W456" s="9"/>
      <c r="X456" s="9"/>
      <c r="Y456" s="9"/>
      <c r="Z456" s="9"/>
      <c r="AA456" s="11"/>
    </row>
    <row r="457">
      <c r="A457" s="19"/>
      <c r="B457" s="20"/>
      <c r="C457" s="20"/>
      <c r="D457" s="20"/>
      <c r="E457" s="20"/>
      <c r="F457" s="20"/>
      <c r="G457" s="20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6">
        <f t="shared" si="2"/>
        <v>0</v>
      </c>
      <c r="W457" s="15"/>
      <c r="X457" s="15"/>
      <c r="Y457" s="15"/>
      <c r="Z457" s="15"/>
      <c r="AA457" s="17"/>
    </row>
    <row r="458">
      <c r="A458" s="21"/>
      <c r="B458" s="18"/>
      <c r="C458" s="18"/>
      <c r="D458" s="18"/>
      <c r="E458" s="18"/>
      <c r="F458" s="18"/>
      <c r="G458" s="18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10">
        <f t="shared" si="2"/>
        <v>0</v>
      </c>
      <c r="W458" s="9"/>
      <c r="X458" s="9"/>
      <c r="Y458" s="9"/>
      <c r="Z458" s="9"/>
      <c r="AA458" s="11"/>
    </row>
    <row r="459">
      <c r="A459" s="19"/>
      <c r="B459" s="20"/>
      <c r="C459" s="20"/>
      <c r="D459" s="20"/>
      <c r="E459" s="20"/>
      <c r="F459" s="20"/>
      <c r="G459" s="20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6">
        <f t="shared" si="2"/>
        <v>0</v>
      </c>
      <c r="W459" s="15"/>
      <c r="X459" s="15"/>
      <c r="Y459" s="15"/>
      <c r="Z459" s="15"/>
      <c r="AA459" s="17"/>
    </row>
    <row r="460">
      <c r="A460" s="21"/>
      <c r="B460" s="18"/>
      <c r="C460" s="18"/>
      <c r="D460" s="18"/>
      <c r="E460" s="18"/>
      <c r="F460" s="18"/>
      <c r="G460" s="18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10">
        <f t="shared" si="2"/>
        <v>0</v>
      </c>
      <c r="W460" s="9"/>
      <c r="X460" s="9"/>
      <c r="Y460" s="9"/>
      <c r="Z460" s="9"/>
      <c r="AA460" s="11"/>
    </row>
    <row r="461">
      <c r="A461" s="19"/>
      <c r="B461" s="20"/>
      <c r="C461" s="20"/>
      <c r="D461" s="20"/>
      <c r="E461" s="20"/>
      <c r="F461" s="20"/>
      <c r="G461" s="20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6">
        <f t="shared" si="2"/>
        <v>0</v>
      </c>
      <c r="W461" s="15"/>
      <c r="X461" s="15"/>
      <c r="Y461" s="15"/>
      <c r="Z461" s="15"/>
      <c r="AA461" s="17"/>
    </row>
    <row r="462">
      <c r="A462" s="21"/>
      <c r="B462" s="18"/>
      <c r="C462" s="18"/>
      <c r="D462" s="18"/>
      <c r="E462" s="18"/>
      <c r="F462" s="18"/>
      <c r="G462" s="18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10">
        <f t="shared" si="2"/>
        <v>0</v>
      </c>
      <c r="W462" s="9"/>
      <c r="X462" s="9"/>
      <c r="Y462" s="9"/>
      <c r="Z462" s="9"/>
      <c r="AA462" s="11"/>
    </row>
    <row r="463">
      <c r="A463" s="19"/>
      <c r="B463" s="20"/>
      <c r="C463" s="20"/>
      <c r="D463" s="20"/>
      <c r="E463" s="20"/>
      <c r="F463" s="20"/>
      <c r="G463" s="20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6">
        <f t="shared" si="2"/>
        <v>0</v>
      </c>
      <c r="W463" s="15"/>
      <c r="X463" s="15"/>
      <c r="Y463" s="15"/>
      <c r="Z463" s="15"/>
      <c r="AA463" s="17"/>
    </row>
    <row r="464">
      <c r="A464" s="21"/>
      <c r="B464" s="18"/>
      <c r="C464" s="18"/>
      <c r="D464" s="18"/>
      <c r="E464" s="18"/>
      <c r="F464" s="18"/>
      <c r="G464" s="18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10">
        <f t="shared" si="2"/>
        <v>0</v>
      </c>
      <c r="W464" s="9"/>
      <c r="X464" s="9"/>
      <c r="Y464" s="9"/>
      <c r="Z464" s="9"/>
      <c r="AA464" s="11"/>
    </row>
    <row r="465">
      <c r="A465" s="19"/>
      <c r="B465" s="20"/>
      <c r="C465" s="20"/>
      <c r="D465" s="20"/>
      <c r="E465" s="20"/>
      <c r="F465" s="20"/>
      <c r="G465" s="20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6">
        <f t="shared" si="2"/>
        <v>0</v>
      </c>
      <c r="W465" s="15"/>
      <c r="X465" s="15"/>
      <c r="Y465" s="15"/>
      <c r="Z465" s="15"/>
      <c r="AA465" s="17"/>
    </row>
    <row r="466">
      <c r="A466" s="21"/>
      <c r="B466" s="18"/>
      <c r="C466" s="18"/>
      <c r="D466" s="18"/>
      <c r="E466" s="18"/>
      <c r="F466" s="18"/>
      <c r="G466" s="18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10">
        <f t="shared" si="2"/>
        <v>0</v>
      </c>
      <c r="W466" s="9"/>
      <c r="X466" s="9"/>
      <c r="Y466" s="9"/>
      <c r="Z466" s="9"/>
      <c r="AA466" s="11"/>
    </row>
    <row r="467">
      <c r="A467" s="19"/>
      <c r="B467" s="20"/>
      <c r="C467" s="20"/>
      <c r="D467" s="20"/>
      <c r="E467" s="20"/>
      <c r="F467" s="20"/>
      <c r="G467" s="20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6">
        <f t="shared" si="2"/>
        <v>0</v>
      </c>
      <c r="W467" s="15"/>
      <c r="X467" s="15"/>
      <c r="Y467" s="15"/>
      <c r="Z467" s="15"/>
      <c r="AA467" s="17"/>
    </row>
    <row r="468">
      <c r="A468" s="21"/>
      <c r="B468" s="18"/>
      <c r="C468" s="18"/>
      <c r="D468" s="18"/>
      <c r="E468" s="18"/>
      <c r="F468" s="18"/>
      <c r="G468" s="18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10">
        <f t="shared" si="2"/>
        <v>0</v>
      </c>
      <c r="W468" s="9"/>
      <c r="X468" s="9"/>
      <c r="Y468" s="9"/>
      <c r="Z468" s="9"/>
      <c r="AA468" s="11"/>
    </row>
    <row r="469">
      <c r="A469" s="19"/>
      <c r="B469" s="20"/>
      <c r="C469" s="20"/>
      <c r="D469" s="20"/>
      <c r="E469" s="20"/>
      <c r="F469" s="20"/>
      <c r="G469" s="20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6">
        <f t="shared" si="2"/>
        <v>0</v>
      </c>
      <c r="W469" s="15"/>
      <c r="X469" s="15"/>
      <c r="Y469" s="15"/>
      <c r="Z469" s="15"/>
      <c r="AA469" s="17"/>
    </row>
    <row r="470">
      <c r="A470" s="21"/>
      <c r="B470" s="18"/>
      <c r="C470" s="18"/>
      <c r="D470" s="18"/>
      <c r="E470" s="18"/>
      <c r="F470" s="18"/>
      <c r="G470" s="18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10">
        <f t="shared" si="2"/>
        <v>0</v>
      </c>
      <c r="W470" s="9"/>
      <c r="X470" s="9"/>
      <c r="Y470" s="9"/>
      <c r="Z470" s="9"/>
      <c r="AA470" s="11"/>
    </row>
    <row r="471">
      <c r="A471" s="19"/>
      <c r="B471" s="20"/>
      <c r="C471" s="20"/>
      <c r="D471" s="20"/>
      <c r="E471" s="20"/>
      <c r="F471" s="20"/>
      <c r="G471" s="20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6">
        <f t="shared" si="2"/>
        <v>0</v>
      </c>
      <c r="W471" s="15"/>
      <c r="X471" s="15"/>
      <c r="Y471" s="15"/>
      <c r="Z471" s="15"/>
      <c r="AA471" s="17"/>
    </row>
    <row r="472">
      <c r="A472" s="21"/>
      <c r="B472" s="18"/>
      <c r="C472" s="18"/>
      <c r="D472" s="18"/>
      <c r="E472" s="18"/>
      <c r="F472" s="18"/>
      <c r="G472" s="18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10">
        <f t="shared" si="2"/>
        <v>0</v>
      </c>
      <c r="W472" s="9"/>
      <c r="X472" s="9"/>
      <c r="Y472" s="9"/>
      <c r="Z472" s="9"/>
      <c r="AA472" s="11"/>
    </row>
    <row r="473">
      <c r="A473" s="19"/>
      <c r="B473" s="20"/>
      <c r="C473" s="20"/>
      <c r="D473" s="20"/>
      <c r="E473" s="20"/>
      <c r="F473" s="20"/>
      <c r="G473" s="20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6">
        <f t="shared" si="2"/>
        <v>0</v>
      </c>
      <c r="W473" s="15"/>
      <c r="X473" s="15"/>
      <c r="Y473" s="15"/>
      <c r="Z473" s="15"/>
      <c r="AA473" s="17"/>
    </row>
    <row r="474">
      <c r="A474" s="21"/>
      <c r="B474" s="18"/>
      <c r="C474" s="18"/>
      <c r="D474" s="18"/>
      <c r="E474" s="18"/>
      <c r="F474" s="18"/>
      <c r="G474" s="18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10">
        <f t="shared" si="2"/>
        <v>0</v>
      </c>
      <c r="W474" s="9"/>
      <c r="X474" s="9"/>
      <c r="Y474" s="9"/>
      <c r="Z474" s="9"/>
      <c r="AA474" s="11"/>
    </row>
    <row r="475">
      <c r="A475" s="19"/>
      <c r="B475" s="20"/>
      <c r="C475" s="20"/>
      <c r="D475" s="20"/>
      <c r="E475" s="20"/>
      <c r="F475" s="20"/>
      <c r="G475" s="20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6">
        <f t="shared" si="2"/>
        <v>0</v>
      </c>
      <c r="W475" s="15"/>
      <c r="X475" s="15"/>
      <c r="Y475" s="15"/>
      <c r="Z475" s="15"/>
      <c r="AA475" s="17"/>
    </row>
    <row r="476">
      <c r="A476" s="21"/>
      <c r="B476" s="18"/>
      <c r="C476" s="18"/>
      <c r="D476" s="18"/>
      <c r="E476" s="18"/>
      <c r="F476" s="18"/>
      <c r="G476" s="18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10">
        <f t="shared" si="2"/>
        <v>0</v>
      </c>
      <c r="W476" s="9"/>
      <c r="X476" s="9"/>
      <c r="Y476" s="9"/>
      <c r="Z476" s="9"/>
      <c r="AA476" s="11"/>
    </row>
    <row r="477">
      <c r="A477" s="19"/>
      <c r="B477" s="20"/>
      <c r="C477" s="20"/>
      <c r="D477" s="20"/>
      <c r="E477" s="20"/>
      <c r="F477" s="20"/>
      <c r="G477" s="20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6">
        <f t="shared" si="2"/>
        <v>0</v>
      </c>
      <c r="W477" s="15"/>
      <c r="X477" s="15"/>
      <c r="Y477" s="15"/>
      <c r="Z477" s="15"/>
      <c r="AA477" s="17"/>
    </row>
    <row r="478">
      <c r="A478" s="21"/>
      <c r="B478" s="18"/>
      <c r="C478" s="18"/>
      <c r="D478" s="18"/>
      <c r="E478" s="18"/>
      <c r="F478" s="18"/>
      <c r="G478" s="18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10">
        <f t="shared" si="2"/>
        <v>0</v>
      </c>
      <c r="W478" s="9"/>
      <c r="X478" s="9"/>
      <c r="Y478" s="9"/>
      <c r="Z478" s="9"/>
      <c r="AA478" s="11"/>
    </row>
    <row r="479">
      <c r="A479" s="19"/>
      <c r="B479" s="20"/>
      <c r="C479" s="20"/>
      <c r="D479" s="20"/>
      <c r="E479" s="20"/>
      <c r="F479" s="20"/>
      <c r="G479" s="20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6">
        <f t="shared" si="2"/>
        <v>0</v>
      </c>
      <c r="W479" s="15"/>
      <c r="X479" s="15"/>
      <c r="Y479" s="15"/>
      <c r="Z479" s="15"/>
      <c r="AA479" s="17"/>
    </row>
    <row r="480">
      <c r="A480" s="21"/>
      <c r="B480" s="18"/>
      <c r="C480" s="18"/>
      <c r="D480" s="18"/>
      <c r="E480" s="18"/>
      <c r="F480" s="18"/>
      <c r="G480" s="18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10">
        <f t="shared" si="2"/>
        <v>0</v>
      </c>
      <c r="W480" s="9"/>
      <c r="X480" s="9"/>
      <c r="Y480" s="9"/>
      <c r="Z480" s="9"/>
      <c r="AA480" s="11"/>
    </row>
    <row r="481">
      <c r="A481" s="19"/>
      <c r="B481" s="20"/>
      <c r="C481" s="20"/>
      <c r="D481" s="20"/>
      <c r="E481" s="20"/>
      <c r="F481" s="20"/>
      <c r="G481" s="20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6">
        <f t="shared" si="2"/>
        <v>0</v>
      </c>
      <c r="W481" s="15"/>
      <c r="X481" s="15"/>
      <c r="Y481" s="15"/>
      <c r="Z481" s="15"/>
      <c r="AA481" s="17"/>
    </row>
    <row r="482">
      <c r="A482" s="21"/>
      <c r="B482" s="18"/>
      <c r="C482" s="18"/>
      <c r="D482" s="18"/>
      <c r="E482" s="18"/>
      <c r="F482" s="18"/>
      <c r="G482" s="18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10">
        <f t="shared" si="2"/>
        <v>0</v>
      </c>
      <c r="W482" s="9"/>
      <c r="X482" s="9"/>
      <c r="Y482" s="9"/>
      <c r="Z482" s="9"/>
      <c r="AA482" s="11"/>
    </row>
    <row r="483">
      <c r="A483" s="19"/>
      <c r="B483" s="20"/>
      <c r="C483" s="20"/>
      <c r="D483" s="20"/>
      <c r="E483" s="20"/>
      <c r="F483" s="20"/>
      <c r="G483" s="20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6">
        <f t="shared" si="2"/>
        <v>0</v>
      </c>
      <c r="W483" s="15"/>
      <c r="X483" s="15"/>
      <c r="Y483" s="15"/>
      <c r="Z483" s="15"/>
      <c r="AA483" s="17"/>
    </row>
    <row r="484">
      <c r="A484" s="21"/>
      <c r="B484" s="18"/>
      <c r="C484" s="18"/>
      <c r="D484" s="18"/>
      <c r="E484" s="18"/>
      <c r="F484" s="18"/>
      <c r="G484" s="18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10">
        <f t="shared" si="2"/>
        <v>0</v>
      </c>
      <c r="W484" s="9"/>
      <c r="X484" s="9"/>
      <c r="Y484" s="9"/>
      <c r="Z484" s="9"/>
      <c r="AA484" s="11"/>
    </row>
    <row r="485">
      <c r="A485" s="19"/>
      <c r="B485" s="20"/>
      <c r="C485" s="20"/>
      <c r="D485" s="20"/>
      <c r="E485" s="20"/>
      <c r="F485" s="20"/>
      <c r="G485" s="20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6">
        <f t="shared" si="2"/>
        <v>0</v>
      </c>
      <c r="W485" s="15"/>
      <c r="X485" s="15"/>
      <c r="Y485" s="15"/>
      <c r="Z485" s="15"/>
      <c r="AA485" s="17"/>
    </row>
    <row r="486">
      <c r="A486" s="21"/>
      <c r="B486" s="18"/>
      <c r="C486" s="18"/>
      <c r="D486" s="18"/>
      <c r="E486" s="18"/>
      <c r="F486" s="18"/>
      <c r="G486" s="18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10">
        <f t="shared" si="2"/>
        <v>0</v>
      </c>
      <c r="W486" s="9"/>
      <c r="X486" s="9"/>
      <c r="Y486" s="9"/>
      <c r="Z486" s="9"/>
      <c r="AA486" s="11"/>
    </row>
    <row r="487">
      <c r="A487" s="19"/>
      <c r="B487" s="20"/>
      <c r="C487" s="20"/>
      <c r="D487" s="20"/>
      <c r="E487" s="20"/>
      <c r="F487" s="20"/>
      <c r="G487" s="20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6">
        <f t="shared" si="2"/>
        <v>0</v>
      </c>
      <c r="W487" s="15"/>
      <c r="X487" s="15"/>
      <c r="Y487" s="15"/>
      <c r="Z487" s="15"/>
      <c r="AA487" s="17"/>
    </row>
    <row r="488">
      <c r="A488" s="21"/>
      <c r="B488" s="18"/>
      <c r="C488" s="18"/>
      <c r="D488" s="18"/>
      <c r="E488" s="18"/>
      <c r="F488" s="18"/>
      <c r="G488" s="18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10">
        <f t="shared" si="2"/>
        <v>0</v>
      </c>
      <c r="W488" s="9"/>
      <c r="X488" s="9"/>
      <c r="Y488" s="9"/>
      <c r="Z488" s="9"/>
      <c r="AA488" s="11"/>
    </row>
    <row r="489">
      <c r="A489" s="19"/>
      <c r="B489" s="20"/>
      <c r="C489" s="20"/>
      <c r="D489" s="20"/>
      <c r="E489" s="20"/>
      <c r="F489" s="20"/>
      <c r="G489" s="20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6">
        <f t="shared" si="2"/>
        <v>0</v>
      </c>
      <c r="W489" s="15"/>
      <c r="X489" s="15"/>
      <c r="Y489" s="15"/>
      <c r="Z489" s="15"/>
      <c r="AA489" s="17"/>
    </row>
    <row r="490">
      <c r="A490" s="21"/>
      <c r="B490" s="18"/>
      <c r="C490" s="18"/>
      <c r="D490" s="18"/>
      <c r="E490" s="18"/>
      <c r="F490" s="18"/>
      <c r="G490" s="18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10">
        <f t="shared" si="2"/>
        <v>0</v>
      </c>
      <c r="W490" s="9"/>
      <c r="X490" s="9"/>
      <c r="Y490" s="9"/>
      <c r="Z490" s="9"/>
      <c r="AA490" s="11"/>
    </row>
    <row r="491">
      <c r="A491" s="19"/>
      <c r="B491" s="20"/>
      <c r="C491" s="20"/>
      <c r="D491" s="20"/>
      <c r="E491" s="20"/>
      <c r="F491" s="20"/>
      <c r="G491" s="20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6">
        <f t="shared" si="2"/>
        <v>0</v>
      </c>
      <c r="W491" s="15"/>
      <c r="X491" s="15"/>
      <c r="Y491" s="15"/>
      <c r="Z491" s="15"/>
      <c r="AA491" s="17"/>
    </row>
    <row r="492">
      <c r="A492" s="21"/>
      <c r="B492" s="18"/>
      <c r="C492" s="18"/>
      <c r="D492" s="18"/>
      <c r="E492" s="18"/>
      <c r="F492" s="18"/>
      <c r="G492" s="18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10">
        <f t="shared" si="2"/>
        <v>0</v>
      </c>
      <c r="W492" s="9"/>
      <c r="X492" s="9"/>
      <c r="Y492" s="9"/>
      <c r="Z492" s="9"/>
      <c r="AA492" s="11"/>
    </row>
    <row r="493">
      <c r="A493" s="19"/>
      <c r="B493" s="20"/>
      <c r="C493" s="20"/>
      <c r="D493" s="20"/>
      <c r="E493" s="20"/>
      <c r="F493" s="20"/>
      <c r="G493" s="20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6">
        <f t="shared" si="2"/>
        <v>0</v>
      </c>
      <c r="W493" s="15"/>
      <c r="X493" s="15"/>
      <c r="Y493" s="15"/>
      <c r="Z493" s="15"/>
      <c r="AA493" s="17"/>
    </row>
    <row r="494">
      <c r="A494" s="21"/>
      <c r="B494" s="18"/>
      <c r="C494" s="18"/>
      <c r="D494" s="18"/>
      <c r="E494" s="18"/>
      <c r="F494" s="18"/>
      <c r="G494" s="18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10">
        <f t="shared" si="2"/>
        <v>0</v>
      </c>
      <c r="W494" s="9"/>
      <c r="X494" s="9"/>
      <c r="Y494" s="9"/>
      <c r="Z494" s="9"/>
      <c r="AA494" s="11"/>
    </row>
    <row r="495">
      <c r="A495" s="19"/>
      <c r="B495" s="20"/>
      <c r="C495" s="20"/>
      <c r="D495" s="20"/>
      <c r="E495" s="20"/>
      <c r="F495" s="20"/>
      <c r="G495" s="20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6">
        <f t="shared" si="2"/>
        <v>0</v>
      </c>
      <c r="W495" s="15"/>
      <c r="X495" s="15"/>
      <c r="Y495" s="15"/>
      <c r="Z495" s="15"/>
      <c r="AA495" s="17"/>
    </row>
    <row r="496">
      <c r="A496" s="21"/>
      <c r="B496" s="18"/>
      <c r="C496" s="18"/>
      <c r="D496" s="18"/>
      <c r="E496" s="18"/>
      <c r="F496" s="18"/>
      <c r="G496" s="18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10">
        <f t="shared" si="2"/>
        <v>0</v>
      </c>
      <c r="W496" s="9"/>
      <c r="X496" s="9"/>
      <c r="Y496" s="9"/>
      <c r="Z496" s="9"/>
      <c r="AA496" s="11"/>
    </row>
    <row r="497">
      <c r="A497" s="19"/>
      <c r="B497" s="20"/>
      <c r="C497" s="20"/>
      <c r="D497" s="20"/>
      <c r="E497" s="20"/>
      <c r="F497" s="20"/>
      <c r="G497" s="20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6">
        <f t="shared" si="2"/>
        <v>0</v>
      </c>
      <c r="W497" s="15"/>
      <c r="X497" s="15"/>
      <c r="Y497" s="15"/>
      <c r="Z497" s="15"/>
      <c r="AA497" s="17"/>
    </row>
    <row r="498">
      <c r="A498" s="21"/>
      <c r="B498" s="18"/>
      <c r="C498" s="18"/>
      <c r="D498" s="18"/>
      <c r="E498" s="18"/>
      <c r="F498" s="18"/>
      <c r="G498" s="18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10">
        <f t="shared" si="2"/>
        <v>0</v>
      </c>
      <c r="W498" s="9"/>
      <c r="X498" s="9"/>
      <c r="Y498" s="9"/>
      <c r="Z498" s="9"/>
      <c r="AA498" s="11"/>
    </row>
    <row r="499">
      <c r="A499" s="19"/>
      <c r="B499" s="20"/>
      <c r="C499" s="20"/>
      <c r="D499" s="20"/>
      <c r="E499" s="20"/>
      <c r="F499" s="20"/>
      <c r="G499" s="20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6">
        <f t="shared" si="2"/>
        <v>0</v>
      </c>
      <c r="W499" s="15"/>
      <c r="X499" s="15"/>
      <c r="Y499" s="15"/>
      <c r="Z499" s="15"/>
      <c r="AA499" s="17"/>
    </row>
    <row r="500">
      <c r="A500" s="21"/>
      <c r="B500" s="18"/>
      <c r="C500" s="18"/>
      <c r="D500" s="18"/>
      <c r="E500" s="18"/>
      <c r="F500" s="18"/>
      <c r="G500" s="18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10">
        <f t="shared" si="2"/>
        <v>0</v>
      </c>
      <c r="W500" s="9"/>
      <c r="X500" s="9"/>
      <c r="Y500" s="9"/>
      <c r="Z500" s="9"/>
      <c r="AA500" s="11"/>
    </row>
    <row r="501">
      <c r="A501" s="19"/>
      <c r="B501" s="20"/>
      <c r="C501" s="20"/>
      <c r="D501" s="20"/>
      <c r="E501" s="20"/>
      <c r="F501" s="20"/>
      <c r="G501" s="20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6">
        <f t="shared" si="2"/>
        <v>0</v>
      </c>
      <c r="W501" s="15"/>
      <c r="X501" s="15"/>
      <c r="Y501" s="15"/>
      <c r="Z501" s="15"/>
      <c r="AA501" s="17"/>
    </row>
    <row r="502">
      <c r="A502" s="21"/>
      <c r="B502" s="18"/>
      <c r="C502" s="18"/>
      <c r="D502" s="18"/>
      <c r="E502" s="18"/>
      <c r="F502" s="18"/>
      <c r="G502" s="18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10">
        <f t="shared" si="2"/>
        <v>0</v>
      </c>
      <c r="W502" s="9"/>
      <c r="X502" s="9"/>
      <c r="Y502" s="9"/>
      <c r="Z502" s="9"/>
      <c r="AA502" s="11"/>
    </row>
    <row r="503">
      <c r="A503" s="19"/>
      <c r="B503" s="20"/>
      <c r="C503" s="20"/>
      <c r="D503" s="20"/>
      <c r="E503" s="20"/>
      <c r="F503" s="20"/>
      <c r="G503" s="20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6">
        <f t="shared" si="2"/>
        <v>0</v>
      </c>
      <c r="W503" s="15"/>
      <c r="X503" s="15"/>
      <c r="Y503" s="15"/>
      <c r="Z503" s="15"/>
      <c r="AA503" s="17"/>
    </row>
    <row r="504">
      <c r="A504" s="21"/>
      <c r="B504" s="18"/>
      <c r="C504" s="18"/>
      <c r="D504" s="18"/>
      <c r="E504" s="18"/>
      <c r="F504" s="18"/>
      <c r="G504" s="18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10">
        <f t="shared" si="2"/>
        <v>0</v>
      </c>
      <c r="W504" s="9"/>
      <c r="X504" s="9"/>
      <c r="Y504" s="9"/>
      <c r="Z504" s="9"/>
      <c r="AA504" s="11"/>
    </row>
    <row r="505">
      <c r="A505" s="19"/>
      <c r="B505" s="20"/>
      <c r="C505" s="20"/>
      <c r="D505" s="20"/>
      <c r="E505" s="20"/>
      <c r="F505" s="20"/>
      <c r="G505" s="20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6">
        <f t="shared" si="2"/>
        <v>0</v>
      </c>
      <c r="W505" s="15"/>
      <c r="X505" s="15"/>
      <c r="Y505" s="15"/>
      <c r="Z505" s="15"/>
      <c r="AA505" s="17"/>
    </row>
    <row r="506">
      <c r="A506" s="21"/>
      <c r="B506" s="18"/>
      <c r="C506" s="18"/>
      <c r="D506" s="18"/>
      <c r="E506" s="18"/>
      <c r="F506" s="18"/>
      <c r="G506" s="18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10">
        <f t="shared" si="2"/>
        <v>0</v>
      </c>
      <c r="W506" s="9"/>
      <c r="X506" s="9"/>
      <c r="Y506" s="9"/>
      <c r="Z506" s="9"/>
      <c r="AA506" s="11"/>
    </row>
    <row r="507">
      <c r="A507" s="19"/>
      <c r="B507" s="20"/>
      <c r="C507" s="20"/>
      <c r="D507" s="20"/>
      <c r="E507" s="20"/>
      <c r="F507" s="20"/>
      <c r="G507" s="20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6">
        <f t="shared" si="2"/>
        <v>0</v>
      </c>
      <c r="W507" s="15"/>
      <c r="X507" s="15"/>
      <c r="Y507" s="15"/>
      <c r="Z507" s="15"/>
      <c r="AA507" s="17"/>
    </row>
    <row r="508">
      <c r="A508" s="21"/>
      <c r="B508" s="18"/>
      <c r="C508" s="18"/>
      <c r="D508" s="18"/>
      <c r="E508" s="18"/>
      <c r="F508" s="18"/>
      <c r="G508" s="18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10">
        <f t="shared" si="2"/>
        <v>0</v>
      </c>
      <c r="W508" s="9"/>
      <c r="X508" s="9"/>
      <c r="Y508" s="9"/>
      <c r="Z508" s="9"/>
      <c r="AA508" s="11"/>
    </row>
    <row r="509">
      <c r="A509" s="19"/>
      <c r="B509" s="20"/>
      <c r="C509" s="20"/>
      <c r="D509" s="20"/>
      <c r="E509" s="20"/>
      <c r="F509" s="20"/>
      <c r="G509" s="20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6">
        <f t="shared" si="2"/>
        <v>0</v>
      </c>
      <c r="W509" s="15"/>
      <c r="X509" s="15"/>
      <c r="Y509" s="15"/>
      <c r="Z509" s="15"/>
      <c r="AA509" s="17"/>
    </row>
    <row r="510">
      <c r="A510" s="21"/>
      <c r="B510" s="18"/>
      <c r="C510" s="18"/>
      <c r="D510" s="18"/>
      <c r="E510" s="18"/>
      <c r="F510" s="18"/>
      <c r="G510" s="18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10">
        <f t="shared" si="2"/>
        <v>0</v>
      </c>
      <c r="W510" s="9"/>
      <c r="X510" s="9"/>
      <c r="Y510" s="9"/>
      <c r="Z510" s="9"/>
      <c r="AA510" s="11"/>
    </row>
    <row r="511">
      <c r="A511" s="19"/>
      <c r="B511" s="20"/>
      <c r="C511" s="20"/>
      <c r="D511" s="20"/>
      <c r="E511" s="20"/>
      <c r="F511" s="20"/>
      <c r="G511" s="20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6">
        <f t="shared" si="2"/>
        <v>0</v>
      </c>
      <c r="W511" s="15"/>
      <c r="X511" s="15"/>
      <c r="Y511" s="15"/>
      <c r="Z511" s="15"/>
      <c r="AA511" s="17"/>
    </row>
    <row r="512">
      <c r="A512" s="21"/>
      <c r="B512" s="18"/>
      <c r="C512" s="18"/>
      <c r="D512" s="18"/>
      <c r="E512" s="18"/>
      <c r="F512" s="18"/>
      <c r="G512" s="18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10">
        <f t="shared" si="2"/>
        <v>0</v>
      </c>
      <c r="W512" s="9"/>
      <c r="X512" s="9"/>
      <c r="Y512" s="9"/>
      <c r="Z512" s="9"/>
      <c r="AA512" s="11"/>
    </row>
    <row r="513">
      <c r="A513" s="19"/>
      <c r="B513" s="20"/>
      <c r="C513" s="20"/>
      <c r="D513" s="20"/>
      <c r="E513" s="20"/>
      <c r="F513" s="20"/>
      <c r="G513" s="20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6">
        <f t="shared" si="2"/>
        <v>0</v>
      </c>
      <c r="W513" s="15"/>
      <c r="X513" s="15"/>
      <c r="Y513" s="15"/>
      <c r="Z513" s="15"/>
      <c r="AA513" s="17"/>
    </row>
    <row r="514">
      <c r="A514" s="21"/>
      <c r="B514" s="18"/>
      <c r="C514" s="18"/>
      <c r="D514" s="18"/>
      <c r="E514" s="18"/>
      <c r="F514" s="18"/>
      <c r="G514" s="18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10">
        <f t="shared" si="2"/>
        <v>0</v>
      </c>
      <c r="W514" s="9"/>
      <c r="X514" s="9"/>
      <c r="Y514" s="9"/>
      <c r="Z514" s="9"/>
      <c r="AA514" s="11"/>
    </row>
    <row r="515">
      <c r="A515" s="19"/>
      <c r="B515" s="20"/>
      <c r="C515" s="20"/>
      <c r="D515" s="20"/>
      <c r="E515" s="20"/>
      <c r="F515" s="20"/>
      <c r="G515" s="20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6">
        <f t="shared" si="2"/>
        <v>0</v>
      </c>
      <c r="W515" s="15"/>
      <c r="X515" s="15"/>
      <c r="Y515" s="15"/>
      <c r="Z515" s="15"/>
      <c r="AA515" s="17"/>
    </row>
    <row r="516">
      <c r="A516" s="21"/>
      <c r="B516" s="18"/>
      <c r="C516" s="18"/>
      <c r="D516" s="18"/>
      <c r="E516" s="18"/>
      <c r="F516" s="18"/>
      <c r="G516" s="18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10">
        <f t="shared" si="2"/>
        <v>0</v>
      </c>
      <c r="W516" s="9"/>
      <c r="X516" s="9"/>
      <c r="Y516" s="9"/>
      <c r="Z516" s="9"/>
      <c r="AA516" s="11"/>
    </row>
    <row r="517">
      <c r="A517" s="19"/>
      <c r="B517" s="20"/>
      <c r="C517" s="20"/>
      <c r="D517" s="20"/>
      <c r="E517" s="20"/>
      <c r="F517" s="20"/>
      <c r="G517" s="20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6">
        <f t="shared" si="2"/>
        <v>0</v>
      </c>
      <c r="W517" s="15"/>
      <c r="X517" s="15"/>
      <c r="Y517" s="15"/>
      <c r="Z517" s="15"/>
      <c r="AA517" s="17"/>
    </row>
    <row r="518">
      <c r="A518" s="21"/>
      <c r="B518" s="18"/>
      <c r="C518" s="18"/>
      <c r="D518" s="18"/>
      <c r="E518" s="18"/>
      <c r="F518" s="18"/>
      <c r="G518" s="18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10">
        <f t="shared" si="2"/>
        <v>0</v>
      </c>
      <c r="W518" s="9"/>
      <c r="X518" s="9"/>
      <c r="Y518" s="9"/>
      <c r="Z518" s="9"/>
      <c r="AA518" s="11"/>
    </row>
    <row r="519">
      <c r="A519" s="19"/>
      <c r="B519" s="20"/>
      <c r="C519" s="20"/>
      <c r="D519" s="20"/>
      <c r="E519" s="20"/>
      <c r="F519" s="20"/>
      <c r="G519" s="20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6">
        <f t="shared" si="2"/>
        <v>0</v>
      </c>
      <c r="W519" s="15"/>
      <c r="X519" s="15"/>
      <c r="Y519" s="15"/>
      <c r="Z519" s="15"/>
      <c r="AA519" s="17"/>
    </row>
    <row r="520">
      <c r="A520" s="21"/>
      <c r="B520" s="18"/>
      <c r="C520" s="18"/>
      <c r="D520" s="18"/>
      <c r="E520" s="18"/>
      <c r="F520" s="18"/>
      <c r="G520" s="18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10">
        <f t="shared" si="2"/>
        <v>0</v>
      </c>
      <c r="W520" s="9"/>
      <c r="X520" s="9"/>
      <c r="Y520" s="9"/>
      <c r="Z520" s="9"/>
      <c r="AA520" s="11"/>
    </row>
    <row r="521">
      <c r="A521" s="19"/>
      <c r="B521" s="20"/>
      <c r="C521" s="20"/>
      <c r="D521" s="20"/>
      <c r="E521" s="20"/>
      <c r="F521" s="20"/>
      <c r="G521" s="20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6">
        <f t="shared" si="2"/>
        <v>0</v>
      </c>
      <c r="W521" s="15"/>
      <c r="X521" s="15"/>
      <c r="Y521" s="15"/>
      <c r="Z521" s="15"/>
      <c r="AA521" s="17"/>
    </row>
    <row r="522">
      <c r="A522" s="21"/>
      <c r="B522" s="18"/>
      <c r="C522" s="18"/>
      <c r="D522" s="18"/>
      <c r="E522" s="18"/>
      <c r="F522" s="18"/>
      <c r="G522" s="18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10">
        <f t="shared" si="2"/>
        <v>0</v>
      </c>
      <c r="W522" s="9"/>
      <c r="X522" s="9"/>
      <c r="Y522" s="9"/>
      <c r="Z522" s="9"/>
      <c r="AA522" s="11"/>
    </row>
    <row r="523">
      <c r="A523" s="19"/>
      <c r="B523" s="20"/>
      <c r="C523" s="20"/>
      <c r="D523" s="20"/>
      <c r="E523" s="20"/>
      <c r="F523" s="20"/>
      <c r="G523" s="20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6">
        <f t="shared" si="2"/>
        <v>0</v>
      </c>
      <c r="W523" s="15"/>
      <c r="X523" s="15"/>
      <c r="Y523" s="15"/>
      <c r="Z523" s="15"/>
      <c r="AA523" s="17"/>
    </row>
    <row r="524">
      <c r="A524" s="21"/>
      <c r="B524" s="18"/>
      <c r="C524" s="18"/>
      <c r="D524" s="18"/>
      <c r="E524" s="18"/>
      <c r="F524" s="18"/>
      <c r="G524" s="18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10">
        <f t="shared" si="2"/>
        <v>0</v>
      </c>
      <c r="W524" s="9"/>
      <c r="X524" s="9"/>
      <c r="Y524" s="9"/>
      <c r="Z524" s="9"/>
      <c r="AA524" s="11"/>
    </row>
    <row r="525">
      <c r="A525" s="19"/>
      <c r="B525" s="20"/>
      <c r="C525" s="20"/>
      <c r="D525" s="20"/>
      <c r="E525" s="20"/>
      <c r="F525" s="20"/>
      <c r="G525" s="20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6">
        <f t="shared" si="2"/>
        <v>0</v>
      </c>
      <c r="W525" s="15"/>
      <c r="X525" s="15"/>
      <c r="Y525" s="15"/>
      <c r="Z525" s="15"/>
      <c r="AA525" s="17"/>
    </row>
    <row r="526">
      <c r="A526" s="21"/>
      <c r="B526" s="18"/>
      <c r="C526" s="18"/>
      <c r="D526" s="18"/>
      <c r="E526" s="18"/>
      <c r="F526" s="18"/>
      <c r="G526" s="18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10">
        <f t="shared" si="2"/>
        <v>0</v>
      </c>
      <c r="W526" s="9"/>
      <c r="X526" s="9"/>
      <c r="Y526" s="9"/>
      <c r="Z526" s="9"/>
      <c r="AA526" s="11"/>
    </row>
    <row r="527">
      <c r="A527" s="19"/>
      <c r="B527" s="20"/>
      <c r="C527" s="20"/>
      <c r="D527" s="20"/>
      <c r="E527" s="20"/>
      <c r="F527" s="20"/>
      <c r="G527" s="20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6">
        <f t="shared" si="2"/>
        <v>0</v>
      </c>
      <c r="W527" s="15"/>
      <c r="X527" s="15"/>
      <c r="Y527" s="15"/>
      <c r="Z527" s="15"/>
      <c r="AA527" s="17"/>
    </row>
    <row r="528">
      <c r="A528" s="21"/>
      <c r="B528" s="18"/>
      <c r="C528" s="18"/>
      <c r="D528" s="18"/>
      <c r="E528" s="18"/>
      <c r="F528" s="18"/>
      <c r="G528" s="18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10">
        <f t="shared" si="2"/>
        <v>0</v>
      </c>
      <c r="W528" s="9"/>
      <c r="X528" s="9"/>
      <c r="Y528" s="9"/>
      <c r="Z528" s="9"/>
      <c r="AA528" s="11"/>
    </row>
    <row r="529">
      <c r="A529" s="19"/>
      <c r="B529" s="20"/>
      <c r="C529" s="20"/>
      <c r="D529" s="20"/>
      <c r="E529" s="20"/>
      <c r="F529" s="20"/>
      <c r="G529" s="20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6">
        <f t="shared" si="2"/>
        <v>0</v>
      </c>
      <c r="W529" s="15"/>
      <c r="X529" s="15"/>
      <c r="Y529" s="15"/>
      <c r="Z529" s="15"/>
      <c r="AA529" s="17"/>
    </row>
    <row r="530">
      <c r="A530" s="21"/>
      <c r="B530" s="18"/>
      <c r="C530" s="18"/>
      <c r="D530" s="18"/>
      <c r="E530" s="18"/>
      <c r="F530" s="18"/>
      <c r="G530" s="18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10">
        <f t="shared" si="2"/>
        <v>0</v>
      </c>
      <c r="W530" s="9"/>
      <c r="X530" s="9"/>
      <c r="Y530" s="9"/>
      <c r="Z530" s="9"/>
      <c r="AA530" s="11"/>
    </row>
    <row r="531">
      <c r="A531" s="19"/>
      <c r="B531" s="20"/>
      <c r="C531" s="20"/>
      <c r="D531" s="20"/>
      <c r="E531" s="20"/>
      <c r="F531" s="20"/>
      <c r="G531" s="20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6">
        <f t="shared" si="2"/>
        <v>0</v>
      </c>
      <c r="W531" s="15"/>
      <c r="X531" s="15"/>
      <c r="Y531" s="15"/>
      <c r="Z531" s="15"/>
      <c r="AA531" s="17"/>
    </row>
    <row r="532">
      <c r="A532" s="21"/>
      <c r="B532" s="18"/>
      <c r="C532" s="18"/>
      <c r="D532" s="18"/>
      <c r="E532" s="18"/>
      <c r="F532" s="18"/>
      <c r="G532" s="18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10">
        <f t="shared" si="2"/>
        <v>0</v>
      </c>
      <c r="W532" s="9"/>
      <c r="X532" s="9"/>
      <c r="Y532" s="9"/>
      <c r="Z532" s="9"/>
      <c r="AA532" s="11"/>
    </row>
    <row r="533">
      <c r="A533" s="19"/>
      <c r="B533" s="20"/>
      <c r="C533" s="20"/>
      <c r="D533" s="20"/>
      <c r="E533" s="20"/>
      <c r="F533" s="20"/>
      <c r="G533" s="20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6">
        <f t="shared" si="2"/>
        <v>0</v>
      </c>
      <c r="W533" s="15"/>
      <c r="X533" s="15"/>
      <c r="Y533" s="15"/>
      <c r="Z533" s="15"/>
      <c r="AA533" s="17"/>
    </row>
    <row r="534">
      <c r="A534" s="21"/>
      <c r="B534" s="18"/>
      <c r="C534" s="18"/>
      <c r="D534" s="18"/>
      <c r="E534" s="18"/>
      <c r="F534" s="18"/>
      <c r="G534" s="18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10">
        <f t="shared" si="2"/>
        <v>0</v>
      </c>
      <c r="W534" s="9"/>
      <c r="X534" s="9"/>
      <c r="Y534" s="9"/>
      <c r="Z534" s="9"/>
      <c r="AA534" s="11"/>
    </row>
    <row r="535">
      <c r="A535" s="19"/>
      <c r="B535" s="20"/>
      <c r="C535" s="20"/>
      <c r="D535" s="20"/>
      <c r="E535" s="20"/>
      <c r="F535" s="20"/>
      <c r="G535" s="20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6">
        <f t="shared" si="2"/>
        <v>0</v>
      </c>
      <c r="W535" s="15"/>
      <c r="X535" s="15"/>
      <c r="Y535" s="15"/>
      <c r="Z535" s="15"/>
      <c r="AA535" s="17"/>
    </row>
    <row r="536">
      <c r="A536" s="21"/>
      <c r="B536" s="18"/>
      <c r="C536" s="18"/>
      <c r="D536" s="18"/>
      <c r="E536" s="18"/>
      <c r="F536" s="18"/>
      <c r="G536" s="18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10">
        <f t="shared" si="2"/>
        <v>0</v>
      </c>
      <c r="W536" s="9"/>
      <c r="X536" s="9"/>
      <c r="Y536" s="9"/>
      <c r="Z536" s="9"/>
      <c r="AA536" s="11"/>
    </row>
    <row r="537">
      <c r="A537" s="19"/>
      <c r="B537" s="20"/>
      <c r="C537" s="20"/>
      <c r="D537" s="20"/>
      <c r="E537" s="20"/>
      <c r="F537" s="20"/>
      <c r="G537" s="20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6">
        <f t="shared" si="2"/>
        <v>0</v>
      </c>
      <c r="W537" s="15"/>
      <c r="X537" s="15"/>
      <c r="Y537" s="15"/>
      <c r="Z537" s="15"/>
      <c r="AA537" s="17"/>
    </row>
    <row r="538">
      <c r="A538" s="21"/>
      <c r="B538" s="18"/>
      <c r="C538" s="18"/>
      <c r="D538" s="18"/>
      <c r="E538" s="18"/>
      <c r="F538" s="18"/>
      <c r="G538" s="18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10">
        <f t="shared" si="2"/>
        <v>0</v>
      </c>
      <c r="W538" s="9"/>
      <c r="X538" s="9"/>
      <c r="Y538" s="9"/>
      <c r="Z538" s="9"/>
      <c r="AA538" s="11"/>
    </row>
    <row r="539">
      <c r="A539" s="19"/>
      <c r="B539" s="20"/>
      <c r="C539" s="20"/>
      <c r="D539" s="20"/>
      <c r="E539" s="20"/>
      <c r="F539" s="20"/>
      <c r="G539" s="20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6">
        <f t="shared" si="2"/>
        <v>0</v>
      </c>
      <c r="W539" s="15"/>
      <c r="X539" s="15"/>
      <c r="Y539" s="15"/>
      <c r="Z539" s="15"/>
      <c r="AA539" s="17"/>
    </row>
    <row r="540">
      <c r="A540" s="21"/>
      <c r="B540" s="18"/>
      <c r="C540" s="18"/>
      <c r="D540" s="18"/>
      <c r="E540" s="18"/>
      <c r="F540" s="18"/>
      <c r="G540" s="18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10">
        <f t="shared" si="2"/>
        <v>0</v>
      </c>
      <c r="W540" s="9"/>
      <c r="X540" s="9"/>
      <c r="Y540" s="9"/>
      <c r="Z540" s="9"/>
      <c r="AA540" s="11"/>
    </row>
    <row r="541">
      <c r="A541" s="19"/>
      <c r="B541" s="20"/>
      <c r="C541" s="20"/>
      <c r="D541" s="20"/>
      <c r="E541" s="20"/>
      <c r="F541" s="20"/>
      <c r="G541" s="20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6">
        <f t="shared" si="2"/>
        <v>0</v>
      </c>
      <c r="W541" s="15"/>
      <c r="X541" s="15"/>
      <c r="Y541" s="15"/>
      <c r="Z541" s="15"/>
      <c r="AA541" s="17"/>
    </row>
    <row r="542">
      <c r="A542" s="21"/>
      <c r="B542" s="18"/>
      <c r="C542" s="18"/>
      <c r="D542" s="18"/>
      <c r="E542" s="18"/>
      <c r="F542" s="18"/>
      <c r="G542" s="18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10">
        <f t="shared" si="2"/>
        <v>0</v>
      </c>
      <c r="W542" s="9"/>
      <c r="X542" s="9"/>
      <c r="Y542" s="9"/>
      <c r="Z542" s="9"/>
      <c r="AA542" s="11"/>
    </row>
    <row r="543">
      <c r="A543" s="19"/>
      <c r="B543" s="20"/>
      <c r="C543" s="20"/>
      <c r="D543" s="20"/>
      <c r="E543" s="20"/>
      <c r="F543" s="20"/>
      <c r="G543" s="20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6">
        <f t="shared" si="2"/>
        <v>0</v>
      </c>
      <c r="W543" s="15"/>
      <c r="X543" s="15"/>
      <c r="Y543" s="15"/>
      <c r="Z543" s="15"/>
      <c r="AA543" s="17"/>
    </row>
    <row r="544">
      <c r="A544" s="21"/>
      <c r="B544" s="18"/>
      <c r="C544" s="18"/>
      <c r="D544" s="18"/>
      <c r="E544" s="18"/>
      <c r="F544" s="18"/>
      <c r="G544" s="18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10">
        <f t="shared" si="2"/>
        <v>0</v>
      </c>
      <c r="W544" s="9"/>
      <c r="X544" s="9"/>
      <c r="Y544" s="9"/>
      <c r="Z544" s="9"/>
      <c r="AA544" s="11"/>
    </row>
    <row r="545">
      <c r="A545" s="19"/>
      <c r="B545" s="20"/>
      <c r="C545" s="20"/>
      <c r="D545" s="20"/>
      <c r="E545" s="20"/>
      <c r="F545" s="20"/>
      <c r="G545" s="20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6">
        <f t="shared" si="2"/>
        <v>0</v>
      </c>
      <c r="W545" s="15"/>
      <c r="X545" s="15"/>
      <c r="Y545" s="15"/>
      <c r="Z545" s="15"/>
      <c r="AA545" s="17"/>
    </row>
    <row r="546">
      <c r="A546" s="21"/>
      <c r="B546" s="18"/>
      <c r="C546" s="18"/>
      <c r="D546" s="18"/>
      <c r="E546" s="18"/>
      <c r="F546" s="18"/>
      <c r="G546" s="18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10">
        <f t="shared" si="2"/>
        <v>0</v>
      </c>
      <c r="W546" s="9"/>
      <c r="X546" s="9"/>
      <c r="Y546" s="9"/>
      <c r="Z546" s="9"/>
      <c r="AA546" s="11"/>
    </row>
    <row r="547">
      <c r="A547" s="19"/>
      <c r="B547" s="20"/>
      <c r="C547" s="20"/>
      <c r="D547" s="20"/>
      <c r="E547" s="20"/>
      <c r="F547" s="20"/>
      <c r="G547" s="20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6">
        <f t="shared" si="2"/>
        <v>0</v>
      </c>
      <c r="W547" s="15"/>
      <c r="X547" s="15"/>
      <c r="Y547" s="15"/>
      <c r="Z547" s="15"/>
      <c r="AA547" s="17"/>
    </row>
    <row r="548">
      <c r="A548" s="21"/>
      <c r="B548" s="18"/>
      <c r="C548" s="18"/>
      <c r="D548" s="18"/>
      <c r="E548" s="18"/>
      <c r="F548" s="18"/>
      <c r="G548" s="18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10">
        <f t="shared" si="2"/>
        <v>0</v>
      </c>
      <c r="W548" s="9"/>
      <c r="X548" s="9"/>
      <c r="Y548" s="9"/>
      <c r="Z548" s="9"/>
      <c r="AA548" s="11"/>
    </row>
    <row r="549">
      <c r="A549" s="19"/>
      <c r="B549" s="20"/>
      <c r="C549" s="20"/>
      <c r="D549" s="20"/>
      <c r="E549" s="20"/>
      <c r="F549" s="20"/>
      <c r="G549" s="20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6">
        <f t="shared" si="2"/>
        <v>0</v>
      </c>
      <c r="W549" s="15"/>
      <c r="X549" s="15"/>
      <c r="Y549" s="15"/>
      <c r="Z549" s="15"/>
      <c r="AA549" s="17"/>
    </row>
    <row r="550">
      <c r="A550" s="21"/>
      <c r="B550" s="18"/>
      <c r="C550" s="18"/>
      <c r="D550" s="18"/>
      <c r="E550" s="18"/>
      <c r="F550" s="18"/>
      <c r="G550" s="18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10">
        <f t="shared" si="2"/>
        <v>0</v>
      </c>
      <c r="W550" s="9"/>
      <c r="X550" s="9"/>
      <c r="Y550" s="9"/>
      <c r="Z550" s="9"/>
      <c r="AA550" s="11"/>
    </row>
    <row r="551">
      <c r="A551" s="19"/>
      <c r="B551" s="20"/>
      <c r="C551" s="20"/>
      <c r="D551" s="20"/>
      <c r="E551" s="20"/>
      <c r="F551" s="20"/>
      <c r="G551" s="20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6">
        <f t="shared" si="2"/>
        <v>0</v>
      </c>
      <c r="W551" s="15"/>
      <c r="X551" s="15"/>
      <c r="Y551" s="15"/>
      <c r="Z551" s="15"/>
      <c r="AA551" s="17"/>
    </row>
    <row r="552">
      <c r="A552" s="21"/>
      <c r="B552" s="18"/>
      <c r="C552" s="18"/>
      <c r="D552" s="18"/>
      <c r="E552" s="18"/>
      <c r="F552" s="18"/>
      <c r="G552" s="18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10">
        <f t="shared" si="2"/>
        <v>0</v>
      </c>
      <c r="W552" s="9"/>
      <c r="X552" s="9"/>
      <c r="Y552" s="9"/>
      <c r="Z552" s="9"/>
      <c r="AA552" s="11"/>
    </row>
    <row r="553">
      <c r="A553" s="19"/>
      <c r="B553" s="20"/>
      <c r="C553" s="20"/>
      <c r="D553" s="20"/>
      <c r="E553" s="20"/>
      <c r="F553" s="20"/>
      <c r="G553" s="20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6">
        <f t="shared" si="2"/>
        <v>0</v>
      </c>
      <c r="W553" s="15"/>
      <c r="X553" s="15"/>
      <c r="Y553" s="15"/>
      <c r="Z553" s="15"/>
      <c r="AA553" s="17"/>
    </row>
    <row r="554">
      <c r="A554" s="21"/>
      <c r="B554" s="18"/>
      <c r="C554" s="18"/>
      <c r="D554" s="18"/>
      <c r="E554" s="18"/>
      <c r="F554" s="18"/>
      <c r="G554" s="18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10">
        <f t="shared" si="2"/>
        <v>0</v>
      </c>
      <c r="W554" s="9"/>
      <c r="X554" s="9"/>
      <c r="Y554" s="9"/>
      <c r="Z554" s="9"/>
      <c r="AA554" s="11"/>
    </row>
    <row r="555">
      <c r="A555" s="19"/>
      <c r="B555" s="20"/>
      <c r="C555" s="20"/>
      <c r="D555" s="20"/>
      <c r="E555" s="20"/>
      <c r="F555" s="20"/>
      <c r="G555" s="20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6">
        <f t="shared" si="2"/>
        <v>0</v>
      </c>
      <c r="W555" s="15"/>
      <c r="X555" s="15"/>
      <c r="Y555" s="15"/>
      <c r="Z555" s="15"/>
      <c r="AA555" s="17"/>
    </row>
    <row r="556">
      <c r="A556" s="21"/>
      <c r="B556" s="18"/>
      <c r="C556" s="18"/>
      <c r="D556" s="18"/>
      <c r="E556" s="18"/>
      <c r="F556" s="18"/>
      <c r="G556" s="18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10">
        <f t="shared" si="2"/>
        <v>0</v>
      </c>
      <c r="W556" s="9"/>
      <c r="X556" s="9"/>
      <c r="Y556" s="9"/>
      <c r="Z556" s="9"/>
      <c r="AA556" s="11"/>
    </row>
    <row r="557">
      <c r="A557" s="19"/>
      <c r="B557" s="20"/>
      <c r="C557" s="20"/>
      <c r="D557" s="20"/>
      <c r="E557" s="20"/>
      <c r="F557" s="20"/>
      <c r="G557" s="20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6">
        <f t="shared" si="2"/>
        <v>0</v>
      </c>
      <c r="W557" s="15"/>
      <c r="X557" s="15"/>
      <c r="Y557" s="15"/>
      <c r="Z557" s="15"/>
      <c r="AA557" s="17"/>
    </row>
    <row r="558">
      <c r="A558" s="21"/>
      <c r="B558" s="18"/>
      <c r="C558" s="18"/>
      <c r="D558" s="18"/>
      <c r="E558" s="18"/>
      <c r="F558" s="18"/>
      <c r="G558" s="18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10">
        <f t="shared" si="2"/>
        <v>0</v>
      </c>
      <c r="W558" s="9"/>
      <c r="X558" s="9"/>
      <c r="Y558" s="9"/>
      <c r="Z558" s="9"/>
      <c r="AA558" s="11"/>
    </row>
    <row r="559">
      <c r="A559" s="19"/>
      <c r="B559" s="20"/>
      <c r="C559" s="20"/>
      <c r="D559" s="20"/>
      <c r="E559" s="20"/>
      <c r="F559" s="20"/>
      <c r="G559" s="20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6">
        <f t="shared" si="2"/>
        <v>0</v>
      </c>
      <c r="W559" s="15"/>
      <c r="X559" s="15"/>
      <c r="Y559" s="15"/>
      <c r="Z559" s="15"/>
      <c r="AA559" s="17"/>
    </row>
    <row r="560">
      <c r="A560" s="21"/>
      <c r="B560" s="18"/>
      <c r="C560" s="18"/>
      <c r="D560" s="18"/>
      <c r="E560" s="18"/>
      <c r="F560" s="18"/>
      <c r="G560" s="18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10">
        <f t="shared" si="2"/>
        <v>0</v>
      </c>
      <c r="W560" s="9"/>
      <c r="X560" s="9"/>
      <c r="Y560" s="9"/>
      <c r="Z560" s="9"/>
      <c r="AA560" s="11"/>
    </row>
    <row r="561">
      <c r="A561" s="19"/>
      <c r="B561" s="20"/>
      <c r="C561" s="20"/>
      <c r="D561" s="20"/>
      <c r="E561" s="20"/>
      <c r="F561" s="20"/>
      <c r="G561" s="20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6">
        <f t="shared" si="2"/>
        <v>0</v>
      </c>
      <c r="W561" s="15"/>
      <c r="X561" s="15"/>
      <c r="Y561" s="15"/>
      <c r="Z561" s="15"/>
      <c r="AA561" s="17"/>
    </row>
    <row r="562">
      <c r="A562" s="21"/>
      <c r="B562" s="18"/>
      <c r="C562" s="18"/>
      <c r="D562" s="18"/>
      <c r="E562" s="18"/>
      <c r="F562" s="18"/>
      <c r="G562" s="18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10">
        <f t="shared" si="2"/>
        <v>0</v>
      </c>
      <c r="W562" s="9"/>
      <c r="X562" s="9"/>
      <c r="Y562" s="9"/>
      <c r="Z562" s="9"/>
      <c r="AA562" s="11"/>
    </row>
    <row r="563">
      <c r="A563" s="19"/>
      <c r="B563" s="20"/>
      <c r="C563" s="20"/>
      <c r="D563" s="20"/>
      <c r="E563" s="20"/>
      <c r="F563" s="20"/>
      <c r="G563" s="20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6">
        <f t="shared" si="2"/>
        <v>0</v>
      </c>
      <c r="W563" s="15"/>
      <c r="X563" s="15"/>
      <c r="Y563" s="15"/>
      <c r="Z563" s="15"/>
      <c r="AA563" s="17"/>
    </row>
    <row r="564">
      <c r="A564" s="21"/>
      <c r="B564" s="18"/>
      <c r="C564" s="18"/>
      <c r="D564" s="18"/>
      <c r="E564" s="18"/>
      <c r="F564" s="18"/>
      <c r="G564" s="18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10">
        <f t="shared" si="2"/>
        <v>0</v>
      </c>
      <c r="W564" s="9"/>
      <c r="X564" s="9"/>
      <c r="Y564" s="9"/>
      <c r="Z564" s="9"/>
      <c r="AA564" s="11"/>
    </row>
    <row r="565">
      <c r="A565" s="19"/>
      <c r="B565" s="20"/>
      <c r="C565" s="20"/>
      <c r="D565" s="20"/>
      <c r="E565" s="20"/>
      <c r="F565" s="20"/>
      <c r="G565" s="20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6">
        <f t="shared" si="2"/>
        <v>0</v>
      </c>
      <c r="W565" s="15"/>
      <c r="X565" s="15"/>
      <c r="Y565" s="15"/>
      <c r="Z565" s="15"/>
      <c r="AA565" s="17"/>
    </row>
    <row r="566">
      <c r="A566" s="21"/>
      <c r="B566" s="18"/>
      <c r="C566" s="18"/>
      <c r="D566" s="18"/>
      <c r="E566" s="18"/>
      <c r="F566" s="18"/>
      <c r="G566" s="18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10">
        <f t="shared" si="2"/>
        <v>0</v>
      </c>
      <c r="W566" s="9"/>
      <c r="X566" s="9"/>
      <c r="Y566" s="9"/>
      <c r="Z566" s="9"/>
      <c r="AA566" s="11"/>
    </row>
    <row r="567">
      <c r="A567" s="19"/>
      <c r="B567" s="20"/>
      <c r="C567" s="20"/>
      <c r="D567" s="20"/>
      <c r="E567" s="20"/>
      <c r="F567" s="20"/>
      <c r="G567" s="20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6">
        <f t="shared" si="2"/>
        <v>0</v>
      </c>
      <c r="W567" s="15"/>
      <c r="X567" s="15"/>
      <c r="Y567" s="15"/>
      <c r="Z567" s="15"/>
      <c r="AA567" s="17"/>
    </row>
    <row r="568">
      <c r="A568" s="21"/>
      <c r="B568" s="18"/>
      <c r="C568" s="18"/>
      <c r="D568" s="18"/>
      <c r="E568" s="18"/>
      <c r="F568" s="18"/>
      <c r="G568" s="18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10">
        <f t="shared" si="2"/>
        <v>0</v>
      </c>
      <c r="W568" s="9"/>
      <c r="X568" s="9"/>
      <c r="Y568" s="9"/>
      <c r="Z568" s="9"/>
      <c r="AA568" s="11"/>
    </row>
    <row r="569">
      <c r="A569" s="19"/>
      <c r="B569" s="20"/>
      <c r="C569" s="20"/>
      <c r="D569" s="20"/>
      <c r="E569" s="20"/>
      <c r="F569" s="20"/>
      <c r="G569" s="20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6">
        <f t="shared" si="2"/>
        <v>0</v>
      </c>
      <c r="W569" s="15"/>
      <c r="X569" s="15"/>
      <c r="Y569" s="15"/>
      <c r="Z569" s="15"/>
      <c r="AA569" s="17"/>
    </row>
    <row r="570">
      <c r="A570" s="21"/>
      <c r="B570" s="18"/>
      <c r="C570" s="18"/>
      <c r="D570" s="18"/>
      <c r="E570" s="18"/>
      <c r="F570" s="18"/>
      <c r="G570" s="18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10">
        <f t="shared" si="2"/>
        <v>0</v>
      </c>
      <c r="W570" s="9"/>
      <c r="X570" s="9"/>
      <c r="Y570" s="9"/>
      <c r="Z570" s="9"/>
      <c r="AA570" s="11"/>
    </row>
    <row r="571">
      <c r="A571" s="19"/>
      <c r="B571" s="20"/>
      <c r="C571" s="20"/>
      <c r="D571" s="20"/>
      <c r="E571" s="20"/>
      <c r="F571" s="20"/>
      <c r="G571" s="20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6">
        <f t="shared" si="2"/>
        <v>0</v>
      </c>
      <c r="W571" s="15"/>
      <c r="X571" s="15"/>
      <c r="Y571" s="15"/>
      <c r="Z571" s="15"/>
      <c r="AA571" s="17"/>
    </row>
    <row r="572">
      <c r="A572" s="21"/>
      <c r="B572" s="18"/>
      <c r="C572" s="18"/>
      <c r="D572" s="18"/>
      <c r="E572" s="18"/>
      <c r="F572" s="18"/>
      <c r="G572" s="18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10">
        <f t="shared" si="2"/>
        <v>0</v>
      </c>
      <c r="W572" s="9"/>
      <c r="X572" s="9"/>
      <c r="Y572" s="9"/>
      <c r="Z572" s="9"/>
      <c r="AA572" s="11"/>
    </row>
    <row r="573">
      <c r="A573" s="19"/>
      <c r="B573" s="20"/>
      <c r="C573" s="20"/>
      <c r="D573" s="20"/>
      <c r="E573" s="20"/>
      <c r="F573" s="20"/>
      <c r="G573" s="20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6">
        <f t="shared" si="2"/>
        <v>0</v>
      </c>
      <c r="W573" s="15"/>
      <c r="X573" s="15"/>
      <c r="Y573" s="15"/>
      <c r="Z573" s="15"/>
      <c r="AA573" s="17"/>
    </row>
    <row r="574">
      <c r="A574" s="21"/>
      <c r="B574" s="18"/>
      <c r="C574" s="18"/>
      <c r="D574" s="18"/>
      <c r="E574" s="18"/>
      <c r="F574" s="18"/>
      <c r="G574" s="18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10">
        <f t="shared" si="2"/>
        <v>0</v>
      </c>
      <c r="W574" s="9"/>
      <c r="X574" s="9"/>
      <c r="Y574" s="9"/>
      <c r="Z574" s="9"/>
      <c r="AA574" s="11"/>
    </row>
    <row r="575">
      <c r="A575" s="19"/>
      <c r="B575" s="20"/>
      <c r="C575" s="20"/>
      <c r="D575" s="20"/>
      <c r="E575" s="20"/>
      <c r="F575" s="20"/>
      <c r="G575" s="20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6">
        <f t="shared" si="2"/>
        <v>0</v>
      </c>
      <c r="W575" s="15"/>
      <c r="X575" s="15"/>
      <c r="Y575" s="15"/>
      <c r="Z575" s="15"/>
      <c r="AA575" s="17"/>
    </row>
    <row r="576">
      <c r="A576" s="21"/>
      <c r="B576" s="18"/>
      <c r="C576" s="18"/>
      <c r="D576" s="18"/>
      <c r="E576" s="18"/>
      <c r="F576" s="18"/>
      <c r="G576" s="18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10">
        <f t="shared" si="2"/>
        <v>0</v>
      </c>
      <c r="W576" s="9"/>
      <c r="X576" s="9"/>
      <c r="Y576" s="9"/>
      <c r="Z576" s="9"/>
      <c r="AA576" s="11"/>
    </row>
    <row r="577">
      <c r="A577" s="19"/>
      <c r="B577" s="20"/>
      <c r="C577" s="20"/>
      <c r="D577" s="20"/>
      <c r="E577" s="20"/>
      <c r="F577" s="20"/>
      <c r="G577" s="20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6">
        <f t="shared" si="2"/>
        <v>0</v>
      </c>
      <c r="W577" s="15"/>
      <c r="X577" s="15"/>
      <c r="Y577" s="15"/>
      <c r="Z577" s="15"/>
      <c r="AA577" s="17"/>
    </row>
    <row r="578">
      <c r="A578" s="21"/>
      <c r="B578" s="18"/>
      <c r="C578" s="18"/>
      <c r="D578" s="18"/>
      <c r="E578" s="18"/>
      <c r="F578" s="18"/>
      <c r="G578" s="18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10">
        <f t="shared" si="2"/>
        <v>0</v>
      </c>
      <c r="W578" s="9"/>
      <c r="X578" s="9"/>
      <c r="Y578" s="9"/>
      <c r="Z578" s="9"/>
      <c r="AA578" s="11"/>
    </row>
    <row r="579">
      <c r="A579" s="19"/>
      <c r="B579" s="20"/>
      <c r="C579" s="20"/>
      <c r="D579" s="20"/>
      <c r="E579" s="20"/>
      <c r="F579" s="20"/>
      <c r="G579" s="20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6">
        <f t="shared" si="2"/>
        <v>0</v>
      </c>
      <c r="W579" s="15"/>
      <c r="X579" s="15"/>
      <c r="Y579" s="15"/>
      <c r="Z579" s="15"/>
      <c r="AA579" s="17"/>
    </row>
    <row r="580">
      <c r="A580" s="21"/>
      <c r="B580" s="18"/>
      <c r="C580" s="18"/>
      <c r="D580" s="18"/>
      <c r="E580" s="18"/>
      <c r="F580" s="18"/>
      <c r="G580" s="18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10">
        <f t="shared" si="2"/>
        <v>0</v>
      </c>
      <c r="W580" s="9"/>
      <c r="X580" s="9"/>
      <c r="Y580" s="9"/>
      <c r="Z580" s="9"/>
      <c r="AA580" s="11"/>
    </row>
    <row r="581">
      <c r="A581" s="19"/>
      <c r="B581" s="20"/>
      <c r="C581" s="20"/>
      <c r="D581" s="20"/>
      <c r="E581" s="20"/>
      <c r="F581" s="20"/>
      <c r="G581" s="20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6">
        <f t="shared" si="2"/>
        <v>0</v>
      </c>
      <c r="W581" s="15"/>
      <c r="X581" s="15"/>
      <c r="Y581" s="15"/>
      <c r="Z581" s="15"/>
      <c r="AA581" s="17"/>
    </row>
    <row r="582">
      <c r="A582" s="21"/>
      <c r="B582" s="18"/>
      <c r="C582" s="18"/>
      <c r="D582" s="18"/>
      <c r="E582" s="18"/>
      <c r="F582" s="18"/>
      <c r="G582" s="18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10">
        <f t="shared" si="2"/>
        <v>0</v>
      </c>
      <c r="W582" s="9"/>
      <c r="X582" s="9"/>
      <c r="Y582" s="9"/>
      <c r="Z582" s="9"/>
      <c r="AA582" s="11"/>
    </row>
    <row r="583">
      <c r="A583" s="19"/>
      <c r="B583" s="20"/>
      <c r="C583" s="20"/>
      <c r="D583" s="20"/>
      <c r="E583" s="20"/>
      <c r="F583" s="20"/>
      <c r="G583" s="20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6">
        <f t="shared" si="2"/>
        <v>0</v>
      </c>
      <c r="W583" s="15"/>
      <c r="X583" s="15"/>
      <c r="Y583" s="15"/>
      <c r="Z583" s="15"/>
      <c r="AA583" s="17"/>
    </row>
    <row r="584">
      <c r="A584" s="21"/>
      <c r="B584" s="18"/>
      <c r="C584" s="18"/>
      <c r="D584" s="18"/>
      <c r="E584" s="18"/>
      <c r="F584" s="18"/>
      <c r="G584" s="18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10">
        <f t="shared" si="2"/>
        <v>0</v>
      </c>
      <c r="W584" s="9"/>
      <c r="X584" s="9"/>
      <c r="Y584" s="9"/>
      <c r="Z584" s="9"/>
      <c r="AA584" s="11"/>
    </row>
    <row r="585">
      <c r="A585" s="19"/>
      <c r="B585" s="20"/>
      <c r="C585" s="20"/>
      <c r="D585" s="20"/>
      <c r="E585" s="20"/>
      <c r="F585" s="20"/>
      <c r="G585" s="20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6">
        <f t="shared" si="2"/>
        <v>0</v>
      </c>
      <c r="W585" s="15"/>
      <c r="X585" s="15"/>
      <c r="Y585" s="15"/>
      <c r="Z585" s="15"/>
      <c r="AA585" s="17"/>
    </row>
    <row r="586">
      <c r="A586" s="21"/>
      <c r="B586" s="18"/>
      <c r="C586" s="18"/>
      <c r="D586" s="18"/>
      <c r="E586" s="18"/>
      <c r="F586" s="18"/>
      <c r="G586" s="18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10">
        <f t="shared" si="2"/>
        <v>0</v>
      </c>
      <c r="W586" s="9"/>
      <c r="X586" s="9"/>
      <c r="Y586" s="9"/>
      <c r="Z586" s="9"/>
      <c r="AA586" s="11"/>
    </row>
    <row r="587">
      <c r="A587" s="19"/>
      <c r="B587" s="20"/>
      <c r="C587" s="20"/>
      <c r="D587" s="20"/>
      <c r="E587" s="20"/>
      <c r="F587" s="20"/>
      <c r="G587" s="20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6">
        <f t="shared" si="2"/>
        <v>0</v>
      </c>
      <c r="W587" s="15"/>
      <c r="X587" s="15"/>
      <c r="Y587" s="15"/>
      <c r="Z587" s="15"/>
      <c r="AA587" s="17"/>
    </row>
    <row r="588">
      <c r="A588" s="21"/>
      <c r="B588" s="18"/>
      <c r="C588" s="18"/>
      <c r="D588" s="18"/>
      <c r="E588" s="18"/>
      <c r="F588" s="18"/>
      <c r="G588" s="18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10">
        <f t="shared" si="2"/>
        <v>0</v>
      </c>
      <c r="W588" s="9"/>
      <c r="X588" s="9"/>
      <c r="Y588" s="9"/>
      <c r="Z588" s="9"/>
      <c r="AA588" s="11"/>
    </row>
    <row r="589">
      <c r="A589" s="19"/>
      <c r="B589" s="20"/>
      <c r="C589" s="20"/>
      <c r="D589" s="20"/>
      <c r="E589" s="20"/>
      <c r="F589" s="20"/>
      <c r="G589" s="20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6">
        <f t="shared" si="2"/>
        <v>0</v>
      </c>
      <c r="W589" s="15"/>
      <c r="X589" s="15"/>
      <c r="Y589" s="15"/>
      <c r="Z589" s="15"/>
      <c r="AA589" s="17"/>
    </row>
    <row r="590">
      <c r="A590" s="21"/>
      <c r="B590" s="18"/>
      <c r="C590" s="18"/>
      <c r="D590" s="18"/>
      <c r="E590" s="18"/>
      <c r="F590" s="18"/>
      <c r="G590" s="18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10">
        <f t="shared" si="2"/>
        <v>0</v>
      </c>
      <c r="W590" s="9"/>
      <c r="X590" s="9"/>
      <c r="Y590" s="9"/>
      <c r="Z590" s="9"/>
      <c r="AA590" s="11"/>
    </row>
    <row r="591">
      <c r="A591" s="19"/>
      <c r="B591" s="20"/>
      <c r="C591" s="20"/>
      <c r="D591" s="20"/>
      <c r="E591" s="20"/>
      <c r="F591" s="20"/>
      <c r="G591" s="20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6">
        <f t="shared" si="2"/>
        <v>0</v>
      </c>
      <c r="W591" s="15"/>
      <c r="X591" s="15"/>
      <c r="Y591" s="15"/>
      <c r="Z591" s="15"/>
      <c r="AA591" s="17"/>
    </row>
    <row r="592">
      <c r="A592" s="21"/>
      <c r="B592" s="18"/>
      <c r="C592" s="18"/>
      <c r="D592" s="18"/>
      <c r="E592" s="18"/>
      <c r="F592" s="18"/>
      <c r="G592" s="18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10">
        <f t="shared" si="2"/>
        <v>0</v>
      </c>
      <c r="W592" s="9"/>
      <c r="X592" s="9"/>
      <c r="Y592" s="9"/>
      <c r="Z592" s="9"/>
      <c r="AA592" s="11"/>
    </row>
    <row r="593">
      <c r="A593" s="19"/>
      <c r="B593" s="20"/>
      <c r="C593" s="20"/>
      <c r="D593" s="20"/>
      <c r="E593" s="20"/>
      <c r="F593" s="20"/>
      <c r="G593" s="20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6">
        <f t="shared" si="2"/>
        <v>0</v>
      </c>
      <c r="W593" s="15"/>
      <c r="X593" s="15"/>
      <c r="Y593" s="15"/>
      <c r="Z593" s="15"/>
      <c r="AA593" s="17"/>
    </row>
    <row r="594">
      <c r="A594" s="21"/>
      <c r="B594" s="18"/>
      <c r="C594" s="18"/>
      <c r="D594" s="18"/>
      <c r="E594" s="18"/>
      <c r="F594" s="18"/>
      <c r="G594" s="18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10">
        <f t="shared" si="2"/>
        <v>0</v>
      </c>
      <c r="W594" s="9"/>
      <c r="X594" s="9"/>
      <c r="Y594" s="9"/>
      <c r="Z594" s="9"/>
      <c r="AA594" s="11"/>
    </row>
    <row r="595">
      <c r="A595" s="19"/>
      <c r="B595" s="20"/>
      <c r="C595" s="20"/>
      <c r="D595" s="20"/>
      <c r="E595" s="20"/>
      <c r="F595" s="20"/>
      <c r="G595" s="20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6">
        <f t="shared" si="2"/>
        <v>0</v>
      </c>
      <c r="W595" s="15"/>
      <c r="X595" s="15"/>
      <c r="Y595" s="15"/>
      <c r="Z595" s="15"/>
      <c r="AA595" s="17"/>
    </row>
    <row r="596">
      <c r="A596" s="21"/>
      <c r="B596" s="18"/>
      <c r="C596" s="18"/>
      <c r="D596" s="18"/>
      <c r="E596" s="18"/>
      <c r="F596" s="18"/>
      <c r="G596" s="18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10">
        <f t="shared" si="2"/>
        <v>0</v>
      </c>
      <c r="W596" s="9"/>
      <c r="X596" s="9"/>
      <c r="Y596" s="9"/>
      <c r="Z596" s="9"/>
      <c r="AA596" s="11"/>
    </row>
    <row r="597">
      <c r="A597" s="19"/>
      <c r="B597" s="20"/>
      <c r="C597" s="20"/>
      <c r="D597" s="20"/>
      <c r="E597" s="20"/>
      <c r="F597" s="20"/>
      <c r="G597" s="20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6">
        <f t="shared" si="2"/>
        <v>0</v>
      </c>
      <c r="W597" s="15"/>
      <c r="X597" s="15"/>
      <c r="Y597" s="15"/>
      <c r="Z597" s="15"/>
      <c r="AA597" s="17"/>
    </row>
    <row r="598">
      <c r="A598" s="21"/>
      <c r="B598" s="18"/>
      <c r="C598" s="18"/>
      <c r="D598" s="18"/>
      <c r="E598" s="18"/>
      <c r="F598" s="18"/>
      <c r="G598" s="18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10">
        <f t="shared" si="2"/>
        <v>0</v>
      </c>
      <c r="W598" s="9"/>
      <c r="X598" s="9"/>
      <c r="Y598" s="9"/>
      <c r="Z598" s="9"/>
      <c r="AA598" s="11"/>
    </row>
    <row r="599">
      <c r="A599" s="19"/>
      <c r="B599" s="20"/>
      <c r="C599" s="20"/>
      <c r="D599" s="20"/>
      <c r="E599" s="20"/>
      <c r="F599" s="20"/>
      <c r="G599" s="20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6">
        <f t="shared" si="2"/>
        <v>0</v>
      </c>
      <c r="W599" s="15"/>
      <c r="X599" s="15"/>
      <c r="Y599" s="15"/>
      <c r="Z599" s="15"/>
      <c r="AA599" s="17"/>
    </row>
    <row r="600">
      <c r="A600" s="21"/>
      <c r="B600" s="18"/>
      <c r="C600" s="18"/>
      <c r="D600" s="18"/>
      <c r="E600" s="18"/>
      <c r="F600" s="18"/>
      <c r="G600" s="18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10">
        <f t="shared" si="2"/>
        <v>0</v>
      </c>
      <c r="W600" s="9"/>
      <c r="X600" s="9"/>
      <c r="Y600" s="9"/>
      <c r="Z600" s="9"/>
      <c r="AA600" s="11"/>
    </row>
    <row r="601">
      <c r="A601" s="19"/>
      <c r="B601" s="20"/>
      <c r="C601" s="20"/>
      <c r="D601" s="20"/>
      <c r="E601" s="20"/>
      <c r="F601" s="20"/>
      <c r="G601" s="20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6">
        <f t="shared" si="2"/>
        <v>0</v>
      </c>
      <c r="W601" s="15"/>
      <c r="X601" s="15"/>
      <c r="Y601" s="15"/>
      <c r="Z601" s="15"/>
      <c r="AA601" s="17"/>
    </row>
    <row r="602">
      <c r="A602" s="21"/>
      <c r="B602" s="18"/>
      <c r="C602" s="18"/>
      <c r="D602" s="18"/>
      <c r="E602" s="18"/>
      <c r="F602" s="18"/>
      <c r="G602" s="18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10">
        <f t="shared" si="2"/>
        <v>0</v>
      </c>
      <c r="W602" s="9"/>
      <c r="X602" s="9"/>
      <c r="Y602" s="9"/>
      <c r="Z602" s="9"/>
      <c r="AA602" s="11"/>
    </row>
    <row r="603">
      <c r="A603" s="19"/>
      <c r="B603" s="20"/>
      <c r="C603" s="20"/>
      <c r="D603" s="20"/>
      <c r="E603" s="20"/>
      <c r="F603" s="20"/>
      <c r="G603" s="20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6">
        <f t="shared" si="2"/>
        <v>0</v>
      </c>
      <c r="W603" s="15"/>
      <c r="X603" s="15"/>
      <c r="Y603" s="15"/>
      <c r="Z603" s="15"/>
      <c r="AA603" s="17"/>
    </row>
    <row r="604">
      <c r="A604" s="21"/>
      <c r="B604" s="18"/>
      <c r="C604" s="18"/>
      <c r="D604" s="18"/>
      <c r="E604" s="18"/>
      <c r="F604" s="18"/>
      <c r="G604" s="18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10">
        <f t="shared" si="2"/>
        <v>0</v>
      </c>
      <c r="W604" s="9"/>
      <c r="X604" s="9"/>
      <c r="Y604" s="9"/>
      <c r="Z604" s="9"/>
      <c r="AA604" s="11"/>
    </row>
    <row r="605">
      <c r="A605" s="19"/>
      <c r="B605" s="20"/>
      <c r="C605" s="20"/>
      <c r="D605" s="20"/>
      <c r="E605" s="20"/>
      <c r="F605" s="20"/>
      <c r="G605" s="20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6">
        <f t="shared" si="2"/>
        <v>0</v>
      </c>
      <c r="W605" s="15"/>
      <c r="X605" s="15"/>
      <c r="Y605" s="15"/>
      <c r="Z605" s="15"/>
      <c r="AA605" s="17"/>
    </row>
    <row r="606">
      <c r="A606" s="21"/>
      <c r="B606" s="18"/>
      <c r="C606" s="18"/>
      <c r="D606" s="18"/>
      <c r="E606" s="18"/>
      <c r="F606" s="18"/>
      <c r="G606" s="18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10">
        <f t="shared" si="2"/>
        <v>0</v>
      </c>
      <c r="W606" s="9"/>
      <c r="X606" s="9"/>
      <c r="Y606" s="9"/>
      <c r="Z606" s="9"/>
      <c r="AA606" s="11"/>
    </row>
    <row r="607">
      <c r="A607" s="19"/>
      <c r="B607" s="20"/>
      <c r="C607" s="20"/>
      <c r="D607" s="20"/>
      <c r="E607" s="20"/>
      <c r="F607" s="20"/>
      <c r="G607" s="20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6">
        <f t="shared" si="2"/>
        <v>0</v>
      </c>
      <c r="W607" s="15"/>
      <c r="X607" s="15"/>
      <c r="Y607" s="15"/>
      <c r="Z607" s="15"/>
      <c r="AA607" s="17"/>
    </row>
    <row r="608">
      <c r="A608" s="21"/>
      <c r="B608" s="18"/>
      <c r="C608" s="18"/>
      <c r="D608" s="18"/>
      <c r="E608" s="18"/>
      <c r="F608" s="18"/>
      <c r="G608" s="18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10">
        <f t="shared" si="2"/>
        <v>0</v>
      </c>
      <c r="W608" s="9"/>
      <c r="X608" s="9"/>
      <c r="Y608" s="9"/>
      <c r="Z608" s="9"/>
      <c r="AA608" s="11"/>
    </row>
    <row r="609">
      <c r="A609" s="19"/>
      <c r="B609" s="20"/>
      <c r="C609" s="20"/>
      <c r="D609" s="20"/>
      <c r="E609" s="20"/>
      <c r="F609" s="20"/>
      <c r="G609" s="20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6">
        <f t="shared" si="2"/>
        <v>0</v>
      </c>
      <c r="W609" s="15"/>
      <c r="X609" s="15"/>
      <c r="Y609" s="15"/>
      <c r="Z609" s="15"/>
      <c r="AA609" s="17"/>
    </row>
    <row r="610">
      <c r="A610" s="21"/>
      <c r="B610" s="18"/>
      <c r="C610" s="18"/>
      <c r="D610" s="18"/>
      <c r="E610" s="18"/>
      <c r="F610" s="18"/>
      <c r="G610" s="18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10">
        <f t="shared" si="2"/>
        <v>0</v>
      </c>
      <c r="W610" s="9"/>
      <c r="X610" s="9"/>
      <c r="Y610" s="9"/>
      <c r="Z610" s="9"/>
      <c r="AA610" s="11"/>
    </row>
    <row r="611">
      <c r="A611" s="19"/>
      <c r="B611" s="20"/>
      <c r="C611" s="20"/>
      <c r="D611" s="20"/>
      <c r="E611" s="20"/>
      <c r="F611" s="20"/>
      <c r="G611" s="20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6">
        <f t="shared" si="2"/>
        <v>0</v>
      </c>
      <c r="W611" s="15"/>
      <c r="X611" s="15"/>
      <c r="Y611" s="15"/>
      <c r="Z611" s="15"/>
      <c r="AA611" s="17"/>
    </row>
    <row r="612">
      <c r="A612" s="21"/>
      <c r="B612" s="18"/>
      <c r="C612" s="18"/>
      <c r="D612" s="18"/>
      <c r="E612" s="18"/>
      <c r="F612" s="18"/>
      <c r="G612" s="18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10">
        <f t="shared" si="2"/>
        <v>0</v>
      </c>
      <c r="W612" s="9"/>
      <c r="X612" s="9"/>
      <c r="Y612" s="9"/>
      <c r="Z612" s="9"/>
      <c r="AA612" s="11"/>
    </row>
    <row r="613">
      <c r="A613" s="19"/>
      <c r="B613" s="20"/>
      <c r="C613" s="20"/>
      <c r="D613" s="20"/>
      <c r="E613" s="20"/>
      <c r="F613" s="20"/>
      <c r="G613" s="20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6">
        <f t="shared" si="2"/>
        <v>0</v>
      </c>
      <c r="W613" s="15"/>
      <c r="X613" s="15"/>
      <c r="Y613" s="15"/>
      <c r="Z613" s="15"/>
      <c r="AA613" s="17"/>
    </row>
    <row r="614">
      <c r="A614" s="21"/>
      <c r="B614" s="18"/>
      <c r="C614" s="18"/>
      <c r="D614" s="18"/>
      <c r="E614" s="18"/>
      <c r="F614" s="18"/>
      <c r="G614" s="18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10">
        <f t="shared" si="2"/>
        <v>0</v>
      </c>
      <c r="W614" s="9"/>
      <c r="X614" s="9"/>
      <c r="Y614" s="9"/>
      <c r="Z614" s="9"/>
      <c r="AA614" s="11"/>
    </row>
    <row r="615">
      <c r="A615" s="19"/>
      <c r="B615" s="20"/>
      <c r="C615" s="20"/>
      <c r="D615" s="20"/>
      <c r="E615" s="20"/>
      <c r="F615" s="20"/>
      <c r="G615" s="20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6">
        <f t="shared" si="2"/>
        <v>0</v>
      </c>
      <c r="W615" s="15"/>
      <c r="X615" s="15"/>
      <c r="Y615" s="15"/>
      <c r="Z615" s="15"/>
      <c r="AA615" s="17"/>
    </row>
    <row r="616">
      <c r="A616" s="21"/>
      <c r="B616" s="18"/>
      <c r="C616" s="18"/>
      <c r="D616" s="18"/>
      <c r="E616" s="18"/>
      <c r="F616" s="18"/>
      <c r="G616" s="18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10">
        <f t="shared" si="2"/>
        <v>0</v>
      </c>
      <c r="W616" s="9"/>
      <c r="X616" s="9"/>
      <c r="Y616" s="9"/>
      <c r="Z616" s="9"/>
      <c r="AA616" s="11"/>
    </row>
    <row r="617">
      <c r="A617" s="19"/>
      <c r="B617" s="20"/>
      <c r="C617" s="20"/>
      <c r="D617" s="20"/>
      <c r="E617" s="20"/>
      <c r="F617" s="20"/>
      <c r="G617" s="20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6">
        <f t="shared" si="2"/>
        <v>0</v>
      </c>
      <c r="W617" s="15"/>
      <c r="X617" s="15"/>
      <c r="Y617" s="15"/>
      <c r="Z617" s="15"/>
      <c r="AA617" s="17"/>
    </row>
    <row r="618">
      <c r="A618" s="21"/>
      <c r="B618" s="18"/>
      <c r="C618" s="18"/>
      <c r="D618" s="18"/>
      <c r="E618" s="18"/>
      <c r="F618" s="18"/>
      <c r="G618" s="18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10">
        <f t="shared" si="2"/>
        <v>0</v>
      </c>
      <c r="W618" s="9"/>
      <c r="X618" s="9"/>
      <c r="Y618" s="9"/>
      <c r="Z618" s="9"/>
      <c r="AA618" s="11"/>
    </row>
    <row r="619">
      <c r="A619" s="19"/>
      <c r="B619" s="20"/>
      <c r="C619" s="20"/>
      <c r="D619" s="20"/>
      <c r="E619" s="20"/>
      <c r="F619" s="20"/>
      <c r="G619" s="20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6">
        <f t="shared" si="2"/>
        <v>0</v>
      </c>
      <c r="W619" s="15"/>
      <c r="X619" s="15"/>
      <c r="Y619" s="15"/>
      <c r="Z619" s="15"/>
      <c r="AA619" s="17"/>
    </row>
    <row r="620">
      <c r="A620" s="21"/>
      <c r="B620" s="18"/>
      <c r="C620" s="18"/>
      <c r="D620" s="18"/>
      <c r="E620" s="18"/>
      <c r="F620" s="18"/>
      <c r="G620" s="18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10">
        <f t="shared" si="2"/>
        <v>0</v>
      </c>
      <c r="W620" s="9"/>
      <c r="X620" s="9"/>
      <c r="Y620" s="9"/>
      <c r="Z620" s="9"/>
      <c r="AA620" s="11"/>
    </row>
    <row r="621">
      <c r="A621" s="19"/>
      <c r="B621" s="20"/>
      <c r="C621" s="20"/>
      <c r="D621" s="20"/>
      <c r="E621" s="20"/>
      <c r="F621" s="20"/>
      <c r="G621" s="20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6">
        <f t="shared" si="2"/>
        <v>0</v>
      </c>
      <c r="W621" s="15"/>
      <c r="X621" s="15"/>
      <c r="Y621" s="15"/>
      <c r="Z621" s="15"/>
      <c r="AA621" s="17"/>
    </row>
    <row r="622">
      <c r="A622" s="21"/>
      <c r="B622" s="18"/>
      <c r="C622" s="18"/>
      <c r="D622" s="18"/>
      <c r="E622" s="18"/>
      <c r="F622" s="18"/>
      <c r="G622" s="18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10">
        <f t="shared" si="2"/>
        <v>0</v>
      </c>
      <c r="W622" s="9"/>
      <c r="X622" s="9"/>
      <c r="Y622" s="9"/>
      <c r="Z622" s="9"/>
      <c r="AA622" s="11"/>
    </row>
    <row r="623">
      <c r="A623" s="19"/>
      <c r="B623" s="20"/>
      <c r="C623" s="20"/>
      <c r="D623" s="20"/>
      <c r="E623" s="20"/>
      <c r="F623" s="20"/>
      <c r="G623" s="20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6">
        <f t="shared" si="2"/>
        <v>0</v>
      </c>
      <c r="W623" s="15"/>
      <c r="X623" s="15"/>
      <c r="Y623" s="15"/>
      <c r="Z623" s="15"/>
      <c r="AA623" s="17"/>
    </row>
    <row r="624">
      <c r="A624" s="21"/>
      <c r="B624" s="18"/>
      <c r="C624" s="18"/>
      <c r="D624" s="18"/>
      <c r="E624" s="18"/>
      <c r="F624" s="18"/>
      <c r="G624" s="18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10">
        <f t="shared" si="2"/>
        <v>0</v>
      </c>
      <c r="W624" s="9"/>
      <c r="X624" s="9"/>
      <c r="Y624" s="9"/>
      <c r="Z624" s="9"/>
      <c r="AA624" s="11"/>
    </row>
    <row r="625">
      <c r="A625" s="19"/>
      <c r="B625" s="20"/>
      <c r="C625" s="20"/>
      <c r="D625" s="20"/>
      <c r="E625" s="20"/>
      <c r="F625" s="20"/>
      <c r="G625" s="20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6">
        <f t="shared" si="2"/>
        <v>0</v>
      </c>
      <c r="W625" s="15"/>
      <c r="X625" s="15"/>
      <c r="Y625" s="15"/>
      <c r="Z625" s="15"/>
      <c r="AA625" s="17"/>
    </row>
    <row r="626">
      <c r="A626" s="21"/>
      <c r="B626" s="18"/>
      <c r="C626" s="18"/>
      <c r="D626" s="18"/>
      <c r="E626" s="18"/>
      <c r="F626" s="18"/>
      <c r="G626" s="18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10">
        <f t="shared" si="2"/>
        <v>0</v>
      </c>
      <c r="W626" s="9"/>
      <c r="X626" s="9"/>
      <c r="Y626" s="9"/>
      <c r="Z626" s="9"/>
      <c r="AA626" s="11"/>
    </row>
    <row r="627">
      <c r="A627" s="19"/>
      <c r="B627" s="20"/>
      <c r="C627" s="20"/>
      <c r="D627" s="20"/>
      <c r="E627" s="20"/>
      <c r="F627" s="20"/>
      <c r="G627" s="20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6">
        <f t="shared" si="2"/>
        <v>0</v>
      </c>
      <c r="W627" s="15"/>
      <c r="X627" s="15"/>
      <c r="Y627" s="15"/>
      <c r="Z627" s="15"/>
      <c r="AA627" s="17"/>
    </row>
    <row r="628">
      <c r="A628" s="21"/>
      <c r="B628" s="18"/>
      <c r="C628" s="18"/>
      <c r="D628" s="18"/>
      <c r="E628" s="18"/>
      <c r="F628" s="18"/>
      <c r="G628" s="18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10">
        <f t="shared" si="2"/>
        <v>0</v>
      </c>
      <c r="W628" s="9"/>
      <c r="X628" s="9"/>
      <c r="Y628" s="9"/>
      <c r="Z628" s="9"/>
      <c r="AA628" s="11"/>
    </row>
    <row r="629">
      <c r="A629" s="19"/>
      <c r="B629" s="20"/>
      <c r="C629" s="20"/>
      <c r="D629" s="20"/>
      <c r="E629" s="20"/>
      <c r="F629" s="20"/>
      <c r="G629" s="20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6">
        <f t="shared" si="2"/>
        <v>0</v>
      </c>
      <c r="W629" s="15"/>
      <c r="X629" s="15"/>
      <c r="Y629" s="15"/>
      <c r="Z629" s="15"/>
      <c r="AA629" s="17"/>
    </row>
    <row r="630">
      <c r="A630" s="21"/>
      <c r="B630" s="18"/>
      <c r="C630" s="18"/>
      <c r="D630" s="18"/>
      <c r="E630" s="18"/>
      <c r="F630" s="18"/>
      <c r="G630" s="18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10">
        <f t="shared" si="2"/>
        <v>0</v>
      </c>
      <c r="W630" s="9"/>
      <c r="X630" s="9"/>
      <c r="Y630" s="9"/>
      <c r="Z630" s="9"/>
      <c r="AA630" s="11"/>
    </row>
    <row r="631">
      <c r="A631" s="19"/>
      <c r="B631" s="20"/>
      <c r="C631" s="20"/>
      <c r="D631" s="20"/>
      <c r="E631" s="20"/>
      <c r="F631" s="20"/>
      <c r="G631" s="20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6">
        <f t="shared" si="2"/>
        <v>0</v>
      </c>
      <c r="W631" s="15"/>
      <c r="X631" s="15"/>
      <c r="Y631" s="15"/>
      <c r="Z631" s="15"/>
      <c r="AA631" s="17"/>
    </row>
    <row r="632">
      <c r="A632" s="21"/>
      <c r="B632" s="18"/>
      <c r="C632" s="18"/>
      <c r="D632" s="18"/>
      <c r="E632" s="18"/>
      <c r="F632" s="18"/>
      <c r="G632" s="18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10">
        <f t="shared" si="2"/>
        <v>0</v>
      </c>
      <c r="W632" s="9"/>
      <c r="X632" s="9"/>
      <c r="Y632" s="9"/>
      <c r="Z632" s="9"/>
      <c r="AA632" s="11"/>
    </row>
    <row r="633">
      <c r="A633" s="19"/>
      <c r="B633" s="20"/>
      <c r="C633" s="20"/>
      <c r="D633" s="20"/>
      <c r="E633" s="20"/>
      <c r="F633" s="20"/>
      <c r="G633" s="20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6">
        <f t="shared" si="2"/>
        <v>0</v>
      </c>
      <c r="W633" s="15"/>
      <c r="X633" s="15"/>
      <c r="Y633" s="15"/>
      <c r="Z633" s="15"/>
      <c r="AA633" s="17"/>
    </row>
    <row r="634">
      <c r="A634" s="21"/>
      <c r="B634" s="18"/>
      <c r="C634" s="18"/>
      <c r="D634" s="18"/>
      <c r="E634" s="18"/>
      <c r="F634" s="18"/>
      <c r="G634" s="18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10">
        <f t="shared" si="2"/>
        <v>0</v>
      </c>
      <c r="W634" s="9"/>
      <c r="X634" s="9"/>
      <c r="Y634" s="9"/>
      <c r="Z634" s="9"/>
      <c r="AA634" s="11"/>
    </row>
    <row r="635">
      <c r="A635" s="19"/>
      <c r="B635" s="20"/>
      <c r="C635" s="20"/>
      <c r="D635" s="20"/>
      <c r="E635" s="20"/>
      <c r="F635" s="20"/>
      <c r="G635" s="20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6">
        <f t="shared" si="2"/>
        <v>0</v>
      </c>
      <c r="W635" s="15"/>
      <c r="X635" s="15"/>
      <c r="Y635" s="15"/>
      <c r="Z635" s="15"/>
      <c r="AA635" s="17"/>
    </row>
    <row r="636">
      <c r="A636" s="21"/>
      <c r="B636" s="18"/>
      <c r="C636" s="18"/>
      <c r="D636" s="18"/>
      <c r="E636" s="18"/>
      <c r="F636" s="18"/>
      <c r="G636" s="18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10">
        <f t="shared" si="2"/>
        <v>0</v>
      </c>
      <c r="W636" s="9"/>
      <c r="X636" s="9"/>
      <c r="Y636" s="9"/>
      <c r="Z636" s="9"/>
      <c r="AA636" s="11"/>
    </row>
    <row r="637">
      <c r="A637" s="19"/>
      <c r="B637" s="20"/>
      <c r="C637" s="20"/>
      <c r="D637" s="20"/>
      <c r="E637" s="20"/>
      <c r="F637" s="20"/>
      <c r="G637" s="20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6">
        <f t="shared" si="2"/>
        <v>0</v>
      </c>
      <c r="W637" s="15"/>
      <c r="X637" s="15"/>
      <c r="Y637" s="15"/>
      <c r="Z637" s="15"/>
      <c r="AA637" s="17"/>
    </row>
    <row r="638">
      <c r="A638" s="21"/>
      <c r="B638" s="18"/>
      <c r="C638" s="18"/>
      <c r="D638" s="18"/>
      <c r="E638" s="18"/>
      <c r="F638" s="18"/>
      <c r="G638" s="18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10">
        <f t="shared" si="2"/>
        <v>0</v>
      </c>
      <c r="W638" s="9"/>
      <c r="X638" s="9"/>
      <c r="Y638" s="9"/>
      <c r="Z638" s="9"/>
      <c r="AA638" s="11"/>
    </row>
    <row r="639">
      <c r="A639" s="19"/>
      <c r="B639" s="20"/>
      <c r="C639" s="20"/>
      <c r="D639" s="20"/>
      <c r="E639" s="20"/>
      <c r="F639" s="20"/>
      <c r="G639" s="20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6">
        <f t="shared" si="2"/>
        <v>0</v>
      </c>
      <c r="W639" s="15"/>
      <c r="X639" s="15"/>
      <c r="Y639" s="15"/>
      <c r="Z639" s="15"/>
      <c r="AA639" s="17"/>
    </row>
    <row r="640">
      <c r="A640" s="21"/>
      <c r="B640" s="18"/>
      <c r="C640" s="18"/>
      <c r="D640" s="18"/>
      <c r="E640" s="18"/>
      <c r="F640" s="18"/>
      <c r="G640" s="18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10">
        <f t="shared" si="2"/>
        <v>0</v>
      </c>
      <c r="W640" s="9"/>
      <c r="X640" s="9"/>
      <c r="Y640" s="9"/>
      <c r="Z640" s="9"/>
      <c r="AA640" s="11"/>
    </row>
    <row r="641">
      <c r="A641" s="19"/>
      <c r="B641" s="20"/>
      <c r="C641" s="20"/>
      <c r="D641" s="20"/>
      <c r="E641" s="20"/>
      <c r="F641" s="20"/>
      <c r="G641" s="20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6">
        <f t="shared" si="2"/>
        <v>0</v>
      </c>
      <c r="W641" s="15"/>
      <c r="X641" s="15"/>
      <c r="Y641" s="15"/>
      <c r="Z641" s="15"/>
      <c r="AA641" s="17"/>
    </row>
    <row r="642">
      <c r="A642" s="21"/>
      <c r="B642" s="18"/>
      <c r="C642" s="18"/>
      <c r="D642" s="18"/>
      <c r="E642" s="18"/>
      <c r="F642" s="18"/>
      <c r="G642" s="18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10">
        <f t="shared" si="2"/>
        <v>0</v>
      </c>
      <c r="W642" s="9"/>
      <c r="X642" s="9"/>
      <c r="Y642" s="9"/>
      <c r="Z642" s="9"/>
      <c r="AA642" s="11"/>
    </row>
    <row r="643">
      <c r="A643" s="19"/>
      <c r="B643" s="20"/>
      <c r="C643" s="20"/>
      <c r="D643" s="20"/>
      <c r="E643" s="20"/>
      <c r="F643" s="20"/>
      <c r="G643" s="20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6">
        <f t="shared" si="2"/>
        <v>0</v>
      </c>
      <c r="W643" s="15"/>
      <c r="X643" s="15"/>
      <c r="Y643" s="15"/>
      <c r="Z643" s="15"/>
      <c r="AA643" s="17"/>
    </row>
    <row r="644">
      <c r="A644" s="21"/>
      <c r="B644" s="18"/>
      <c r="C644" s="18"/>
      <c r="D644" s="18"/>
      <c r="E644" s="18"/>
      <c r="F644" s="18"/>
      <c r="G644" s="18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10">
        <f t="shared" si="2"/>
        <v>0</v>
      </c>
      <c r="W644" s="9"/>
      <c r="X644" s="9"/>
      <c r="Y644" s="9"/>
      <c r="Z644" s="9"/>
      <c r="AA644" s="11"/>
    </row>
    <row r="645">
      <c r="A645" s="19"/>
      <c r="B645" s="20"/>
      <c r="C645" s="20"/>
      <c r="D645" s="20"/>
      <c r="E645" s="20"/>
      <c r="F645" s="20"/>
      <c r="G645" s="20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6">
        <f t="shared" si="2"/>
        <v>0</v>
      </c>
      <c r="W645" s="15"/>
      <c r="X645" s="15"/>
      <c r="Y645" s="15"/>
      <c r="Z645" s="15"/>
      <c r="AA645" s="17"/>
    </row>
    <row r="646">
      <c r="A646" s="21"/>
      <c r="B646" s="18"/>
      <c r="C646" s="18"/>
      <c r="D646" s="18"/>
      <c r="E646" s="18"/>
      <c r="F646" s="18"/>
      <c r="G646" s="18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10">
        <f t="shared" si="2"/>
        <v>0</v>
      </c>
      <c r="W646" s="9"/>
      <c r="X646" s="9"/>
      <c r="Y646" s="9"/>
      <c r="Z646" s="9"/>
      <c r="AA646" s="11"/>
    </row>
    <row r="647">
      <c r="A647" s="19"/>
      <c r="B647" s="20"/>
      <c r="C647" s="20"/>
      <c r="D647" s="20"/>
      <c r="E647" s="20"/>
      <c r="F647" s="20"/>
      <c r="G647" s="20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6">
        <f t="shared" si="2"/>
        <v>0</v>
      </c>
      <c r="W647" s="15"/>
      <c r="X647" s="15"/>
      <c r="Y647" s="15"/>
      <c r="Z647" s="15"/>
      <c r="AA647" s="17"/>
    </row>
    <row r="648">
      <c r="A648" s="21"/>
      <c r="B648" s="18"/>
      <c r="C648" s="18"/>
      <c r="D648" s="18"/>
      <c r="E648" s="18"/>
      <c r="F648" s="18"/>
      <c r="G648" s="18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10">
        <f t="shared" si="2"/>
        <v>0</v>
      </c>
      <c r="W648" s="9"/>
      <c r="X648" s="9"/>
      <c r="Y648" s="9"/>
      <c r="Z648" s="9"/>
      <c r="AA648" s="11"/>
    </row>
    <row r="649">
      <c r="A649" s="19"/>
      <c r="B649" s="20"/>
      <c r="C649" s="20"/>
      <c r="D649" s="20"/>
      <c r="E649" s="20"/>
      <c r="F649" s="20"/>
      <c r="G649" s="20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6">
        <f t="shared" si="2"/>
        <v>0</v>
      </c>
      <c r="W649" s="15"/>
      <c r="X649" s="15"/>
      <c r="Y649" s="15"/>
      <c r="Z649" s="15"/>
      <c r="AA649" s="17"/>
    </row>
    <row r="650">
      <c r="A650" s="21"/>
      <c r="B650" s="18"/>
      <c r="C650" s="18"/>
      <c r="D650" s="18"/>
      <c r="E650" s="18"/>
      <c r="F650" s="18"/>
      <c r="G650" s="18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10">
        <f t="shared" si="2"/>
        <v>0</v>
      </c>
      <c r="W650" s="9"/>
      <c r="X650" s="9"/>
      <c r="Y650" s="9"/>
      <c r="Z650" s="9"/>
      <c r="AA650" s="11"/>
    </row>
    <row r="651">
      <c r="A651" s="19"/>
      <c r="B651" s="20"/>
      <c r="C651" s="20"/>
      <c r="D651" s="20"/>
      <c r="E651" s="20"/>
      <c r="F651" s="20"/>
      <c r="G651" s="20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6">
        <f t="shared" si="2"/>
        <v>0</v>
      </c>
      <c r="W651" s="15"/>
      <c r="X651" s="15"/>
      <c r="Y651" s="15"/>
      <c r="Z651" s="15"/>
      <c r="AA651" s="17"/>
    </row>
    <row r="652">
      <c r="A652" s="21"/>
      <c r="B652" s="18"/>
      <c r="C652" s="18"/>
      <c r="D652" s="18"/>
      <c r="E652" s="18"/>
      <c r="F652" s="18"/>
      <c r="G652" s="18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10">
        <f t="shared" si="2"/>
        <v>0</v>
      </c>
      <c r="W652" s="9"/>
      <c r="X652" s="9"/>
      <c r="Y652" s="9"/>
      <c r="Z652" s="9"/>
      <c r="AA652" s="11"/>
    </row>
    <row r="653">
      <c r="A653" s="19"/>
      <c r="B653" s="20"/>
      <c r="C653" s="20"/>
      <c r="D653" s="20"/>
      <c r="E653" s="20"/>
      <c r="F653" s="20"/>
      <c r="G653" s="20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6">
        <f t="shared" si="2"/>
        <v>0</v>
      </c>
      <c r="W653" s="15"/>
      <c r="X653" s="15"/>
      <c r="Y653" s="15"/>
      <c r="Z653" s="15"/>
      <c r="AA653" s="17"/>
    </row>
    <row r="654">
      <c r="A654" s="21"/>
      <c r="B654" s="18"/>
      <c r="C654" s="18"/>
      <c r="D654" s="18"/>
      <c r="E654" s="18"/>
      <c r="F654" s="18"/>
      <c r="G654" s="18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10">
        <f t="shared" si="2"/>
        <v>0</v>
      </c>
      <c r="W654" s="9"/>
      <c r="X654" s="9"/>
      <c r="Y654" s="9"/>
      <c r="Z654" s="9"/>
      <c r="AA654" s="11"/>
    </row>
    <row r="655">
      <c r="A655" s="19"/>
      <c r="B655" s="20"/>
      <c r="C655" s="20"/>
      <c r="D655" s="20"/>
      <c r="E655" s="20"/>
      <c r="F655" s="20"/>
      <c r="G655" s="20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6">
        <f t="shared" si="2"/>
        <v>0</v>
      </c>
      <c r="W655" s="15"/>
      <c r="X655" s="15"/>
      <c r="Y655" s="15"/>
      <c r="Z655" s="15"/>
      <c r="AA655" s="17"/>
    </row>
    <row r="656">
      <c r="A656" s="21"/>
      <c r="B656" s="18"/>
      <c r="C656" s="18"/>
      <c r="D656" s="18"/>
      <c r="E656" s="18"/>
      <c r="F656" s="18"/>
      <c r="G656" s="18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10">
        <f t="shared" si="2"/>
        <v>0</v>
      </c>
      <c r="W656" s="9"/>
      <c r="X656" s="9"/>
      <c r="Y656" s="9"/>
      <c r="Z656" s="9"/>
      <c r="AA656" s="11"/>
    </row>
    <row r="657">
      <c r="A657" s="19"/>
      <c r="B657" s="20"/>
      <c r="C657" s="20"/>
      <c r="D657" s="20"/>
      <c r="E657" s="20"/>
      <c r="F657" s="20"/>
      <c r="G657" s="20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6">
        <f t="shared" si="2"/>
        <v>0</v>
      </c>
      <c r="W657" s="15"/>
      <c r="X657" s="15"/>
      <c r="Y657" s="15"/>
      <c r="Z657" s="15"/>
      <c r="AA657" s="17"/>
    </row>
    <row r="658">
      <c r="A658" s="21"/>
      <c r="B658" s="18"/>
      <c r="C658" s="18"/>
      <c r="D658" s="18"/>
      <c r="E658" s="18"/>
      <c r="F658" s="18"/>
      <c r="G658" s="18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10">
        <f t="shared" si="2"/>
        <v>0</v>
      </c>
      <c r="W658" s="9"/>
      <c r="X658" s="9"/>
      <c r="Y658" s="9"/>
      <c r="Z658" s="9"/>
      <c r="AA658" s="11"/>
    </row>
    <row r="659">
      <c r="A659" s="19"/>
      <c r="B659" s="20"/>
      <c r="C659" s="20"/>
      <c r="D659" s="20"/>
      <c r="E659" s="20"/>
      <c r="F659" s="20"/>
      <c r="G659" s="20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6">
        <f t="shared" si="2"/>
        <v>0</v>
      </c>
      <c r="W659" s="15"/>
      <c r="X659" s="15"/>
      <c r="Y659" s="15"/>
      <c r="Z659" s="15"/>
      <c r="AA659" s="17"/>
    </row>
    <row r="660">
      <c r="A660" s="21"/>
      <c r="B660" s="18"/>
      <c r="C660" s="18"/>
      <c r="D660" s="18"/>
      <c r="E660" s="18"/>
      <c r="F660" s="18"/>
      <c r="G660" s="18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10">
        <f t="shared" si="2"/>
        <v>0</v>
      </c>
      <c r="W660" s="9"/>
      <c r="X660" s="9"/>
      <c r="Y660" s="9"/>
      <c r="Z660" s="9"/>
      <c r="AA660" s="11"/>
    </row>
    <row r="661">
      <c r="A661" s="19"/>
      <c r="B661" s="20"/>
      <c r="C661" s="20"/>
      <c r="D661" s="20"/>
      <c r="E661" s="20"/>
      <c r="F661" s="20"/>
      <c r="G661" s="20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6">
        <f t="shared" si="2"/>
        <v>0</v>
      </c>
      <c r="W661" s="15"/>
      <c r="X661" s="15"/>
      <c r="Y661" s="15"/>
      <c r="Z661" s="15"/>
      <c r="AA661" s="17"/>
    </row>
    <row r="662">
      <c r="A662" s="21"/>
      <c r="B662" s="18"/>
      <c r="C662" s="18"/>
      <c r="D662" s="18"/>
      <c r="E662" s="18"/>
      <c r="F662" s="18"/>
      <c r="G662" s="18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10">
        <f t="shared" si="2"/>
        <v>0</v>
      </c>
      <c r="W662" s="9"/>
      <c r="X662" s="9"/>
      <c r="Y662" s="9"/>
      <c r="Z662" s="9"/>
      <c r="AA662" s="11"/>
    </row>
    <row r="663">
      <c r="A663" s="19"/>
      <c r="B663" s="20"/>
      <c r="C663" s="20"/>
      <c r="D663" s="20"/>
      <c r="E663" s="20"/>
      <c r="F663" s="20"/>
      <c r="G663" s="20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6">
        <f t="shared" si="2"/>
        <v>0</v>
      </c>
      <c r="W663" s="15"/>
      <c r="X663" s="15"/>
      <c r="Y663" s="15"/>
      <c r="Z663" s="15"/>
      <c r="AA663" s="17"/>
    </row>
    <row r="664">
      <c r="A664" s="21"/>
      <c r="B664" s="18"/>
      <c r="C664" s="18"/>
      <c r="D664" s="18"/>
      <c r="E664" s="18"/>
      <c r="F664" s="18"/>
      <c r="G664" s="18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10">
        <f t="shared" si="2"/>
        <v>0</v>
      </c>
      <c r="W664" s="9"/>
      <c r="X664" s="9"/>
      <c r="Y664" s="9"/>
      <c r="Z664" s="9"/>
      <c r="AA664" s="11"/>
    </row>
    <row r="665">
      <c r="A665" s="19"/>
      <c r="B665" s="20"/>
      <c r="C665" s="20"/>
      <c r="D665" s="20"/>
      <c r="E665" s="20"/>
      <c r="F665" s="20"/>
      <c r="G665" s="20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6">
        <f t="shared" si="2"/>
        <v>0</v>
      </c>
      <c r="W665" s="15"/>
      <c r="X665" s="15"/>
      <c r="Y665" s="15"/>
      <c r="Z665" s="15"/>
      <c r="AA665" s="17"/>
    </row>
    <row r="666">
      <c r="A666" s="21"/>
      <c r="B666" s="18"/>
      <c r="C666" s="18"/>
      <c r="D666" s="18"/>
      <c r="E666" s="18"/>
      <c r="F666" s="18"/>
      <c r="G666" s="18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10">
        <f t="shared" si="2"/>
        <v>0</v>
      </c>
      <c r="W666" s="9"/>
      <c r="X666" s="9"/>
      <c r="Y666" s="9"/>
      <c r="Z666" s="9"/>
      <c r="AA666" s="11"/>
    </row>
    <row r="667">
      <c r="A667" s="19"/>
      <c r="B667" s="20"/>
      <c r="C667" s="20"/>
      <c r="D667" s="20"/>
      <c r="E667" s="20"/>
      <c r="F667" s="20"/>
      <c r="G667" s="20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6">
        <f t="shared" si="2"/>
        <v>0</v>
      </c>
      <c r="W667" s="15"/>
      <c r="X667" s="15"/>
      <c r="Y667" s="15"/>
      <c r="Z667" s="15"/>
      <c r="AA667" s="17"/>
    </row>
    <row r="668">
      <c r="A668" s="21"/>
      <c r="B668" s="18"/>
      <c r="C668" s="18"/>
      <c r="D668" s="18"/>
      <c r="E668" s="18"/>
      <c r="F668" s="18"/>
      <c r="G668" s="18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10">
        <f t="shared" si="2"/>
        <v>0</v>
      </c>
      <c r="W668" s="9"/>
      <c r="X668" s="9"/>
      <c r="Y668" s="9"/>
      <c r="Z668" s="9"/>
      <c r="AA668" s="11"/>
    </row>
    <row r="669">
      <c r="A669" s="19"/>
      <c r="B669" s="20"/>
      <c r="C669" s="20"/>
      <c r="D669" s="20"/>
      <c r="E669" s="20"/>
      <c r="F669" s="20"/>
      <c r="G669" s="20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6">
        <f t="shared" si="2"/>
        <v>0</v>
      </c>
      <c r="W669" s="15"/>
      <c r="X669" s="15"/>
      <c r="Y669" s="15"/>
      <c r="Z669" s="15"/>
      <c r="AA669" s="17"/>
    </row>
    <row r="670">
      <c r="A670" s="21"/>
      <c r="B670" s="18"/>
      <c r="C670" s="18"/>
      <c r="D670" s="18"/>
      <c r="E670" s="18"/>
      <c r="F670" s="18"/>
      <c r="G670" s="18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10">
        <f t="shared" si="2"/>
        <v>0</v>
      </c>
      <c r="W670" s="9"/>
      <c r="X670" s="9"/>
      <c r="Y670" s="9"/>
      <c r="Z670" s="9"/>
      <c r="AA670" s="11"/>
    </row>
    <row r="671">
      <c r="A671" s="19"/>
      <c r="B671" s="20"/>
      <c r="C671" s="20"/>
      <c r="D671" s="20"/>
      <c r="E671" s="20"/>
      <c r="F671" s="20"/>
      <c r="G671" s="20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6">
        <f t="shared" si="2"/>
        <v>0</v>
      </c>
      <c r="W671" s="15"/>
      <c r="X671" s="15"/>
      <c r="Y671" s="15"/>
      <c r="Z671" s="15"/>
      <c r="AA671" s="17"/>
    </row>
    <row r="672">
      <c r="A672" s="21"/>
      <c r="B672" s="18"/>
      <c r="C672" s="18"/>
      <c r="D672" s="18"/>
      <c r="E672" s="18"/>
      <c r="F672" s="18"/>
      <c r="G672" s="18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10">
        <f t="shared" si="2"/>
        <v>0</v>
      </c>
      <c r="W672" s="9"/>
      <c r="X672" s="9"/>
      <c r="Y672" s="9"/>
      <c r="Z672" s="9"/>
      <c r="AA672" s="11"/>
    </row>
    <row r="673">
      <c r="A673" s="19"/>
      <c r="B673" s="20"/>
      <c r="C673" s="20"/>
      <c r="D673" s="20"/>
      <c r="E673" s="20"/>
      <c r="F673" s="20"/>
      <c r="G673" s="20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6">
        <f t="shared" si="2"/>
        <v>0</v>
      </c>
      <c r="W673" s="15"/>
      <c r="X673" s="15"/>
      <c r="Y673" s="15"/>
      <c r="Z673" s="15"/>
      <c r="AA673" s="17"/>
    </row>
    <row r="674">
      <c r="A674" s="21"/>
      <c r="B674" s="18"/>
      <c r="C674" s="18"/>
      <c r="D674" s="18"/>
      <c r="E674" s="18"/>
      <c r="F674" s="18"/>
      <c r="G674" s="18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10">
        <f t="shared" si="2"/>
        <v>0</v>
      </c>
      <c r="W674" s="9"/>
      <c r="X674" s="9"/>
      <c r="Y674" s="9"/>
      <c r="Z674" s="9"/>
      <c r="AA674" s="11"/>
    </row>
    <row r="675">
      <c r="A675" s="19"/>
      <c r="B675" s="20"/>
      <c r="C675" s="20"/>
      <c r="D675" s="20"/>
      <c r="E675" s="20"/>
      <c r="F675" s="20"/>
      <c r="G675" s="20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6">
        <f t="shared" si="2"/>
        <v>0</v>
      </c>
      <c r="W675" s="15"/>
      <c r="X675" s="15"/>
      <c r="Y675" s="15"/>
      <c r="Z675" s="15"/>
      <c r="AA675" s="17"/>
    </row>
    <row r="676">
      <c r="A676" s="21"/>
      <c r="B676" s="18"/>
      <c r="C676" s="18"/>
      <c r="D676" s="18"/>
      <c r="E676" s="18"/>
      <c r="F676" s="18"/>
      <c r="G676" s="18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10">
        <f t="shared" si="2"/>
        <v>0</v>
      </c>
      <c r="W676" s="9"/>
      <c r="X676" s="9"/>
      <c r="Y676" s="9"/>
      <c r="Z676" s="9"/>
      <c r="AA676" s="11"/>
    </row>
    <row r="677">
      <c r="A677" s="19"/>
      <c r="B677" s="20"/>
      <c r="C677" s="20"/>
      <c r="D677" s="20"/>
      <c r="E677" s="20"/>
      <c r="F677" s="20"/>
      <c r="G677" s="20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6">
        <f t="shared" si="2"/>
        <v>0</v>
      </c>
      <c r="W677" s="15"/>
      <c r="X677" s="15"/>
      <c r="Y677" s="15"/>
      <c r="Z677" s="15"/>
      <c r="AA677" s="17"/>
    </row>
    <row r="678">
      <c r="A678" s="21"/>
      <c r="B678" s="18"/>
      <c r="C678" s="18"/>
      <c r="D678" s="18"/>
      <c r="E678" s="18"/>
      <c r="F678" s="18"/>
      <c r="G678" s="18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10">
        <f t="shared" si="2"/>
        <v>0</v>
      </c>
      <c r="W678" s="9"/>
      <c r="X678" s="9"/>
      <c r="Y678" s="9"/>
      <c r="Z678" s="9"/>
      <c r="AA678" s="11"/>
    </row>
    <row r="679">
      <c r="A679" s="19"/>
      <c r="B679" s="20"/>
      <c r="C679" s="20"/>
      <c r="D679" s="20"/>
      <c r="E679" s="20"/>
      <c r="F679" s="20"/>
      <c r="G679" s="20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6">
        <f t="shared" si="2"/>
        <v>0</v>
      </c>
      <c r="W679" s="15"/>
      <c r="X679" s="15"/>
      <c r="Y679" s="15"/>
      <c r="Z679" s="15"/>
      <c r="AA679" s="17"/>
    </row>
    <row r="680">
      <c r="A680" s="21"/>
      <c r="B680" s="18"/>
      <c r="C680" s="18"/>
      <c r="D680" s="18"/>
      <c r="E680" s="18"/>
      <c r="F680" s="18"/>
      <c r="G680" s="18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10">
        <f t="shared" si="2"/>
        <v>0</v>
      </c>
      <c r="W680" s="9"/>
      <c r="X680" s="9"/>
      <c r="Y680" s="9"/>
      <c r="Z680" s="9"/>
      <c r="AA680" s="11"/>
    </row>
    <row r="681">
      <c r="A681" s="19"/>
      <c r="B681" s="20"/>
      <c r="C681" s="20"/>
      <c r="D681" s="20"/>
      <c r="E681" s="20"/>
      <c r="F681" s="20"/>
      <c r="G681" s="20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6">
        <f t="shared" si="2"/>
        <v>0</v>
      </c>
      <c r="W681" s="15"/>
      <c r="X681" s="15"/>
      <c r="Y681" s="15"/>
      <c r="Z681" s="15"/>
      <c r="AA681" s="17"/>
    </row>
    <row r="682">
      <c r="A682" s="21"/>
      <c r="B682" s="18"/>
      <c r="C682" s="18"/>
      <c r="D682" s="18"/>
      <c r="E682" s="18"/>
      <c r="F682" s="18"/>
      <c r="G682" s="18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10">
        <f t="shared" si="2"/>
        <v>0</v>
      </c>
      <c r="W682" s="9"/>
      <c r="X682" s="9"/>
      <c r="Y682" s="9"/>
      <c r="Z682" s="9"/>
      <c r="AA682" s="11"/>
    </row>
    <row r="683">
      <c r="A683" s="19"/>
      <c r="B683" s="20"/>
      <c r="C683" s="20"/>
      <c r="D683" s="20"/>
      <c r="E683" s="20"/>
      <c r="F683" s="20"/>
      <c r="G683" s="20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6">
        <f t="shared" si="2"/>
        <v>0</v>
      </c>
      <c r="W683" s="15"/>
      <c r="X683" s="15"/>
      <c r="Y683" s="15"/>
      <c r="Z683" s="15"/>
      <c r="AA683" s="17"/>
    </row>
    <row r="684">
      <c r="A684" s="21"/>
      <c r="B684" s="18"/>
      <c r="C684" s="18"/>
      <c r="D684" s="18"/>
      <c r="E684" s="18"/>
      <c r="F684" s="18"/>
      <c r="G684" s="18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10">
        <f t="shared" si="2"/>
        <v>0</v>
      </c>
      <c r="W684" s="9"/>
      <c r="X684" s="9"/>
      <c r="Y684" s="9"/>
      <c r="Z684" s="9"/>
      <c r="AA684" s="11"/>
    </row>
    <row r="685">
      <c r="A685" s="19"/>
      <c r="B685" s="20"/>
      <c r="C685" s="20"/>
      <c r="D685" s="20"/>
      <c r="E685" s="20"/>
      <c r="F685" s="20"/>
      <c r="G685" s="20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6">
        <f t="shared" si="2"/>
        <v>0</v>
      </c>
      <c r="W685" s="15"/>
      <c r="X685" s="15"/>
      <c r="Y685" s="15"/>
      <c r="Z685" s="15"/>
      <c r="AA685" s="17"/>
    </row>
    <row r="686">
      <c r="A686" s="21"/>
      <c r="B686" s="18"/>
      <c r="C686" s="18"/>
      <c r="D686" s="18"/>
      <c r="E686" s="18"/>
      <c r="F686" s="18"/>
      <c r="G686" s="18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10">
        <f t="shared" si="2"/>
        <v>0</v>
      </c>
      <c r="W686" s="9"/>
      <c r="X686" s="9"/>
      <c r="Y686" s="9"/>
      <c r="Z686" s="9"/>
      <c r="AA686" s="11"/>
    </row>
    <row r="687">
      <c r="A687" s="19"/>
      <c r="B687" s="20"/>
      <c r="C687" s="20"/>
      <c r="D687" s="20"/>
      <c r="E687" s="20"/>
      <c r="F687" s="20"/>
      <c r="G687" s="20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6">
        <f t="shared" si="2"/>
        <v>0</v>
      </c>
      <c r="W687" s="15"/>
      <c r="X687" s="15"/>
      <c r="Y687" s="15"/>
      <c r="Z687" s="15"/>
      <c r="AA687" s="17"/>
    </row>
    <row r="688">
      <c r="A688" s="21"/>
      <c r="B688" s="18"/>
      <c r="C688" s="18"/>
      <c r="D688" s="18"/>
      <c r="E688" s="18"/>
      <c r="F688" s="18"/>
      <c r="G688" s="18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10">
        <f t="shared" si="2"/>
        <v>0</v>
      </c>
      <c r="W688" s="9"/>
      <c r="X688" s="9"/>
      <c r="Y688" s="9"/>
      <c r="Z688" s="9"/>
      <c r="AA688" s="11"/>
    </row>
    <row r="689">
      <c r="A689" s="19"/>
      <c r="B689" s="20"/>
      <c r="C689" s="20"/>
      <c r="D689" s="20"/>
      <c r="E689" s="20"/>
      <c r="F689" s="20"/>
      <c r="G689" s="20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6">
        <f t="shared" si="2"/>
        <v>0</v>
      </c>
      <c r="W689" s="15"/>
      <c r="X689" s="15"/>
      <c r="Y689" s="15"/>
      <c r="Z689" s="15"/>
      <c r="AA689" s="17"/>
    </row>
    <row r="690">
      <c r="A690" s="21"/>
      <c r="B690" s="18"/>
      <c r="C690" s="18"/>
      <c r="D690" s="18"/>
      <c r="E690" s="18"/>
      <c r="F690" s="18"/>
      <c r="G690" s="18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10">
        <f t="shared" si="2"/>
        <v>0</v>
      </c>
      <c r="W690" s="9"/>
      <c r="X690" s="9"/>
      <c r="Y690" s="9"/>
      <c r="Z690" s="9"/>
      <c r="AA690" s="11"/>
    </row>
    <row r="691">
      <c r="A691" s="19"/>
      <c r="B691" s="20"/>
      <c r="C691" s="20"/>
      <c r="D691" s="20"/>
      <c r="E691" s="20"/>
      <c r="F691" s="20"/>
      <c r="G691" s="20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6">
        <f t="shared" si="2"/>
        <v>0</v>
      </c>
      <c r="W691" s="15"/>
      <c r="X691" s="15"/>
      <c r="Y691" s="15"/>
      <c r="Z691" s="15"/>
      <c r="AA691" s="17"/>
    </row>
    <row r="692">
      <c r="A692" s="21"/>
      <c r="B692" s="18"/>
      <c r="C692" s="18"/>
      <c r="D692" s="18"/>
      <c r="E692" s="18"/>
      <c r="F692" s="18"/>
      <c r="G692" s="18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10">
        <f t="shared" si="2"/>
        <v>0</v>
      </c>
      <c r="W692" s="9"/>
      <c r="X692" s="9"/>
      <c r="Y692" s="9"/>
      <c r="Z692" s="9"/>
      <c r="AA692" s="11"/>
    </row>
    <row r="693">
      <c r="A693" s="19"/>
      <c r="B693" s="20"/>
      <c r="C693" s="20"/>
      <c r="D693" s="20"/>
      <c r="E693" s="20"/>
      <c r="F693" s="20"/>
      <c r="G693" s="20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6">
        <f t="shared" si="2"/>
        <v>0</v>
      </c>
      <c r="W693" s="15"/>
      <c r="X693" s="15"/>
      <c r="Y693" s="15"/>
      <c r="Z693" s="15"/>
      <c r="AA693" s="17"/>
    </row>
    <row r="694">
      <c r="A694" s="21"/>
      <c r="B694" s="18"/>
      <c r="C694" s="18"/>
      <c r="D694" s="18"/>
      <c r="E694" s="18"/>
      <c r="F694" s="18"/>
      <c r="G694" s="18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10">
        <f t="shared" si="2"/>
        <v>0</v>
      </c>
      <c r="W694" s="9"/>
      <c r="X694" s="9"/>
      <c r="Y694" s="9"/>
      <c r="Z694" s="9"/>
      <c r="AA694" s="11"/>
    </row>
    <row r="695">
      <c r="A695" s="19"/>
      <c r="B695" s="20"/>
      <c r="C695" s="20"/>
      <c r="D695" s="20"/>
      <c r="E695" s="20"/>
      <c r="F695" s="20"/>
      <c r="G695" s="20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6">
        <f t="shared" si="2"/>
        <v>0</v>
      </c>
      <c r="W695" s="15"/>
      <c r="X695" s="15"/>
      <c r="Y695" s="15"/>
      <c r="Z695" s="15"/>
      <c r="AA695" s="17"/>
    </row>
    <row r="696">
      <c r="A696" s="21"/>
      <c r="B696" s="18"/>
      <c r="C696" s="18"/>
      <c r="D696" s="18"/>
      <c r="E696" s="18"/>
      <c r="F696" s="18"/>
      <c r="G696" s="18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10">
        <f t="shared" si="2"/>
        <v>0</v>
      </c>
      <c r="W696" s="9"/>
      <c r="X696" s="9"/>
      <c r="Y696" s="9"/>
      <c r="Z696" s="9"/>
      <c r="AA696" s="11"/>
    </row>
    <row r="697">
      <c r="A697" s="19"/>
      <c r="B697" s="20"/>
      <c r="C697" s="20"/>
      <c r="D697" s="20"/>
      <c r="E697" s="20"/>
      <c r="F697" s="20"/>
      <c r="G697" s="20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6">
        <f t="shared" si="2"/>
        <v>0</v>
      </c>
      <c r="W697" s="15"/>
      <c r="X697" s="15"/>
      <c r="Y697" s="15"/>
      <c r="Z697" s="15"/>
      <c r="AA697" s="17"/>
    </row>
    <row r="698">
      <c r="A698" s="21"/>
      <c r="B698" s="18"/>
      <c r="C698" s="18"/>
      <c r="D698" s="18"/>
      <c r="E698" s="18"/>
      <c r="F698" s="18"/>
      <c r="G698" s="18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10">
        <f t="shared" si="2"/>
        <v>0</v>
      </c>
      <c r="W698" s="9"/>
      <c r="X698" s="9"/>
      <c r="Y698" s="9"/>
      <c r="Z698" s="9"/>
      <c r="AA698" s="11"/>
    </row>
    <row r="699">
      <c r="A699" s="19"/>
      <c r="B699" s="20"/>
      <c r="C699" s="20"/>
      <c r="D699" s="20"/>
      <c r="E699" s="20"/>
      <c r="F699" s="20"/>
      <c r="G699" s="20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6">
        <f t="shared" si="2"/>
        <v>0</v>
      </c>
      <c r="W699" s="15"/>
      <c r="X699" s="15"/>
      <c r="Y699" s="15"/>
      <c r="Z699" s="15"/>
      <c r="AA699" s="17"/>
    </row>
    <row r="700">
      <c r="A700" s="21"/>
      <c r="B700" s="18"/>
      <c r="C700" s="18"/>
      <c r="D700" s="18"/>
      <c r="E700" s="18"/>
      <c r="F700" s="18"/>
      <c r="G700" s="18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10">
        <f t="shared" si="2"/>
        <v>0</v>
      </c>
      <c r="W700" s="9"/>
      <c r="X700" s="9"/>
      <c r="Y700" s="9"/>
      <c r="Z700" s="9"/>
      <c r="AA700" s="11"/>
    </row>
    <row r="701">
      <c r="A701" s="19"/>
      <c r="B701" s="20"/>
      <c r="C701" s="20"/>
      <c r="D701" s="20"/>
      <c r="E701" s="20"/>
      <c r="F701" s="20"/>
      <c r="G701" s="20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6">
        <f t="shared" si="2"/>
        <v>0</v>
      </c>
      <c r="W701" s="15"/>
      <c r="X701" s="15"/>
      <c r="Y701" s="15"/>
      <c r="Z701" s="15"/>
      <c r="AA701" s="17"/>
    </row>
    <row r="702">
      <c r="A702" s="21"/>
      <c r="B702" s="18"/>
      <c r="C702" s="18"/>
      <c r="D702" s="18"/>
      <c r="E702" s="18"/>
      <c r="F702" s="18"/>
      <c r="G702" s="18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10">
        <f t="shared" si="2"/>
        <v>0</v>
      </c>
      <c r="W702" s="9"/>
      <c r="X702" s="9"/>
      <c r="Y702" s="9"/>
      <c r="Z702" s="9"/>
      <c r="AA702" s="11"/>
    </row>
    <row r="703">
      <c r="A703" s="19"/>
      <c r="B703" s="20"/>
      <c r="C703" s="20"/>
      <c r="D703" s="20"/>
      <c r="E703" s="20"/>
      <c r="F703" s="20"/>
      <c r="G703" s="20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6">
        <f t="shared" si="2"/>
        <v>0</v>
      </c>
      <c r="W703" s="15"/>
      <c r="X703" s="15"/>
      <c r="Y703" s="15"/>
      <c r="Z703" s="15"/>
      <c r="AA703" s="17"/>
    </row>
    <row r="704">
      <c r="A704" s="21"/>
      <c r="B704" s="18"/>
      <c r="C704" s="18"/>
      <c r="D704" s="18"/>
      <c r="E704" s="18"/>
      <c r="F704" s="18"/>
      <c r="G704" s="18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10">
        <f t="shared" si="2"/>
        <v>0</v>
      </c>
      <c r="W704" s="9"/>
      <c r="X704" s="9"/>
      <c r="Y704" s="9"/>
      <c r="Z704" s="9"/>
      <c r="AA704" s="11"/>
    </row>
    <row r="705">
      <c r="A705" s="19"/>
      <c r="B705" s="20"/>
      <c r="C705" s="20"/>
      <c r="D705" s="20"/>
      <c r="E705" s="20"/>
      <c r="F705" s="20"/>
      <c r="G705" s="20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6">
        <f t="shared" si="2"/>
        <v>0</v>
      </c>
      <c r="W705" s="15"/>
      <c r="X705" s="15"/>
      <c r="Y705" s="15"/>
      <c r="Z705" s="15"/>
      <c r="AA705" s="17"/>
    </row>
    <row r="706">
      <c r="A706" s="21"/>
      <c r="B706" s="18"/>
      <c r="C706" s="18"/>
      <c r="D706" s="18"/>
      <c r="E706" s="18"/>
      <c r="F706" s="18"/>
      <c r="G706" s="18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10">
        <f t="shared" si="2"/>
        <v>0</v>
      </c>
      <c r="W706" s="9"/>
      <c r="X706" s="9"/>
      <c r="Y706" s="9"/>
      <c r="Z706" s="9"/>
      <c r="AA706" s="11"/>
    </row>
    <row r="707">
      <c r="A707" s="19"/>
      <c r="B707" s="20"/>
      <c r="C707" s="20"/>
      <c r="D707" s="20"/>
      <c r="E707" s="20"/>
      <c r="F707" s="20"/>
      <c r="G707" s="20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6">
        <f t="shared" si="2"/>
        <v>0</v>
      </c>
      <c r="W707" s="15"/>
      <c r="X707" s="15"/>
      <c r="Y707" s="15"/>
      <c r="Z707" s="15"/>
      <c r="AA707" s="17"/>
    </row>
    <row r="708">
      <c r="A708" s="21"/>
      <c r="B708" s="18"/>
      <c r="C708" s="18"/>
      <c r="D708" s="18"/>
      <c r="E708" s="18"/>
      <c r="F708" s="18"/>
      <c r="G708" s="18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10">
        <f t="shared" si="2"/>
        <v>0</v>
      </c>
      <c r="W708" s="9"/>
      <c r="X708" s="9"/>
      <c r="Y708" s="9"/>
      <c r="Z708" s="9"/>
      <c r="AA708" s="11"/>
    </row>
    <row r="709">
      <c r="A709" s="19"/>
      <c r="B709" s="20"/>
      <c r="C709" s="20"/>
      <c r="D709" s="20"/>
      <c r="E709" s="20"/>
      <c r="F709" s="20"/>
      <c r="G709" s="20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6">
        <f t="shared" si="2"/>
        <v>0</v>
      </c>
      <c r="W709" s="15"/>
      <c r="X709" s="15"/>
      <c r="Y709" s="15"/>
      <c r="Z709" s="15"/>
      <c r="AA709" s="17"/>
    </row>
    <row r="710">
      <c r="A710" s="21"/>
      <c r="B710" s="18"/>
      <c r="C710" s="18"/>
      <c r="D710" s="18"/>
      <c r="E710" s="18"/>
      <c r="F710" s="18"/>
      <c r="G710" s="18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10">
        <f t="shared" si="2"/>
        <v>0</v>
      </c>
      <c r="W710" s="9"/>
      <c r="X710" s="9"/>
      <c r="Y710" s="9"/>
      <c r="Z710" s="9"/>
      <c r="AA710" s="11"/>
    </row>
    <row r="711">
      <c r="A711" s="19"/>
      <c r="B711" s="20"/>
      <c r="C711" s="20"/>
      <c r="D711" s="20"/>
      <c r="E711" s="20"/>
      <c r="F711" s="20"/>
      <c r="G711" s="20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6">
        <f t="shared" si="2"/>
        <v>0</v>
      </c>
      <c r="W711" s="15"/>
      <c r="X711" s="15"/>
      <c r="Y711" s="15"/>
      <c r="Z711" s="15"/>
      <c r="AA711" s="17"/>
    </row>
    <row r="712">
      <c r="A712" s="21"/>
      <c r="B712" s="18"/>
      <c r="C712" s="18"/>
      <c r="D712" s="18"/>
      <c r="E712" s="18"/>
      <c r="F712" s="18"/>
      <c r="G712" s="18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10">
        <f t="shared" si="2"/>
        <v>0</v>
      </c>
      <c r="W712" s="9"/>
      <c r="X712" s="9"/>
      <c r="Y712" s="9"/>
      <c r="Z712" s="9"/>
      <c r="AA712" s="11"/>
    </row>
    <row r="713">
      <c r="A713" s="19"/>
      <c r="B713" s="20"/>
      <c r="C713" s="20"/>
      <c r="D713" s="20"/>
      <c r="E713" s="20"/>
      <c r="F713" s="20"/>
      <c r="G713" s="20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6">
        <f t="shared" si="2"/>
        <v>0</v>
      </c>
      <c r="W713" s="15"/>
      <c r="X713" s="15"/>
      <c r="Y713" s="15"/>
      <c r="Z713" s="15"/>
      <c r="AA713" s="17"/>
    </row>
    <row r="714">
      <c r="A714" s="21"/>
      <c r="B714" s="18"/>
      <c r="C714" s="18"/>
      <c r="D714" s="18"/>
      <c r="E714" s="18"/>
      <c r="F714" s="18"/>
      <c r="G714" s="18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10">
        <f t="shared" si="2"/>
        <v>0</v>
      </c>
      <c r="W714" s="9"/>
      <c r="X714" s="9"/>
      <c r="Y714" s="9"/>
      <c r="Z714" s="9"/>
      <c r="AA714" s="11"/>
    </row>
    <row r="715">
      <c r="A715" s="19"/>
      <c r="B715" s="20"/>
      <c r="C715" s="20"/>
      <c r="D715" s="20"/>
      <c r="E715" s="20"/>
      <c r="F715" s="20"/>
      <c r="G715" s="20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6">
        <f t="shared" si="2"/>
        <v>0</v>
      </c>
      <c r="W715" s="15"/>
      <c r="X715" s="15"/>
      <c r="Y715" s="15"/>
      <c r="Z715" s="15"/>
      <c r="AA715" s="17"/>
    </row>
    <row r="716">
      <c r="A716" s="21"/>
      <c r="B716" s="18"/>
      <c r="C716" s="18"/>
      <c r="D716" s="18"/>
      <c r="E716" s="18"/>
      <c r="F716" s="18"/>
      <c r="G716" s="18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10">
        <f t="shared" si="2"/>
        <v>0</v>
      </c>
      <c r="W716" s="9"/>
      <c r="X716" s="9"/>
      <c r="Y716" s="9"/>
      <c r="Z716" s="9"/>
      <c r="AA716" s="11"/>
    </row>
    <row r="717">
      <c r="A717" s="19"/>
      <c r="B717" s="20"/>
      <c r="C717" s="20"/>
      <c r="D717" s="20"/>
      <c r="E717" s="20"/>
      <c r="F717" s="20"/>
      <c r="G717" s="20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6">
        <f t="shared" si="2"/>
        <v>0</v>
      </c>
      <c r="W717" s="15"/>
      <c r="X717" s="15"/>
      <c r="Y717" s="15"/>
      <c r="Z717" s="15"/>
      <c r="AA717" s="17"/>
    </row>
    <row r="718">
      <c r="A718" s="21"/>
      <c r="B718" s="18"/>
      <c r="C718" s="18"/>
      <c r="D718" s="18"/>
      <c r="E718" s="18"/>
      <c r="F718" s="18"/>
      <c r="G718" s="18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10">
        <f t="shared" si="2"/>
        <v>0</v>
      </c>
      <c r="W718" s="9"/>
      <c r="X718" s="9"/>
      <c r="Y718" s="9"/>
      <c r="Z718" s="9"/>
      <c r="AA718" s="11"/>
    </row>
    <row r="719">
      <c r="A719" s="19"/>
      <c r="B719" s="20"/>
      <c r="C719" s="20"/>
      <c r="D719" s="20"/>
      <c r="E719" s="20"/>
      <c r="F719" s="20"/>
      <c r="G719" s="20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6">
        <f t="shared" si="2"/>
        <v>0</v>
      </c>
      <c r="W719" s="15"/>
      <c r="X719" s="15"/>
      <c r="Y719" s="15"/>
      <c r="Z719" s="15"/>
      <c r="AA719" s="17"/>
    </row>
    <row r="720">
      <c r="A720" s="21"/>
      <c r="B720" s="18"/>
      <c r="C720" s="18"/>
      <c r="D720" s="18"/>
      <c r="E720" s="18"/>
      <c r="F720" s="18"/>
      <c r="G720" s="18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10">
        <f t="shared" si="2"/>
        <v>0</v>
      </c>
      <c r="W720" s="9"/>
      <c r="X720" s="9"/>
      <c r="Y720" s="9"/>
      <c r="Z720" s="9"/>
      <c r="AA720" s="11"/>
    </row>
    <row r="721">
      <c r="A721" s="19"/>
      <c r="B721" s="20"/>
      <c r="C721" s="20"/>
      <c r="D721" s="20"/>
      <c r="E721" s="20"/>
      <c r="F721" s="20"/>
      <c r="G721" s="20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6">
        <f t="shared" si="2"/>
        <v>0</v>
      </c>
      <c r="W721" s="15"/>
      <c r="X721" s="15"/>
      <c r="Y721" s="15"/>
      <c r="Z721" s="15"/>
      <c r="AA721" s="17"/>
    </row>
    <row r="722">
      <c r="A722" s="21"/>
      <c r="B722" s="18"/>
      <c r="C722" s="18"/>
      <c r="D722" s="18"/>
      <c r="E722" s="18"/>
      <c r="F722" s="18"/>
      <c r="G722" s="18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10">
        <f t="shared" si="2"/>
        <v>0</v>
      </c>
      <c r="W722" s="9"/>
      <c r="X722" s="9"/>
      <c r="Y722" s="9"/>
      <c r="Z722" s="9"/>
      <c r="AA722" s="11"/>
    </row>
    <row r="723">
      <c r="A723" s="19"/>
      <c r="B723" s="20"/>
      <c r="C723" s="20"/>
      <c r="D723" s="20"/>
      <c r="E723" s="20"/>
      <c r="F723" s="20"/>
      <c r="G723" s="20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6">
        <f t="shared" si="2"/>
        <v>0</v>
      </c>
      <c r="W723" s="15"/>
      <c r="X723" s="15"/>
      <c r="Y723" s="15"/>
      <c r="Z723" s="15"/>
      <c r="AA723" s="17"/>
    </row>
    <row r="724">
      <c r="A724" s="21"/>
      <c r="B724" s="18"/>
      <c r="C724" s="18"/>
      <c r="D724" s="18"/>
      <c r="E724" s="18"/>
      <c r="F724" s="18"/>
      <c r="G724" s="18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10">
        <f t="shared" si="2"/>
        <v>0</v>
      </c>
      <c r="W724" s="9"/>
      <c r="X724" s="9"/>
      <c r="Y724" s="9"/>
      <c r="Z724" s="9"/>
      <c r="AA724" s="11"/>
    </row>
    <row r="725">
      <c r="A725" s="19"/>
      <c r="B725" s="20"/>
      <c r="C725" s="20"/>
      <c r="D725" s="20"/>
      <c r="E725" s="20"/>
      <c r="F725" s="20"/>
      <c r="G725" s="20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6">
        <f t="shared" si="2"/>
        <v>0</v>
      </c>
      <c r="W725" s="15"/>
      <c r="X725" s="15"/>
      <c r="Y725" s="15"/>
      <c r="Z725" s="15"/>
      <c r="AA725" s="17"/>
    </row>
    <row r="726">
      <c r="A726" s="21"/>
      <c r="B726" s="18"/>
      <c r="C726" s="18"/>
      <c r="D726" s="18"/>
      <c r="E726" s="18"/>
      <c r="F726" s="18"/>
      <c r="G726" s="18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10">
        <f t="shared" si="2"/>
        <v>0</v>
      </c>
      <c r="W726" s="9"/>
      <c r="X726" s="9"/>
      <c r="Y726" s="9"/>
      <c r="Z726" s="9"/>
      <c r="AA726" s="11"/>
    </row>
    <row r="727">
      <c r="A727" s="19"/>
      <c r="B727" s="20"/>
      <c r="C727" s="20"/>
      <c r="D727" s="20"/>
      <c r="E727" s="20"/>
      <c r="F727" s="20"/>
      <c r="G727" s="20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6">
        <f t="shared" si="2"/>
        <v>0</v>
      </c>
      <c r="W727" s="15"/>
      <c r="X727" s="15"/>
      <c r="Y727" s="15"/>
      <c r="Z727" s="15"/>
      <c r="AA727" s="17"/>
    </row>
    <row r="728">
      <c r="A728" s="21"/>
      <c r="B728" s="18"/>
      <c r="C728" s="18"/>
      <c r="D728" s="18"/>
      <c r="E728" s="18"/>
      <c r="F728" s="18"/>
      <c r="G728" s="18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10">
        <f t="shared" si="2"/>
        <v>0</v>
      </c>
      <c r="W728" s="9"/>
      <c r="X728" s="9"/>
      <c r="Y728" s="9"/>
      <c r="Z728" s="9"/>
      <c r="AA728" s="11"/>
    </row>
    <row r="729">
      <c r="A729" s="19"/>
      <c r="B729" s="20"/>
      <c r="C729" s="20"/>
      <c r="D729" s="20"/>
      <c r="E729" s="20"/>
      <c r="F729" s="20"/>
      <c r="G729" s="20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6">
        <f t="shared" si="2"/>
        <v>0</v>
      </c>
      <c r="W729" s="15"/>
      <c r="X729" s="15"/>
      <c r="Y729" s="15"/>
      <c r="Z729" s="15"/>
      <c r="AA729" s="17"/>
    </row>
    <row r="730">
      <c r="A730" s="21"/>
      <c r="B730" s="18"/>
      <c r="C730" s="18"/>
      <c r="D730" s="18"/>
      <c r="E730" s="18"/>
      <c r="F730" s="18"/>
      <c r="G730" s="18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10">
        <f t="shared" si="2"/>
        <v>0</v>
      </c>
      <c r="W730" s="9"/>
      <c r="X730" s="9"/>
      <c r="Y730" s="9"/>
      <c r="Z730" s="9"/>
      <c r="AA730" s="11"/>
    </row>
    <row r="731">
      <c r="A731" s="19"/>
      <c r="B731" s="20"/>
      <c r="C731" s="20"/>
      <c r="D731" s="20"/>
      <c r="E731" s="20"/>
      <c r="F731" s="20"/>
      <c r="G731" s="20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6">
        <f t="shared" si="2"/>
        <v>0</v>
      </c>
      <c r="W731" s="15"/>
      <c r="X731" s="15"/>
      <c r="Y731" s="15"/>
      <c r="Z731" s="15"/>
      <c r="AA731" s="17"/>
    </row>
    <row r="732">
      <c r="A732" s="21"/>
      <c r="B732" s="18"/>
      <c r="C732" s="18"/>
      <c r="D732" s="18"/>
      <c r="E732" s="18"/>
      <c r="F732" s="18"/>
      <c r="G732" s="18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10">
        <f t="shared" si="2"/>
        <v>0</v>
      </c>
      <c r="W732" s="9"/>
      <c r="X732" s="9"/>
      <c r="Y732" s="9"/>
      <c r="Z732" s="9"/>
      <c r="AA732" s="11"/>
    </row>
    <row r="733">
      <c r="A733" s="19"/>
      <c r="B733" s="20"/>
      <c r="C733" s="20"/>
      <c r="D733" s="20"/>
      <c r="E733" s="20"/>
      <c r="F733" s="20"/>
      <c r="G733" s="20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6">
        <f t="shared" si="2"/>
        <v>0</v>
      </c>
      <c r="W733" s="15"/>
      <c r="X733" s="15"/>
      <c r="Y733" s="15"/>
      <c r="Z733" s="15"/>
      <c r="AA733" s="17"/>
    </row>
    <row r="734">
      <c r="A734" s="21"/>
      <c r="B734" s="18"/>
      <c r="C734" s="18"/>
      <c r="D734" s="18"/>
      <c r="E734" s="18"/>
      <c r="F734" s="18"/>
      <c r="G734" s="18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10">
        <f t="shared" si="2"/>
        <v>0</v>
      </c>
      <c r="W734" s="9"/>
      <c r="X734" s="9"/>
      <c r="Y734" s="9"/>
      <c r="Z734" s="9"/>
      <c r="AA734" s="11"/>
    </row>
    <row r="735">
      <c r="A735" s="19"/>
      <c r="B735" s="20"/>
      <c r="C735" s="20"/>
      <c r="D735" s="20"/>
      <c r="E735" s="20"/>
      <c r="F735" s="20"/>
      <c r="G735" s="20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6">
        <f t="shared" si="2"/>
        <v>0</v>
      </c>
      <c r="W735" s="15"/>
      <c r="X735" s="15"/>
      <c r="Y735" s="15"/>
      <c r="Z735" s="15"/>
      <c r="AA735" s="17"/>
    </row>
    <row r="736">
      <c r="A736" s="21"/>
      <c r="B736" s="18"/>
      <c r="C736" s="18"/>
      <c r="D736" s="18"/>
      <c r="E736" s="18"/>
      <c r="F736" s="18"/>
      <c r="G736" s="18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10">
        <f t="shared" si="2"/>
        <v>0</v>
      </c>
      <c r="W736" s="9"/>
      <c r="X736" s="9"/>
      <c r="Y736" s="9"/>
      <c r="Z736" s="9"/>
      <c r="AA736" s="11"/>
    </row>
    <row r="737">
      <c r="A737" s="19"/>
      <c r="B737" s="20"/>
      <c r="C737" s="20"/>
      <c r="D737" s="20"/>
      <c r="E737" s="20"/>
      <c r="F737" s="20"/>
      <c r="G737" s="20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6">
        <f t="shared" si="2"/>
        <v>0</v>
      </c>
      <c r="W737" s="15"/>
      <c r="X737" s="15"/>
      <c r="Y737" s="15"/>
      <c r="Z737" s="15"/>
      <c r="AA737" s="17"/>
    </row>
    <row r="738">
      <c r="A738" s="21"/>
      <c r="B738" s="18"/>
      <c r="C738" s="18"/>
      <c r="D738" s="18"/>
      <c r="E738" s="18"/>
      <c r="F738" s="18"/>
      <c r="G738" s="18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10">
        <f t="shared" si="2"/>
        <v>0</v>
      </c>
      <c r="W738" s="9"/>
      <c r="X738" s="9"/>
      <c r="Y738" s="9"/>
      <c r="Z738" s="9"/>
      <c r="AA738" s="11"/>
    </row>
    <row r="739">
      <c r="A739" s="19"/>
      <c r="B739" s="20"/>
      <c r="C739" s="20"/>
      <c r="D739" s="20"/>
      <c r="E739" s="20"/>
      <c r="F739" s="20"/>
      <c r="G739" s="20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6">
        <f t="shared" si="2"/>
        <v>0</v>
      </c>
      <c r="W739" s="15"/>
      <c r="X739" s="15"/>
      <c r="Y739" s="15"/>
      <c r="Z739" s="15"/>
      <c r="AA739" s="17"/>
    </row>
    <row r="740">
      <c r="A740" s="21"/>
      <c r="B740" s="18"/>
      <c r="C740" s="18"/>
      <c r="D740" s="18"/>
      <c r="E740" s="18"/>
      <c r="F740" s="18"/>
      <c r="G740" s="18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10">
        <f t="shared" si="2"/>
        <v>0</v>
      </c>
      <c r="W740" s="9"/>
      <c r="X740" s="9"/>
      <c r="Y740" s="9"/>
      <c r="Z740" s="9"/>
      <c r="AA740" s="11"/>
    </row>
    <row r="741">
      <c r="A741" s="19"/>
      <c r="B741" s="20"/>
      <c r="C741" s="20"/>
      <c r="D741" s="20"/>
      <c r="E741" s="20"/>
      <c r="F741" s="20"/>
      <c r="G741" s="20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6">
        <f t="shared" si="2"/>
        <v>0</v>
      </c>
      <c r="W741" s="15"/>
      <c r="X741" s="15"/>
      <c r="Y741" s="15"/>
      <c r="Z741" s="15"/>
      <c r="AA741" s="17"/>
    </row>
    <row r="742">
      <c r="A742" s="21"/>
      <c r="B742" s="18"/>
      <c r="C742" s="18"/>
      <c r="D742" s="18"/>
      <c r="E742" s="18"/>
      <c r="F742" s="18"/>
      <c r="G742" s="18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10">
        <f t="shared" si="2"/>
        <v>0</v>
      </c>
      <c r="W742" s="9"/>
      <c r="X742" s="9"/>
      <c r="Y742" s="9"/>
      <c r="Z742" s="9"/>
      <c r="AA742" s="11"/>
    </row>
    <row r="743">
      <c r="A743" s="19"/>
      <c r="B743" s="20"/>
      <c r="C743" s="20"/>
      <c r="D743" s="20"/>
      <c r="E743" s="20"/>
      <c r="F743" s="20"/>
      <c r="G743" s="20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6">
        <f t="shared" si="2"/>
        <v>0</v>
      </c>
      <c r="W743" s="15"/>
      <c r="X743" s="15"/>
      <c r="Y743" s="15"/>
      <c r="Z743" s="15"/>
      <c r="AA743" s="17"/>
    </row>
    <row r="744">
      <c r="A744" s="21"/>
      <c r="B744" s="18"/>
      <c r="C744" s="18"/>
      <c r="D744" s="18"/>
      <c r="E744" s="18"/>
      <c r="F744" s="18"/>
      <c r="G744" s="18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10">
        <f t="shared" si="2"/>
        <v>0</v>
      </c>
      <c r="W744" s="9"/>
      <c r="X744" s="9"/>
      <c r="Y744" s="9"/>
      <c r="Z744" s="9"/>
      <c r="AA744" s="11"/>
    </row>
    <row r="745">
      <c r="A745" s="19"/>
      <c r="B745" s="20"/>
      <c r="C745" s="20"/>
      <c r="D745" s="20"/>
      <c r="E745" s="20"/>
      <c r="F745" s="20"/>
      <c r="G745" s="20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6">
        <f t="shared" si="2"/>
        <v>0</v>
      </c>
      <c r="W745" s="15"/>
      <c r="X745" s="15"/>
      <c r="Y745" s="15"/>
      <c r="Z745" s="15"/>
      <c r="AA745" s="17"/>
    </row>
    <row r="746">
      <c r="A746" s="21"/>
      <c r="B746" s="18"/>
      <c r="C746" s="18"/>
      <c r="D746" s="18"/>
      <c r="E746" s="18"/>
      <c r="F746" s="18"/>
      <c r="G746" s="18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10">
        <f t="shared" si="2"/>
        <v>0</v>
      </c>
      <c r="W746" s="9"/>
      <c r="X746" s="9"/>
      <c r="Y746" s="9"/>
      <c r="Z746" s="9"/>
      <c r="AA746" s="11"/>
    </row>
    <row r="747">
      <c r="A747" s="19"/>
      <c r="B747" s="20"/>
      <c r="C747" s="20"/>
      <c r="D747" s="20"/>
      <c r="E747" s="20"/>
      <c r="F747" s="20"/>
      <c r="G747" s="20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6">
        <f t="shared" si="2"/>
        <v>0</v>
      </c>
      <c r="W747" s="15"/>
      <c r="X747" s="15"/>
      <c r="Y747" s="15"/>
      <c r="Z747" s="15"/>
      <c r="AA747" s="17"/>
    </row>
    <row r="748">
      <c r="A748" s="21"/>
      <c r="B748" s="18"/>
      <c r="C748" s="18"/>
      <c r="D748" s="18"/>
      <c r="E748" s="18"/>
      <c r="F748" s="18"/>
      <c r="G748" s="18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10">
        <f t="shared" si="2"/>
        <v>0</v>
      </c>
      <c r="W748" s="9"/>
      <c r="X748" s="9"/>
      <c r="Y748" s="9"/>
      <c r="Z748" s="9"/>
      <c r="AA748" s="11"/>
    </row>
    <row r="749">
      <c r="A749" s="19"/>
      <c r="B749" s="20"/>
      <c r="C749" s="20"/>
      <c r="D749" s="20"/>
      <c r="E749" s="20"/>
      <c r="F749" s="20"/>
      <c r="G749" s="20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6">
        <f t="shared" si="2"/>
        <v>0</v>
      </c>
      <c r="W749" s="15"/>
      <c r="X749" s="15"/>
      <c r="Y749" s="15"/>
      <c r="Z749" s="15"/>
      <c r="AA749" s="17"/>
    </row>
    <row r="750">
      <c r="A750" s="21"/>
      <c r="B750" s="18"/>
      <c r="C750" s="18"/>
      <c r="D750" s="18"/>
      <c r="E750" s="18"/>
      <c r="F750" s="18"/>
      <c r="G750" s="18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10">
        <f t="shared" si="2"/>
        <v>0</v>
      </c>
      <c r="W750" s="9"/>
      <c r="X750" s="9"/>
      <c r="Y750" s="9"/>
      <c r="Z750" s="9"/>
      <c r="AA750" s="11"/>
    </row>
    <row r="751">
      <c r="A751" s="19"/>
      <c r="B751" s="20"/>
      <c r="C751" s="20"/>
      <c r="D751" s="20"/>
      <c r="E751" s="20"/>
      <c r="F751" s="20"/>
      <c r="G751" s="20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6">
        <f t="shared" si="2"/>
        <v>0</v>
      </c>
      <c r="W751" s="15"/>
      <c r="X751" s="15"/>
      <c r="Y751" s="15"/>
      <c r="Z751" s="15"/>
      <c r="AA751" s="17"/>
    </row>
    <row r="752">
      <c r="A752" s="21"/>
      <c r="B752" s="18"/>
      <c r="C752" s="18"/>
      <c r="D752" s="18"/>
      <c r="E752" s="18"/>
      <c r="F752" s="18"/>
      <c r="G752" s="18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10">
        <f t="shared" si="2"/>
        <v>0</v>
      </c>
      <c r="W752" s="9"/>
      <c r="X752" s="9"/>
      <c r="Y752" s="9"/>
      <c r="Z752" s="9"/>
      <c r="AA752" s="11"/>
    </row>
    <row r="753">
      <c r="A753" s="19"/>
      <c r="B753" s="20"/>
      <c r="C753" s="20"/>
      <c r="D753" s="20"/>
      <c r="E753" s="20"/>
      <c r="F753" s="20"/>
      <c r="G753" s="20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6">
        <f t="shared" si="2"/>
        <v>0</v>
      </c>
      <c r="W753" s="15"/>
      <c r="X753" s="15"/>
      <c r="Y753" s="15"/>
      <c r="Z753" s="15"/>
      <c r="AA753" s="17"/>
    </row>
    <row r="754">
      <c r="A754" s="21"/>
      <c r="B754" s="18"/>
      <c r="C754" s="18"/>
      <c r="D754" s="18"/>
      <c r="E754" s="18"/>
      <c r="F754" s="18"/>
      <c r="G754" s="18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10">
        <f t="shared" si="2"/>
        <v>0</v>
      </c>
      <c r="W754" s="9"/>
      <c r="X754" s="9"/>
      <c r="Y754" s="9"/>
      <c r="Z754" s="9"/>
      <c r="AA754" s="11"/>
    </row>
    <row r="755">
      <c r="A755" s="19"/>
      <c r="B755" s="20"/>
      <c r="C755" s="20"/>
      <c r="D755" s="20"/>
      <c r="E755" s="20"/>
      <c r="F755" s="20"/>
      <c r="G755" s="20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6">
        <f t="shared" si="2"/>
        <v>0</v>
      </c>
      <c r="W755" s="15"/>
      <c r="X755" s="15"/>
      <c r="Y755" s="15"/>
      <c r="Z755" s="15"/>
      <c r="AA755" s="17"/>
    </row>
    <row r="756">
      <c r="A756" s="21"/>
      <c r="B756" s="18"/>
      <c r="C756" s="18"/>
      <c r="D756" s="18"/>
      <c r="E756" s="18"/>
      <c r="F756" s="18"/>
      <c r="G756" s="18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10">
        <f t="shared" si="2"/>
        <v>0</v>
      </c>
      <c r="W756" s="9"/>
      <c r="X756" s="9"/>
      <c r="Y756" s="9"/>
      <c r="Z756" s="9"/>
      <c r="AA756" s="11"/>
    </row>
    <row r="757">
      <c r="A757" s="19"/>
      <c r="B757" s="20"/>
      <c r="C757" s="20"/>
      <c r="D757" s="20"/>
      <c r="E757" s="20"/>
      <c r="F757" s="20"/>
      <c r="G757" s="20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6">
        <f t="shared" si="2"/>
        <v>0</v>
      </c>
      <c r="W757" s="15"/>
      <c r="X757" s="15"/>
      <c r="Y757" s="15"/>
      <c r="Z757" s="15"/>
      <c r="AA757" s="17"/>
    </row>
    <row r="758">
      <c r="A758" s="21"/>
      <c r="B758" s="18"/>
      <c r="C758" s="18"/>
      <c r="D758" s="18"/>
      <c r="E758" s="18"/>
      <c r="F758" s="18"/>
      <c r="G758" s="18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10">
        <f t="shared" si="2"/>
        <v>0</v>
      </c>
      <c r="W758" s="9"/>
      <c r="X758" s="9"/>
      <c r="Y758" s="9"/>
      <c r="Z758" s="9"/>
      <c r="AA758" s="11"/>
    </row>
    <row r="759">
      <c r="A759" s="19"/>
      <c r="B759" s="20"/>
      <c r="C759" s="20"/>
      <c r="D759" s="20"/>
      <c r="E759" s="20"/>
      <c r="F759" s="20"/>
      <c r="G759" s="20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6">
        <f t="shared" si="2"/>
        <v>0</v>
      </c>
      <c r="W759" s="15"/>
      <c r="X759" s="15"/>
      <c r="Y759" s="15"/>
      <c r="Z759" s="15"/>
      <c r="AA759" s="17"/>
    </row>
    <row r="760">
      <c r="A760" s="21"/>
      <c r="B760" s="18"/>
      <c r="C760" s="18"/>
      <c r="D760" s="18"/>
      <c r="E760" s="18"/>
      <c r="F760" s="18"/>
      <c r="G760" s="18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10">
        <f t="shared" si="2"/>
        <v>0</v>
      </c>
      <c r="W760" s="9"/>
      <c r="X760" s="9"/>
      <c r="Y760" s="9"/>
      <c r="Z760" s="9"/>
      <c r="AA760" s="11"/>
    </row>
    <row r="761">
      <c r="A761" s="19"/>
      <c r="B761" s="20"/>
      <c r="C761" s="20"/>
      <c r="D761" s="20"/>
      <c r="E761" s="20"/>
      <c r="F761" s="20"/>
      <c r="G761" s="20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6">
        <f t="shared" si="2"/>
        <v>0</v>
      </c>
      <c r="W761" s="15"/>
      <c r="X761" s="15"/>
      <c r="Y761" s="15"/>
      <c r="Z761" s="15"/>
      <c r="AA761" s="17"/>
    </row>
    <row r="762">
      <c r="A762" s="21"/>
      <c r="B762" s="18"/>
      <c r="C762" s="18"/>
      <c r="D762" s="18"/>
      <c r="E762" s="18"/>
      <c r="F762" s="18"/>
      <c r="G762" s="18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10">
        <f t="shared" si="2"/>
        <v>0</v>
      </c>
      <c r="W762" s="9"/>
      <c r="X762" s="9"/>
      <c r="Y762" s="9"/>
      <c r="Z762" s="9"/>
      <c r="AA762" s="11"/>
    </row>
    <row r="763">
      <c r="A763" s="19"/>
      <c r="B763" s="20"/>
      <c r="C763" s="20"/>
      <c r="D763" s="20"/>
      <c r="E763" s="20"/>
      <c r="F763" s="20"/>
      <c r="G763" s="20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6">
        <f t="shared" si="2"/>
        <v>0</v>
      </c>
      <c r="W763" s="15"/>
      <c r="X763" s="15"/>
      <c r="Y763" s="15"/>
      <c r="Z763" s="15"/>
      <c r="AA763" s="17"/>
    </row>
    <row r="764">
      <c r="A764" s="21"/>
      <c r="B764" s="18"/>
      <c r="C764" s="18"/>
      <c r="D764" s="18"/>
      <c r="E764" s="18"/>
      <c r="F764" s="18"/>
      <c r="G764" s="18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10">
        <f t="shared" si="2"/>
        <v>0</v>
      </c>
      <c r="W764" s="9"/>
      <c r="X764" s="9"/>
      <c r="Y764" s="9"/>
      <c r="Z764" s="9"/>
      <c r="AA764" s="11"/>
    </row>
    <row r="765">
      <c r="A765" s="19"/>
      <c r="B765" s="20"/>
      <c r="C765" s="20"/>
      <c r="D765" s="20"/>
      <c r="E765" s="20"/>
      <c r="F765" s="20"/>
      <c r="G765" s="20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6">
        <f t="shared" si="2"/>
        <v>0</v>
      </c>
      <c r="W765" s="15"/>
      <c r="X765" s="15"/>
      <c r="Y765" s="15"/>
      <c r="Z765" s="15"/>
      <c r="AA765" s="17"/>
    </row>
    <row r="766">
      <c r="A766" s="21"/>
      <c r="B766" s="18"/>
      <c r="C766" s="18"/>
      <c r="D766" s="18"/>
      <c r="E766" s="18"/>
      <c r="F766" s="18"/>
      <c r="G766" s="18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10">
        <f t="shared" si="2"/>
        <v>0</v>
      </c>
      <c r="W766" s="9"/>
      <c r="X766" s="9"/>
      <c r="Y766" s="9"/>
      <c r="Z766" s="9"/>
      <c r="AA766" s="11"/>
    </row>
    <row r="767">
      <c r="A767" s="19"/>
      <c r="B767" s="20"/>
      <c r="C767" s="20"/>
      <c r="D767" s="20"/>
      <c r="E767" s="20"/>
      <c r="F767" s="20"/>
      <c r="G767" s="20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6">
        <f t="shared" si="2"/>
        <v>0</v>
      </c>
      <c r="W767" s="15"/>
      <c r="X767" s="15"/>
      <c r="Y767" s="15"/>
      <c r="Z767" s="15"/>
      <c r="AA767" s="17"/>
    </row>
    <row r="768">
      <c r="A768" s="21"/>
      <c r="B768" s="18"/>
      <c r="C768" s="18"/>
      <c r="D768" s="18"/>
      <c r="E768" s="18"/>
      <c r="F768" s="18"/>
      <c r="G768" s="18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10">
        <f t="shared" si="2"/>
        <v>0</v>
      </c>
      <c r="W768" s="9"/>
      <c r="X768" s="9"/>
      <c r="Y768" s="9"/>
      <c r="Z768" s="9"/>
      <c r="AA768" s="11"/>
    </row>
    <row r="769">
      <c r="A769" s="19"/>
      <c r="B769" s="20"/>
      <c r="C769" s="20"/>
      <c r="D769" s="20"/>
      <c r="E769" s="20"/>
      <c r="F769" s="20"/>
      <c r="G769" s="20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6">
        <f t="shared" si="2"/>
        <v>0</v>
      </c>
      <c r="W769" s="15"/>
      <c r="X769" s="15"/>
      <c r="Y769" s="15"/>
      <c r="Z769" s="15"/>
      <c r="AA769" s="17"/>
    </row>
    <row r="770">
      <c r="A770" s="21"/>
      <c r="B770" s="18"/>
      <c r="C770" s="18"/>
      <c r="D770" s="18"/>
      <c r="E770" s="18"/>
      <c r="F770" s="18"/>
      <c r="G770" s="18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10">
        <f t="shared" si="2"/>
        <v>0</v>
      </c>
      <c r="W770" s="9"/>
      <c r="X770" s="9"/>
      <c r="Y770" s="9"/>
      <c r="Z770" s="9"/>
      <c r="AA770" s="11"/>
    </row>
    <row r="771">
      <c r="A771" s="19"/>
      <c r="B771" s="20"/>
      <c r="C771" s="20"/>
      <c r="D771" s="20"/>
      <c r="E771" s="20"/>
      <c r="F771" s="20"/>
      <c r="G771" s="20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6">
        <f t="shared" si="2"/>
        <v>0</v>
      </c>
      <c r="W771" s="15"/>
      <c r="X771" s="15"/>
      <c r="Y771" s="15"/>
      <c r="Z771" s="15"/>
      <c r="AA771" s="17"/>
    </row>
    <row r="772">
      <c r="A772" s="21"/>
      <c r="B772" s="18"/>
      <c r="C772" s="18"/>
      <c r="D772" s="18"/>
      <c r="E772" s="18"/>
      <c r="F772" s="18"/>
      <c r="G772" s="18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10">
        <f t="shared" si="2"/>
        <v>0</v>
      </c>
      <c r="W772" s="9"/>
      <c r="X772" s="9"/>
      <c r="Y772" s="9"/>
      <c r="Z772" s="9"/>
      <c r="AA772" s="11"/>
    </row>
    <row r="773">
      <c r="A773" s="19"/>
      <c r="B773" s="20"/>
      <c r="C773" s="20"/>
      <c r="D773" s="20"/>
      <c r="E773" s="20"/>
      <c r="F773" s="20"/>
      <c r="G773" s="20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6">
        <f t="shared" si="2"/>
        <v>0</v>
      </c>
      <c r="W773" s="15"/>
      <c r="X773" s="15"/>
      <c r="Y773" s="15"/>
      <c r="Z773" s="15"/>
      <c r="AA773" s="17"/>
    </row>
    <row r="774">
      <c r="A774" s="21"/>
      <c r="B774" s="18"/>
      <c r="C774" s="18"/>
      <c r="D774" s="18"/>
      <c r="E774" s="18"/>
      <c r="F774" s="18"/>
      <c r="G774" s="18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10">
        <f t="shared" si="2"/>
        <v>0</v>
      </c>
      <c r="W774" s="9"/>
      <c r="X774" s="9"/>
      <c r="Y774" s="9"/>
      <c r="Z774" s="9"/>
      <c r="AA774" s="11"/>
    </row>
    <row r="775">
      <c r="A775" s="19"/>
      <c r="B775" s="20"/>
      <c r="C775" s="20"/>
      <c r="D775" s="20"/>
      <c r="E775" s="20"/>
      <c r="F775" s="20"/>
      <c r="G775" s="20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6">
        <f t="shared" si="2"/>
        <v>0</v>
      </c>
      <c r="W775" s="15"/>
      <c r="X775" s="15"/>
      <c r="Y775" s="15"/>
      <c r="Z775" s="15"/>
      <c r="AA775" s="17"/>
    </row>
    <row r="776">
      <c r="A776" s="21"/>
      <c r="B776" s="18"/>
      <c r="C776" s="18"/>
      <c r="D776" s="18"/>
      <c r="E776" s="18"/>
      <c r="F776" s="18"/>
      <c r="G776" s="18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10">
        <f t="shared" si="2"/>
        <v>0</v>
      </c>
      <c r="W776" s="9"/>
      <c r="X776" s="9"/>
      <c r="Y776" s="9"/>
      <c r="Z776" s="9"/>
      <c r="AA776" s="11"/>
    </row>
    <row r="777">
      <c r="A777" s="19"/>
      <c r="B777" s="20"/>
      <c r="C777" s="20"/>
      <c r="D777" s="20"/>
      <c r="E777" s="20"/>
      <c r="F777" s="20"/>
      <c r="G777" s="20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6">
        <f t="shared" si="2"/>
        <v>0</v>
      </c>
      <c r="W777" s="15"/>
      <c r="X777" s="15"/>
      <c r="Y777" s="15"/>
      <c r="Z777" s="15"/>
      <c r="AA777" s="17"/>
    </row>
    <row r="778">
      <c r="A778" s="21"/>
      <c r="B778" s="18"/>
      <c r="C778" s="18"/>
      <c r="D778" s="18"/>
      <c r="E778" s="18"/>
      <c r="F778" s="18"/>
      <c r="G778" s="18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10">
        <f t="shared" si="2"/>
        <v>0</v>
      </c>
      <c r="W778" s="9"/>
      <c r="X778" s="9"/>
      <c r="Y778" s="9"/>
      <c r="Z778" s="9"/>
      <c r="AA778" s="11"/>
    </row>
    <row r="779">
      <c r="A779" s="19"/>
      <c r="B779" s="20"/>
      <c r="C779" s="20"/>
      <c r="D779" s="20"/>
      <c r="E779" s="20"/>
      <c r="F779" s="20"/>
      <c r="G779" s="20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6">
        <f t="shared" si="2"/>
        <v>0</v>
      </c>
      <c r="W779" s="15"/>
      <c r="X779" s="15"/>
      <c r="Y779" s="15"/>
      <c r="Z779" s="15"/>
      <c r="AA779" s="17"/>
    </row>
    <row r="780">
      <c r="A780" s="21"/>
      <c r="B780" s="18"/>
      <c r="C780" s="18"/>
      <c r="D780" s="18"/>
      <c r="E780" s="18"/>
      <c r="F780" s="18"/>
      <c r="G780" s="18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10">
        <f t="shared" si="2"/>
        <v>0</v>
      </c>
      <c r="W780" s="9"/>
      <c r="X780" s="9"/>
      <c r="Y780" s="9"/>
      <c r="Z780" s="9"/>
      <c r="AA780" s="11"/>
    </row>
    <row r="781">
      <c r="A781" s="19"/>
      <c r="B781" s="20"/>
      <c r="C781" s="20"/>
      <c r="D781" s="20"/>
      <c r="E781" s="20"/>
      <c r="F781" s="20"/>
      <c r="G781" s="20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6">
        <f t="shared" si="2"/>
        <v>0</v>
      </c>
      <c r="W781" s="15"/>
      <c r="X781" s="15"/>
      <c r="Y781" s="15"/>
      <c r="Z781" s="15"/>
      <c r="AA781" s="17"/>
    </row>
    <row r="782">
      <c r="A782" s="21"/>
      <c r="B782" s="18"/>
      <c r="C782" s="18"/>
      <c r="D782" s="18"/>
      <c r="E782" s="18"/>
      <c r="F782" s="18"/>
      <c r="G782" s="18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10">
        <f t="shared" si="2"/>
        <v>0</v>
      </c>
      <c r="W782" s="9"/>
      <c r="X782" s="9"/>
      <c r="Y782" s="9"/>
      <c r="Z782" s="9"/>
      <c r="AA782" s="11"/>
    </row>
    <row r="783">
      <c r="A783" s="19"/>
      <c r="B783" s="20"/>
      <c r="C783" s="20"/>
      <c r="D783" s="20"/>
      <c r="E783" s="20"/>
      <c r="F783" s="20"/>
      <c r="G783" s="20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6">
        <f t="shared" si="2"/>
        <v>0</v>
      </c>
      <c r="W783" s="15"/>
      <c r="X783" s="15"/>
      <c r="Y783" s="15"/>
      <c r="Z783" s="15"/>
      <c r="AA783" s="17"/>
    </row>
    <row r="784">
      <c r="A784" s="21"/>
      <c r="B784" s="18"/>
      <c r="C784" s="18"/>
      <c r="D784" s="18"/>
      <c r="E784" s="18"/>
      <c r="F784" s="18"/>
      <c r="G784" s="18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10">
        <f t="shared" si="2"/>
        <v>0</v>
      </c>
      <c r="W784" s="9"/>
      <c r="X784" s="9"/>
      <c r="Y784" s="9"/>
      <c r="Z784" s="9"/>
      <c r="AA784" s="11"/>
    </row>
    <row r="785">
      <c r="A785" s="19"/>
      <c r="B785" s="20"/>
      <c r="C785" s="20"/>
      <c r="D785" s="20"/>
      <c r="E785" s="20"/>
      <c r="F785" s="20"/>
      <c r="G785" s="20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6">
        <f t="shared" si="2"/>
        <v>0</v>
      </c>
      <c r="W785" s="15"/>
      <c r="X785" s="15"/>
      <c r="Y785" s="15"/>
      <c r="Z785" s="15"/>
      <c r="AA785" s="17"/>
    </row>
    <row r="786">
      <c r="A786" s="21"/>
      <c r="B786" s="18"/>
      <c r="C786" s="18"/>
      <c r="D786" s="18"/>
      <c r="E786" s="18"/>
      <c r="F786" s="18"/>
      <c r="G786" s="18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10">
        <f t="shared" si="2"/>
        <v>0</v>
      </c>
      <c r="W786" s="9"/>
      <c r="X786" s="9"/>
      <c r="Y786" s="9"/>
      <c r="Z786" s="9"/>
      <c r="AA786" s="11"/>
    </row>
    <row r="787">
      <c r="A787" s="19"/>
      <c r="B787" s="20"/>
      <c r="C787" s="20"/>
      <c r="D787" s="20"/>
      <c r="E787" s="20"/>
      <c r="F787" s="20"/>
      <c r="G787" s="20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6">
        <f t="shared" si="2"/>
        <v>0</v>
      </c>
      <c r="W787" s="15"/>
      <c r="X787" s="15"/>
      <c r="Y787" s="15"/>
      <c r="Z787" s="15"/>
      <c r="AA787" s="17"/>
    </row>
    <row r="788">
      <c r="A788" s="21"/>
      <c r="B788" s="18"/>
      <c r="C788" s="18"/>
      <c r="D788" s="18"/>
      <c r="E788" s="18"/>
      <c r="F788" s="18"/>
      <c r="G788" s="18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10">
        <f t="shared" si="2"/>
        <v>0</v>
      </c>
      <c r="W788" s="9"/>
      <c r="X788" s="9"/>
      <c r="Y788" s="9"/>
      <c r="Z788" s="9"/>
      <c r="AA788" s="11"/>
    </row>
    <row r="789">
      <c r="A789" s="19"/>
      <c r="B789" s="20"/>
      <c r="C789" s="20"/>
      <c r="D789" s="20"/>
      <c r="E789" s="20"/>
      <c r="F789" s="20"/>
      <c r="G789" s="20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6">
        <f t="shared" si="2"/>
        <v>0</v>
      </c>
      <c r="W789" s="15"/>
      <c r="X789" s="15"/>
      <c r="Y789" s="15"/>
      <c r="Z789" s="15"/>
      <c r="AA789" s="17"/>
    </row>
    <row r="790">
      <c r="A790" s="21"/>
      <c r="B790" s="18"/>
      <c r="C790" s="18"/>
      <c r="D790" s="18"/>
      <c r="E790" s="18"/>
      <c r="F790" s="18"/>
      <c r="G790" s="18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10">
        <f t="shared" si="2"/>
        <v>0</v>
      </c>
      <c r="W790" s="9"/>
      <c r="X790" s="9"/>
      <c r="Y790" s="9"/>
      <c r="Z790" s="9"/>
      <c r="AA790" s="11"/>
    </row>
    <row r="791">
      <c r="A791" s="19"/>
      <c r="B791" s="20"/>
      <c r="C791" s="20"/>
      <c r="D791" s="20"/>
      <c r="E791" s="20"/>
      <c r="F791" s="20"/>
      <c r="G791" s="20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6">
        <f t="shared" si="2"/>
        <v>0</v>
      </c>
      <c r="W791" s="15"/>
      <c r="X791" s="15"/>
      <c r="Y791" s="15"/>
      <c r="Z791" s="15"/>
      <c r="AA791" s="17"/>
    </row>
    <row r="792">
      <c r="A792" s="21"/>
      <c r="B792" s="18"/>
      <c r="C792" s="18"/>
      <c r="D792" s="18"/>
      <c r="E792" s="18"/>
      <c r="F792" s="18"/>
      <c r="G792" s="18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10">
        <f t="shared" si="2"/>
        <v>0</v>
      </c>
      <c r="W792" s="9"/>
      <c r="X792" s="9"/>
      <c r="Y792" s="9"/>
      <c r="Z792" s="9"/>
      <c r="AA792" s="11"/>
    </row>
    <row r="793">
      <c r="A793" s="19"/>
      <c r="B793" s="20"/>
      <c r="C793" s="20"/>
      <c r="D793" s="20"/>
      <c r="E793" s="20"/>
      <c r="F793" s="20"/>
      <c r="G793" s="20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6">
        <f t="shared" si="2"/>
        <v>0</v>
      </c>
      <c r="W793" s="15"/>
      <c r="X793" s="15"/>
      <c r="Y793" s="15"/>
      <c r="Z793" s="15"/>
      <c r="AA793" s="17"/>
    </row>
    <row r="794">
      <c r="A794" s="21"/>
      <c r="B794" s="18"/>
      <c r="C794" s="18"/>
      <c r="D794" s="18"/>
      <c r="E794" s="18"/>
      <c r="F794" s="18"/>
      <c r="G794" s="18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10">
        <f t="shared" si="2"/>
        <v>0</v>
      </c>
      <c r="W794" s="9"/>
      <c r="X794" s="9"/>
      <c r="Y794" s="9"/>
      <c r="Z794" s="9"/>
      <c r="AA794" s="11"/>
    </row>
    <row r="795">
      <c r="A795" s="19"/>
      <c r="B795" s="20"/>
      <c r="C795" s="20"/>
      <c r="D795" s="20"/>
      <c r="E795" s="20"/>
      <c r="F795" s="20"/>
      <c r="G795" s="20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6">
        <f t="shared" si="2"/>
        <v>0</v>
      </c>
      <c r="W795" s="15"/>
      <c r="X795" s="15"/>
      <c r="Y795" s="15"/>
      <c r="Z795" s="15"/>
      <c r="AA795" s="17"/>
    </row>
    <row r="796">
      <c r="A796" s="21"/>
      <c r="B796" s="18"/>
      <c r="C796" s="18"/>
      <c r="D796" s="18"/>
      <c r="E796" s="18"/>
      <c r="F796" s="18"/>
      <c r="G796" s="18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10">
        <f t="shared" si="2"/>
        <v>0</v>
      </c>
      <c r="W796" s="9"/>
      <c r="X796" s="9"/>
      <c r="Y796" s="9"/>
      <c r="Z796" s="9"/>
      <c r="AA796" s="11"/>
    </row>
    <row r="797">
      <c r="A797" s="19"/>
      <c r="B797" s="20"/>
      <c r="C797" s="20"/>
      <c r="D797" s="20"/>
      <c r="E797" s="20"/>
      <c r="F797" s="20"/>
      <c r="G797" s="20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6">
        <f t="shared" si="2"/>
        <v>0</v>
      </c>
      <c r="W797" s="15"/>
      <c r="X797" s="15"/>
      <c r="Y797" s="15"/>
      <c r="Z797" s="15"/>
      <c r="AA797" s="17"/>
    </row>
    <row r="798">
      <c r="A798" s="21"/>
      <c r="B798" s="18"/>
      <c r="C798" s="18"/>
      <c r="D798" s="18"/>
      <c r="E798" s="18"/>
      <c r="F798" s="18"/>
      <c r="G798" s="18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10">
        <f t="shared" si="2"/>
        <v>0</v>
      </c>
      <c r="W798" s="9"/>
      <c r="X798" s="9"/>
      <c r="Y798" s="9"/>
      <c r="Z798" s="9"/>
      <c r="AA798" s="11"/>
    </row>
    <row r="799">
      <c r="A799" s="19"/>
      <c r="B799" s="20"/>
      <c r="C799" s="20"/>
      <c r="D799" s="20"/>
      <c r="E799" s="20"/>
      <c r="F799" s="20"/>
      <c r="G799" s="20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6">
        <f t="shared" si="2"/>
        <v>0</v>
      </c>
      <c r="W799" s="15"/>
      <c r="X799" s="15"/>
      <c r="Y799" s="15"/>
      <c r="Z799" s="15"/>
      <c r="AA799" s="17"/>
    </row>
    <row r="800">
      <c r="A800" s="21"/>
      <c r="B800" s="18"/>
      <c r="C800" s="18"/>
      <c r="D800" s="18"/>
      <c r="E800" s="18"/>
      <c r="F800" s="18"/>
      <c r="G800" s="18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10">
        <f t="shared" si="2"/>
        <v>0</v>
      </c>
      <c r="W800" s="9"/>
      <c r="X800" s="9"/>
      <c r="Y800" s="9"/>
      <c r="Z800" s="9"/>
      <c r="AA800" s="11"/>
    </row>
    <row r="801">
      <c r="A801" s="19"/>
      <c r="B801" s="20"/>
      <c r="C801" s="20"/>
      <c r="D801" s="20"/>
      <c r="E801" s="20"/>
      <c r="F801" s="20"/>
      <c r="G801" s="20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6">
        <f t="shared" si="2"/>
        <v>0</v>
      </c>
      <c r="W801" s="15"/>
      <c r="X801" s="15"/>
      <c r="Y801" s="15"/>
      <c r="Z801" s="15"/>
      <c r="AA801" s="17"/>
    </row>
    <row r="802">
      <c r="A802" s="21"/>
      <c r="B802" s="18"/>
      <c r="C802" s="18"/>
      <c r="D802" s="18"/>
      <c r="E802" s="18"/>
      <c r="F802" s="18"/>
      <c r="G802" s="18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10">
        <f t="shared" si="2"/>
        <v>0</v>
      </c>
      <c r="W802" s="9"/>
      <c r="X802" s="9"/>
      <c r="Y802" s="9"/>
      <c r="Z802" s="9"/>
      <c r="AA802" s="11"/>
    </row>
    <row r="803">
      <c r="A803" s="19"/>
      <c r="B803" s="20"/>
      <c r="C803" s="20"/>
      <c r="D803" s="20"/>
      <c r="E803" s="20"/>
      <c r="F803" s="20"/>
      <c r="G803" s="20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6">
        <f t="shared" si="2"/>
        <v>0</v>
      </c>
      <c r="W803" s="15"/>
      <c r="X803" s="15"/>
      <c r="Y803" s="15"/>
      <c r="Z803" s="15"/>
      <c r="AA803" s="17"/>
    </row>
    <row r="804">
      <c r="A804" s="21"/>
      <c r="B804" s="18"/>
      <c r="C804" s="18"/>
      <c r="D804" s="18"/>
      <c r="E804" s="18"/>
      <c r="F804" s="18"/>
      <c r="G804" s="18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10">
        <f t="shared" si="2"/>
        <v>0</v>
      </c>
      <c r="W804" s="9"/>
      <c r="X804" s="9"/>
      <c r="Y804" s="9"/>
      <c r="Z804" s="9"/>
      <c r="AA804" s="11"/>
    </row>
    <row r="805">
      <c r="A805" s="19"/>
      <c r="B805" s="20"/>
      <c r="C805" s="20"/>
      <c r="D805" s="20"/>
      <c r="E805" s="20"/>
      <c r="F805" s="20"/>
      <c r="G805" s="20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6">
        <f t="shared" si="2"/>
        <v>0</v>
      </c>
      <c r="W805" s="15"/>
      <c r="X805" s="15"/>
      <c r="Y805" s="15"/>
      <c r="Z805" s="15"/>
      <c r="AA805" s="17"/>
    </row>
    <row r="806">
      <c r="A806" s="21"/>
      <c r="B806" s="18"/>
      <c r="C806" s="18"/>
      <c r="D806" s="18"/>
      <c r="E806" s="18"/>
      <c r="F806" s="18"/>
      <c r="G806" s="18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10">
        <f t="shared" si="2"/>
        <v>0</v>
      </c>
      <c r="W806" s="9"/>
      <c r="X806" s="9"/>
      <c r="Y806" s="9"/>
      <c r="Z806" s="9"/>
      <c r="AA806" s="11"/>
    </row>
    <row r="807">
      <c r="A807" s="19"/>
      <c r="B807" s="20"/>
      <c r="C807" s="20"/>
      <c r="D807" s="20"/>
      <c r="E807" s="20"/>
      <c r="F807" s="20"/>
      <c r="G807" s="20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6">
        <f t="shared" si="2"/>
        <v>0</v>
      </c>
      <c r="W807" s="15"/>
      <c r="X807" s="15"/>
      <c r="Y807" s="15"/>
      <c r="Z807" s="15"/>
      <c r="AA807" s="17"/>
    </row>
    <row r="808">
      <c r="A808" s="21"/>
      <c r="B808" s="18"/>
      <c r="C808" s="18"/>
      <c r="D808" s="18"/>
      <c r="E808" s="18"/>
      <c r="F808" s="18"/>
      <c r="G808" s="18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10">
        <f t="shared" si="2"/>
        <v>0</v>
      </c>
      <c r="W808" s="9"/>
      <c r="X808" s="9"/>
      <c r="Y808" s="9"/>
      <c r="Z808" s="9"/>
      <c r="AA808" s="11"/>
    </row>
    <row r="809">
      <c r="A809" s="19"/>
      <c r="B809" s="20"/>
      <c r="C809" s="20"/>
      <c r="D809" s="20"/>
      <c r="E809" s="20"/>
      <c r="F809" s="20"/>
      <c r="G809" s="20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6">
        <f t="shared" si="2"/>
        <v>0</v>
      </c>
      <c r="W809" s="15"/>
      <c r="X809" s="15"/>
      <c r="Y809" s="15"/>
      <c r="Z809" s="15"/>
      <c r="AA809" s="17"/>
    </row>
    <row r="810">
      <c r="A810" s="21"/>
      <c r="B810" s="18"/>
      <c r="C810" s="18"/>
      <c r="D810" s="18"/>
      <c r="E810" s="18"/>
      <c r="F810" s="18"/>
      <c r="G810" s="18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10">
        <f t="shared" si="2"/>
        <v>0</v>
      </c>
      <c r="W810" s="9"/>
      <c r="X810" s="9"/>
      <c r="Y810" s="9"/>
      <c r="Z810" s="9"/>
      <c r="AA810" s="11"/>
    </row>
    <row r="811">
      <c r="A811" s="19"/>
      <c r="B811" s="20"/>
      <c r="C811" s="20"/>
      <c r="D811" s="20"/>
      <c r="E811" s="20"/>
      <c r="F811" s="20"/>
      <c r="G811" s="20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6">
        <f t="shared" si="2"/>
        <v>0</v>
      </c>
      <c r="W811" s="15"/>
      <c r="X811" s="15"/>
      <c r="Y811" s="15"/>
      <c r="Z811" s="15"/>
      <c r="AA811" s="17"/>
    </row>
    <row r="812">
      <c r="A812" s="21"/>
      <c r="B812" s="18"/>
      <c r="C812" s="18"/>
      <c r="D812" s="18"/>
      <c r="E812" s="18"/>
      <c r="F812" s="18"/>
      <c r="G812" s="18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10">
        <f t="shared" si="2"/>
        <v>0</v>
      </c>
      <c r="W812" s="9"/>
      <c r="X812" s="9"/>
      <c r="Y812" s="9"/>
      <c r="Z812" s="9"/>
      <c r="AA812" s="11"/>
    </row>
    <row r="813">
      <c r="A813" s="19"/>
      <c r="B813" s="20"/>
      <c r="C813" s="20"/>
      <c r="D813" s="20"/>
      <c r="E813" s="20"/>
      <c r="F813" s="20"/>
      <c r="G813" s="20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6">
        <f t="shared" si="2"/>
        <v>0</v>
      </c>
      <c r="W813" s="15"/>
      <c r="X813" s="15"/>
      <c r="Y813" s="15"/>
      <c r="Z813" s="15"/>
      <c r="AA813" s="17"/>
    </row>
    <row r="814">
      <c r="A814" s="21"/>
      <c r="B814" s="18"/>
      <c r="C814" s="18"/>
      <c r="D814" s="18"/>
      <c r="E814" s="18"/>
      <c r="F814" s="18"/>
      <c r="G814" s="18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10">
        <f t="shared" si="2"/>
        <v>0</v>
      </c>
      <c r="W814" s="9"/>
      <c r="X814" s="9"/>
      <c r="Y814" s="9"/>
      <c r="Z814" s="9"/>
      <c r="AA814" s="11"/>
    </row>
    <row r="815">
      <c r="A815" s="19"/>
      <c r="B815" s="20"/>
      <c r="C815" s="20"/>
      <c r="D815" s="20"/>
      <c r="E815" s="20"/>
      <c r="F815" s="20"/>
      <c r="G815" s="20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6">
        <f t="shared" si="2"/>
        <v>0</v>
      </c>
      <c r="W815" s="15"/>
      <c r="X815" s="15"/>
      <c r="Y815" s="15"/>
      <c r="Z815" s="15"/>
      <c r="AA815" s="17"/>
    </row>
    <row r="816">
      <c r="A816" s="21"/>
      <c r="B816" s="18"/>
      <c r="C816" s="18"/>
      <c r="D816" s="18"/>
      <c r="E816" s="18"/>
      <c r="F816" s="18"/>
      <c r="G816" s="18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10">
        <f t="shared" si="2"/>
        <v>0</v>
      </c>
      <c r="W816" s="9"/>
      <c r="X816" s="9"/>
      <c r="Y816" s="9"/>
      <c r="Z816" s="9"/>
      <c r="AA816" s="11"/>
    </row>
    <row r="817">
      <c r="A817" s="19"/>
      <c r="B817" s="20"/>
      <c r="C817" s="20"/>
      <c r="D817" s="20"/>
      <c r="E817" s="20"/>
      <c r="F817" s="20"/>
      <c r="G817" s="20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6">
        <f t="shared" si="2"/>
        <v>0</v>
      </c>
      <c r="W817" s="15"/>
      <c r="X817" s="15"/>
      <c r="Y817" s="15"/>
      <c r="Z817" s="15"/>
      <c r="AA817" s="17"/>
    </row>
    <row r="818">
      <c r="A818" s="21"/>
      <c r="B818" s="18"/>
      <c r="C818" s="18"/>
      <c r="D818" s="18"/>
      <c r="E818" s="18"/>
      <c r="F818" s="18"/>
      <c r="G818" s="18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10">
        <f t="shared" si="2"/>
        <v>0</v>
      </c>
      <c r="W818" s="9"/>
      <c r="X818" s="9"/>
      <c r="Y818" s="9"/>
      <c r="Z818" s="9"/>
      <c r="AA818" s="11"/>
    </row>
    <row r="819">
      <c r="A819" s="19"/>
      <c r="B819" s="20"/>
      <c r="C819" s="20"/>
      <c r="D819" s="20"/>
      <c r="E819" s="20"/>
      <c r="F819" s="20"/>
      <c r="G819" s="20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6">
        <f t="shared" si="2"/>
        <v>0</v>
      </c>
      <c r="W819" s="15"/>
      <c r="X819" s="15"/>
      <c r="Y819" s="15"/>
      <c r="Z819" s="15"/>
      <c r="AA819" s="17"/>
    </row>
    <row r="820">
      <c r="A820" s="21"/>
      <c r="B820" s="18"/>
      <c r="C820" s="18"/>
      <c r="D820" s="18"/>
      <c r="E820" s="18"/>
      <c r="F820" s="18"/>
      <c r="G820" s="18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10">
        <f t="shared" si="2"/>
        <v>0</v>
      </c>
      <c r="W820" s="9"/>
      <c r="X820" s="9"/>
      <c r="Y820" s="9"/>
      <c r="Z820" s="9"/>
      <c r="AA820" s="11"/>
    </row>
    <row r="821">
      <c r="A821" s="19"/>
      <c r="B821" s="20"/>
      <c r="C821" s="20"/>
      <c r="D821" s="20"/>
      <c r="E821" s="20"/>
      <c r="F821" s="20"/>
      <c r="G821" s="20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6">
        <f t="shared" si="2"/>
        <v>0</v>
      </c>
      <c r="W821" s="15"/>
      <c r="X821" s="15"/>
      <c r="Y821" s="15"/>
      <c r="Z821" s="15"/>
      <c r="AA821" s="17"/>
    </row>
    <row r="822">
      <c r="A822" s="21"/>
      <c r="B822" s="18"/>
      <c r="C822" s="18"/>
      <c r="D822" s="18"/>
      <c r="E822" s="18"/>
      <c r="F822" s="18"/>
      <c r="G822" s="18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10">
        <f t="shared" si="2"/>
        <v>0</v>
      </c>
      <c r="W822" s="9"/>
      <c r="X822" s="9"/>
      <c r="Y822" s="9"/>
      <c r="Z822" s="9"/>
      <c r="AA822" s="11"/>
    </row>
    <row r="823">
      <c r="A823" s="19"/>
      <c r="B823" s="20"/>
      <c r="C823" s="20"/>
      <c r="D823" s="20"/>
      <c r="E823" s="20"/>
      <c r="F823" s="20"/>
      <c r="G823" s="20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6">
        <f t="shared" si="2"/>
        <v>0</v>
      </c>
      <c r="W823" s="15"/>
      <c r="X823" s="15"/>
      <c r="Y823" s="15"/>
      <c r="Z823" s="15"/>
      <c r="AA823" s="17"/>
    </row>
    <row r="824">
      <c r="A824" s="21"/>
      <c r="B824" s="18"/>
      <c r="C824" s="18"/>
      <c r="D824" s="18"/>
      <c r="E824" s="18"/>
      <c r="F824" s="18"/>
      <c r="G824" s="18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10">
        <f t="shared" si="2"/>
        <v>0</v>
      </c>
      <c r="W824" s="9"/>
      <c r="X824" s="9"/>
      <c r="Y824" s="9"/>
      <c r="Z824" s="9"/>
      <c r="AA824" s="11"/>
    </row>
    <row r="825">
      <c r="A825" s="19"/>
      <c r="B825" s="20"/>
      <c r="C825" s="20"/>
      <c r="D825" s="20"/>
      <c r="E825" s="20"/>
      <c r="F825" s="20"/>
      <c r="G825" s="20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6">
        <f t="shared" si="2"/>
        <v>0</v>
      </c>
      <c r="W825" s="15"/>
      <c r="X825" s="15"/>
      <c r="Y825" s="15"/>
      <c r="Z825" s="15"/>
      <c r="AA825" s="17"/>
    </row>
    <row r="826">
      <c r="A826" s="21"/>
      <c r="B826" s="18"/>
      <c r="C826" s="18"/>
      <c r="D826" s="18"/>
      <c r="E826" s="18"/>
      <c r="F826" s="18"/>
      <c r="G826" s="18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10">
        <f t="shared" si="2"/>
        <v>0</v>
      </c>
      <c r="W826" s="9"/>
      <c r="X826" s="9"/>
      <c r="Y826" s="9"/>
      <c r="Z826" s="9"/>
      <c r="AA826" s="11"/>
    </row>
    <row r="827">
      <c r="A827" s="19"/>
      <c r="B827" s="20"/>
      <c r="C827" s="20"/>
      <c r="D827" s="20"/>
      <c r="E827" s="20"/>
      <c r="F827" s="20"/>
      <c r="G827" s="20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6">
        <f t="shared" si="2"/>
        <v>0</v>
      </c>
      <c r="W827" s="15"/>
      <c r="X827" s="15"/>
      <c r="Y827" s="15"/>
      <c r="Z827" s="15"/>
      <c r="AA827" s="17"/>
    </row>
    <row r="828">
      <c r="A828" s="21"/>
      <c r="B828" s="18"/>
      <c r="C828" s="18"/>
      <c r="D828" s="18"/>
      <c r="E828" s="18"/>
      <c r="F828" s="18"/>
      <c r="G828" s="18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10">
        <f t="shared" si="2"/>
        <v>0</v>
      </c>
      <c r="W828" s="9"/>
      <c r="X828" s="9"/>
      <c r="Y828" s="9"/>
      <c r="Z828" s="9"/>
      <c r="AA828" s="11"/>
    </row>
    <row r="829">
      <c r="A829" s="19"/>
      <c r="B829" s="20"/>
      <c r="C829" s="20"/>
      <c r="D829" s="20"/>
      <c r="E829" s="20"/>
      <c r="F829" s="20"/>
      <c r="G829" s="20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6">
        <f t="shared" si="2"/>
        <v>0</v>
      </c>
      <c r="W829" s="15"/>
      <c r="X829" s="15"/>
      <c r="Y829" s="15"/>
      <c r="Z829" s="15"/>
      <c r="AA829" s="17"/>
    </row>
    <row r="830">
      <c r="A830" s="21"/>
      <c r="B830" s="18"/>
      <c r="C830" s="18"/>
      <c r="D830" s="18"/>
      <c r="E830" s="18"/>
      <c r="F830" s="18"/>
      <c r="G830" s="18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10">
        <f t="shared" si="2"/>
        <v>0</v>
      </c>
      <c r="W830" s="9"/>
      <c r="X830" s="9"/>
      <c r="Y830" s="9"/>
      <c r="Z830" s="9"/>
      <c r="AA830" s="11"/>
    </row>
    <row r="831">
      <c r="A831" s="19"/>
      <c r="B831" s="20"/>
      <c r="C831" s="20"/>
      <c r="D831" s="20"/>
      <c r="E831" s="20"/>
      <c r="F831" s="20"/>
      <c r="G831" s="20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6">
        <f t="shared" si="2"/>
        <v>0</v>
      </c>
      <c r="W831" s="15"/>
      <c r="X831" s="15"/>
      <c r="Y831" s="15"/>
      <c r="Z831" s="15"/>
      <c r="AA831" s="17"/>
    </row>
    <row r="832">
      <c r="A832" s="21"/>
      <c r="B832" s="18"/>
      <c r="C832" s="18"/>
      <c r="D832" s="18"/>
      <c r="E832" s="18"/>
      <c r="F832" s="18"/>
      <c r="G832" s="18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10">
        <f t="shared" si="2"/>
        <v>0</v>
      </c>
      <c r="W832" s="9"/>
      <c r="X832" s="9"/>
      <c r="Y832" s="9"/>
      <c r="Z832" s="9"/>
      <c r="AA832" s="11"/>
    </row>
    <row r="833">
      <c r="A833" s="19"/>
      <c r="B833" s="20"/>
      <c r="C833" s="20"/>
      <c r="D833" s="20"/>
      <c r="E833" s="20"/>
      <c r="F833" s="20"/>
      <c r="G833" s="20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6">
        <f t="shared" si="2"/>
        <v>0</v>
      </c>
      <c r="W833" s="15"/>
      <c r="X833" s="15"/>
      <c r="Y833" s="15"/>
      <c r="Z833" s="15"/>
      <c r="AA833" s="17"/>
    </row>
    <row r="834">
      <c r="A834" s="21"/>
      <c r="B834" s="18"/>
      <c r="C834" s="18"/>
      <c r="D834" s="18"/>
      <c r="E834" s="18"/>
      <c r="F834" s="18"/>
      <c r="G834" s="18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10">
        <f t="shared" si="2"/>
        <v>0</v>
      </c>
      <c r="W834" s="9"/>
      <c r="X834" s="9"/>
      <c r="Y834" s="9"/>
      <c r="Z834" s="9"/>
      <c r="AA834" s="11"/>
    </row>
    <row r="835">
      <c r="A835" s="19"/>
      <c r="B835" s="20"/>
      <c r="C835" s="20"/>
      <c r="D835" s="20"/>
      <c r="E835" s="20"/>
      <c r="F835" s="20"/>
      <c r="G835" s="20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6">
        <f t="shared" si="2"/>
        <v>0</v>
      </c>
      <c r="W835" s="15"/>
      <c r="X835" s="15"/>
      <c r="Y835" s="15"/>
      <c r="Z835" s="15"/>
      <c r="AA835" s="17"/>
    </row>
    <row r="836">
      <c r="A836" s="21"/>
      <c r="B836" s="18"/>
      <c r="C836" s="18"/>
      <c r="D836" s="18"/>
      <c r="E836" s="18"/>
      <c r="F836" s="18"/>
      <c r="G836" s="18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10">
        <f t="shared" si="2"/>
        <v>0</v>
      </c>
      <c r="W836" s="9"/>
      <c r="X836" s="9"/>
      <c r="Y836" s="9"/>
      <c r="Z836" s="9"/>
      <c r="AA836" s="11"/>
    </row>
    <row r="837">
      <c r="A837" s="19"/>
      <c r="B837" s="20"/>
      <c r="C837" s="20"/>
      <c r="D837" s="20"/>
      <c r="E837" s="20"/>
      <c r="F837" s="20"/>
      <c r="G837" s="20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6">
        <f t="shared" si="2"/>
        <v>0</v>
      </c>
      <c r="W837" s="15"/>
      <c r="X837" s="15"/>
      <c r="Y837" s="15"/>
      <c r="Z837" s="15"/>
      <c r="AA837" s="17"/>
    </row>
    <row r="838">
      <c r="A838" s="21"/>
      <c r="B838" s="18"/>
      <c r="C838" s="18"/>
      <c r="D838" s="18"/>
      <c r="E838" s="18"/>
      <c r="F838" s="18"/>
      <c r="G838" s="18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10">
        <f t="shared" si="2"/>
        <v>0</v>
      </c>
      <c r="W838" s="9"/>
      <c r="X838" s="9"/>
      <c r="Y838" s="9"/>
      <c r="Z838" s="9"/>
      <c r="AA838" s="11"/>
    </row>
    <row r="839">
      <c r="A839" s="19"/>
      <c r="B839" s="20"/>
      <c r="C839" s="20"/>
      <c r="D839" s="20"/>
      <c r="E839" s="20"/>
      <c r="F839" s="20"/>
      <c r="G839" s="20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6">
        <f t="shared" si="2"/>
        <v>0</v>
      </c>
      <c r="W839" s="15"/>
      <c r="X839" s="15"/>
      <c r="Y839" s="15"/>
      <c r="Z839" s="15"/>
      <c r="AA839" s="17"/>
    </row>
    <row r="840">
      <c r="A840" s="21"/>
      <c r="B840" s="18"/>
      <c r="C840" s="18"/>
      <c r="D840" s="18"/>
      <c r="E840" s="18"/>
      <c r="F840" s="18"/>
      <c r="G840" s="18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10">
        <f t="shared" si="2"/>
        <v>0</v>
      </c>
      <c r="W840" s="9"/>
      <c r="X840" s="9"/>
      <c r="Y840" s="9"/>
      <c r="Z840" s="9"/>
      <c r="AA840" s="11"/>
    </row>
    <row r="841">
      <c r="A841" s="19"/>
      <c r="B841" s="20"/>
      <c r="C841" s="20"/>
      <c r="D841" s="20"/>
      <c r="E841" s="20"/>
      <c r="F841" s="20"/>
      <c r="G841" s="20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6">
        <f t="shared" si="2"/>
        <v>0</v>
      </c>
      <c r="W841" s="15"/>
      <c r="X841" s="15"/>
      <c r="Y841" s="15"/>
      <c r="Z841" s="15"/>
      <c r="AA841" s="17"/>
    </row>
    <row r="842">
      <c r="A842" s="21"/>
      <c r="B842" s="18"/>
      <c r="C842" s="18"/>
      <c r="D842" s="18"/>
      <c r="E842" s="18"/>
      <c r="F842" s="18"/>
      <c r="G842" s="18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10">
        <f t="shared" si="2"/>
        <v>0</v>
      </c>
      <c r="W842" s="9"/>
      <c r="X842" s="9"/>
      <c r="Y842" s="9"/>
      <c r="Z842" s="9"/>
      <c r="AA842" s="11"/>
    </row>
    <row r="843">
      <c r="A843" s="19"/>
      <c r="B843" s="20"/>
      <c r="C843" s="20"/>
      <c r="D843" s="20"/>
      <c r="E843" s="20"/>
      <c r="F843" s="20"/>
      <c r="G843" s="20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6">
        <f t="shared" si="2"/>
        <v>0</v>
      </c>
      <c r="W843" s="15"/>
      <c r="X843" s="15"/>
      <c r="Y843" s="15"/>
      <c r="Z843" s="15"/>
      <c r="AA843" s="17"/>
    </row>
    <row r="844">
      <c r="A844" s="21"/>
      <c r="B844" s="18"/>
      <c r="C844" s="18"/>
      <c r="D844" s="18"/>
      <c r="E844" s="18"/>
      <c r="F844" s="18"/>
      <c r="G844" s="18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10">
        <f t="shared" si="2"/>
        <v>0</v>
      </c>
      <c r="W844" s="9"/>
      <c r="X844" s="9"/>
      <c r="Y844" s="9"/>
      <c r="Z844" s="9"/>
      <c r="AA844" s="11"/>
    </row>
    <row r="845">
      <c r="A845" s="19"/>
      <c r="B845" s="20"/>
      <c r="C845" s="20"/>
      <c r="D845" s="20"/>
      <c r="E845" s="20"/>
      <c r="F845" s="20"/>
      <c r="G845" s="20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6">
        <f t="shared" si="2"/>
        <v>0</v>
      </c>
      <c r="W845" s="15"/>
      <c r="X845" s="15"/>
      <c r="Y845" s="15"/>
      <c r="Z845" s="15"/>
      <c r="AA845" s="17"/>
    </row>
    <row r="846">
      <c r="A846" s="21"/>
      <c r="B846" s="18"/>
      <c r="C846" s="18"/>
      <c r="D846" s="18"/>
      <c r="E846" s="18"/>
      <c r="F846" s="18"/>
      <c r="G846" s="18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10">
        <f t="shared" si="2"/>
        <v>0</v>
      </c>
      <c r="W846" s="9"/>
      <c r="X846" s="9"/>
      <c r="Y846" s="9"/>
      <c r="Z846" s="9"/>
      <c r="AA846" s="11"/>
    </row>
    <row r="847">
      <c r="A847" s="19"/>
      <c r="B847" s="20"/>
      <c r="C847" s="20"/>
      <c r="D847" s="20"/>
      <c r="E847" s="20"/>
      <c r="F847" s="20"/>
      <c r="G847" s="20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6">
        <f t="shared" si="2"/>
        <v>0</v>
      </c>
      <c r="W847" s="15"/>
      <c r="X847" s="15"/>
      <c r="Y847" s="15"/>
      <c r="Z847" s="15"/>
      <c r="AA847" s="17"/>
    </row>
    <row r="848">
      <c r="A848" s="21"/>
      <c r="B848" s="18"/>
      <c r="C848" s="18"/>
      <c r="D848" s="18"/>
      <c r="E848" s="18"/>
      <c r="F848" s="18"/>
      <c r="G848" s="18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10">
        <f t="shared" si="2"/>
        <v>0</v>
      </c>
      <c r="W848" s="9"/>
      <c r="X848" s="9"/>
      <c r="Y848" s="9"/>
      <c r="Z848" s="9"/>
      <c r="AA848" s="11"/>
    </row>
    <row r="849">
      <c r="A849" s="19"/>
      <c r="B849" s="20"/>
      <c r="C849" s="20"/>
      <c r="D849" s="20"/>
      <c r="E849" s="20"/>
      <c r="F849" s="20"/>
      <c r="G849" s="20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6">
        <f t="shared" si="2"/>
        <v>0</v>
      </c>
      <c r="W849" s="15"/>
      <c r="X849" s="15"/>
      <c r="Y849" s="15"/>
      <c r="Z849" s="15"/>
      <c r="AA849" s="17"/>
    </row>
    <row r="850">
      <c r="A850" s="21"/>
      <c r="B850" s="18"/>
      <c r="C850" s="18"/>
      <c r="D850" s="18"/>
      <c r="E850" s="18"/>
      <c r="F850" s="18"/>
      <c r="G850" s="18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10">
        <f t="shared" si="2"/>
        <v>0</v>
      </c>
      <c r="W850" s="9"/>
      <c r="X850" s="9"/>
      <c r="Y850" s="9"/>
      <c r="Z850" s="9"/>
      <c r="AA850" s="11"/>
    </row>
    <row r="851">
      <c r="A851" s="19"/>
      <c r="B851" s="20"/>
      <c r="C851" s="20"/>
      <c r="D851" s="20"/>
      <c r="E851" s="20"/>
      <c r="F851" s="20"/>
      <c r="G851" s="20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6">
        <f t="shared" si="2"/>
        <v>0</v>
      </c>
      <c r="W851" s="15"/>
      <c r="X851" s="15"/>
      <c r="Y851" s="15"/>
      <c r="Z851" s="15"/>
      <c r="AA851" s="17"/>
    </row>
    <row r="852">
      <c r="A852" s="21"/>
      <c r="B852" s="18"/>
      <c r="C852" s="18"/>
      <c r="D852" s="18"/>
      <c r="E852" s="18"/>
      <c r="F852" s="18"/>
      <c r="G852" s="18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10">
        <f t="shared" si="2"/>
        <v>0</v>
      </c>
      <c r="W852" s="9"/>
      <c r="X852" s="9"/>
      <c r="Y852" s="9"/>
      <c r="Z852" s="9"/>
      <c r="AA852" s="11"/>
    </row>
    <row r="853">
      <c r="A853" s="19"/>
      <c r="B853" s="20"/>
      <c r="C853" s="20"/>
      <c r="D853" s="20"/>
      <c r="E853" s="20"/>
      <c r="F853" s="20"/>
      <c r="G853" s="20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6">
        <f t="shared" si="2"/>
        <v>0</v>
      </c>
      <c r="W853" s="15"/>
      <c r="X853" s="15"/>
      <c r="Y853" s="15"/>
      <c r="Z853" s="15"/>
      <c r="AA853" s="17"/>
    </row>
    <row r="854">
      <c r="A854" s="21"/>
      <c r="B854" s="18"/>
      <c r="C854" s="18"/>
      <c r="D854" s="18"/>
      <c r="E854" s="18"/>
      <c r="F854" s="18"/>
      <c r="G854" s="18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10">
        <f t="shared" si="2"/>
        <v>0</v>
      </c>
      <c r="W854" s="9"/>
      <c r="X854" s="9"/>
      <c r="Y854" s="9"/>
      <c r="Z854" s="9"/>
      <c r="AA854" s="11"/>
    </row>
    <row r="855">
      <c r="A855" s="19"/>
      <c r="B855" s="20"/>
      <c r="C855" s="20"/>
      <c r="D855" s="20"/>
      <c r="E855" s="20"/>
      <c r="F855" s="20"/>
      <c r="G855" s="20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6">
        <f t="shared" si="2"/>
        <v>0</v>
      </c>
      <c r="W855" s="15"/>
      <c r="X855" s="15"/>
      <c r="Y855" s="15"/>
      <c r="Z855" s="15"/>
      <c r="AA855" s="17"/>
    </row>
    <row r="856">
      <c r="A856" s="21"/>
      <c r="B856" s="18"/>
      <c r="C856" s="18"/>
      <c r="D856" s="18"/>
      <c r="E856" s="18"/>
      <c r="F856" s="18"/>
      <c r="G856" s="18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10">
        <f t="shared" si="2"/>
        <v>0</v>
      </c>
      <c r="W856" s="9"/>
      <c r="X856" s="9"/>
      <c r="Y856" s="9"/>
      <c r="Z856" s="9"/>
      <c r="AA856" s="11"/>
    </row>
    <row r="857">
      <c r="A857" s="19"/>
      <c r="B857" s="20"/>
      <c r="C857" s="20"/>
      <c r="D857" s="20"/>
      <c r="E857" s="20"/>
      <c r="F857" s="20"/>
      <c r="G857" s="20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6">
        <f t="shared" si="2"/>
        <v>0</v>
      </c>
      <c r="W857" s="15"/>
      <c r="X857" s="15"/>
      <c r="Y857" s="15"/>
      <c r="Z857" s="15"/>
      <c r="AA857" s="17"/>
    </row>
    <row r="858">
      <c r="A858" s="21"/>
      <c r="B858" s="18"/>
      <c r="C858" s="18"/>
      <c r="D858" s="18"/>
      <c r="E858" s="18"/>
      <c r="F858" s="18"/>
      <c r="G858" s="18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10">
        <f t="shared" si="2"/>
        <v>0</v>
      </c>
      <c r="W858" s="9"/>
      <c r="X858" s="9"/>
      <c r="Y858" s="9"/>
      <c r="Z858" s="9"/>
      <c r="AA858" s="11"/>
    </row>
    <row r="859">
      <c r="A859" s="19"/>
      <c r="B859" s="20"/>
      <c r="C859" s="20"/>
      <c r="D859" s="20"/>
      <c r="E859" s="20"/>
      <c r="F859" s="20"/>
      <c r="G859" s="20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6">
        <f t="shared" si="2"/>
        <v>0</v>
      </c>
      <c r="W859" s="15"/>
      <c r="X859" s="15"/>
      <c r="Y859" s="15"/>
      <c r="Z859" s="15"/>
      <c r="AA859" s="17"/>
    </row>
    <row r="860">
      <c r="A860" s="21"/>
      <c r="B860" s="18"/>
      <c r="C860" s="18"/>
      <c r="D860" s="18"/>
      <c r="E860" s="18"/>
      <c r="F860" s="18"/>
      <c r="G860" s="18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10">
        <f t="shared" si="2"/>
        <v>0</v>
      </c>
      <c r="W860" s="9"/>
      <c r="X860" s="9"/>
      <c r="Y860" s="9"/>
      <c r="Z860" s="9"/>
      <c r="AA860" s="11"/>
    </row>
    <row r="861">
      <c r="A861" s="19"/>
      <c r="B861" s="20"/>
      <c r="C861" s="20"/>
      <c r="D861" s="20"/>
      <c r="E861" s="20"/>
      <c r="F861" s="20"/>
      <c r="G861" s="20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6">
        <f t="shared" si="2"/>
        <v>0</v>
      </c>
      <c r="W861" s="15"/>
      <c r="X861" s="15"/>
      <c r="Y861" s="15"/>
      <c r="Z861" s="15"/>
      <c r="AA861" s="17"/>
    </row>
    <row r="862">
      <c r="A862" s="21"/>
      <c r="B862" s="18"/>
      <c r="C862" s="18"/>
      <c r="D862" s="18"/>
      <c r="E862" s="18"/>
      <c r="F862" s="18"/>
      <c r="G862" s="18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10">
        <f t="shared" si="2"/>
        <v>0</v>
      </c>
      <c r="W862" s="9"/>
      <c r="X862" s="9"/>
      <c r="Y862" s="9"/>
      <c r="Z862" s="9"/>
      <c r="AA862" s="11"/>
    </row>
    <row r="863">
      <c r="A863" s="19"/>
      <c r="B863" s="20"/>
      <c r="C863" s="20"/>
      <c r="D863" s="20"/>
      <c r="E863" s="20"/>
      <c r="F863" s="20"/>
      <c r="G863" s="20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6">
        <f t="shared" si="2"/>
        <v>0</v>
      </c>
      <c r="W863" s="15"/>
      <c r="X863" s="15"/>
      <c r="Y863" s="15"/>
      <c r="Z863" s="15"/>
      <c r="AA863" s="17"/>
    </row>
    <row r="864">
      <c r="A864" s="21"/>
      <c r="B864" s="18"/>
      <c r="C864" s="18"/>
      <c r="D864" s="18"/>
      <c r="E864" s="18"/>
      <c r="F864" s="18"/>
      <c r="G864" s="18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10">
        <f t="shared" si="2"/>
        <v>0</v>
      </c>
      <c r="W864" s="9"/>
      <c r="X864" s="9"/>
      <c r="Y864" s="9"/>
      <c r="Z864" s="9"/>
      <c r="AA864" s="11"/>
    </row>
    <row r="865">
      <c r="A865" s="19"/>
      <c r="B865" s="20"/>
      <c r="C865" s="20"/>
      <c r="D865" s="20"/>
      <c r="E865" s="20"/>
      <c r="F865" s="20"/>
      <c r="G865" s="20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6">
        <f t="shared" si="2"/>
        <v>0</v>
      </c>
      <c r="W865" s="15"/>
      <c r="X865" s="15"/>
      <c r="Y865" s="15"/>
      <c r="Z865" s="15"/>
      <c r="AA865" s="17"/>
    </row>
    <row r="866">
      <c r="A866" s="21"/>
      <c r="B866" s="18"/>
      <c r="C866" s="18"/>
      <c r="D866" s="18"/>
      <c r="E866" s="18"/>
      <c r="F866" s="18"/>
      <c r="G866" s="18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10">
        <f t="shared" si="2"/>
        <v>0</v>
      </c>
      <c r="W866" s="9"/>
      <c r="X866" s="9"/>
      <c r="Y866" s="9"/>
      <c r="Z866" s="9"/>
      <c r="AA866" s="11"/>
    </row>
    <row r="867">
      <c r="A867" s="19"/>
      <c r="B867" s="20"/>
      <c r="C867" s="20"/>
      <c r="D867" s="20"/>
      <c r="E867" s="20"/>
      <c r="F867" s="20"/>
      <c r="G867" s="20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6">
        <f t="shared" si="2"/>
        <v>0</v>
      </c>
      <c r="W867" s="15"/>
      <c r="X867" s="15"/>
      <c r="Y867" s="15"/>
      <c r="Z867" s="15"/>
      <c r="AA867" s="17"/>
    </row>
    <row r="868">
      <c r="A868" s="21"/>
      <c r="B868" s="18"/>
      <c r="C868" s="18"/>
      <c r="D868" s="18"/>
      <c r="E868" s="18"/>
      <c r="F868" s="18"/>
      <c r="G868" s="18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10">
        <f t="shared" si="2"/>
        <v>0</v>
      </c>
      <c r="W868" s="9"/>
      <c r="X868" s="9"/>
      <c r="Y868" s="9"/>
      <c r="Z868" s="9"/>
      <c r="AA868" s="11"/>
    </row>
    <row r="869">
      <c r="A869" s="19"/>
      <c r="B869" s="20"/>
      <c r="C869" s="20"/>
      <c r="D869" s="20"/>
      <c r="E869" s="20"/>
      <c r="F869" s="20"/>
      <c r="G869" s="20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6">
        <f t="shared" si="2"/>
        <v>0</v>
      </c>
      <c r="W869" s="15"/>
      <c r="X869" s="15"/>
      <c r="Y869" s="15"/>
      <c r="Z869" s="15"/>
      <c r="AA869" s="17"/>
    </row>
    <row r="870">
      <c r="A870" s="21"/>
      <c r="B870" s="18"/>
      <c r="C870" s="18"/>
      <c r="D870" s="18"/>
      <c r="E870" s="18"/>
      <c r="F870" s="18"/>
      <c r="G870" s="18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10">
        <f t="shared" si="2"/>
        <v>0</v>
      </c>
      <c r="W870" s="9"/>
      <c r="X870" s="9"/>
      <c r="Y870" s="9"/>
      <c r="Z870" s="9"/>
      <c r="AA870" s="11"/>
    </row>
    <row r="871">
      <c r="A871" s="19"/>
      <c r="B871" s="20"/>
      <c r="C871" s="20"/>
      <c r="D871" s="20"/>
      <c r="E871" s="20"/>
      <c r="F871" s="20"/>
      <c r="G871" s="20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6">
        <f t="shared" si="2"/>
        <v>0</v>
      </c>
      <c r="W871" s="15"/>
      <c r="X871" s="15"/>
      <c r="Y871" s="15"/>
      <c r="Z871" s="15"/>
      <c r="AA871" s="17"/>
    </row>
    <row r="872">
      <c r="A872" s="21"/>
      <c r="B872" s="18"/>
      <c r="C872" s="18"/>
      <c r="D872" s="18"/>
      <c r="E872" s="18"/>
      <c r="F872" s="18"/>
      <c r="G872" s="18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10">
        <f t="shared" si="2"/>
        <v>0</v>
      </c>
      <c r="W872" s="9"/>
      <c r="X872" s="9"/>
      <c r="Y872" s="9"/>
      <c r="Z872" s="9"/>
      <c r="AA872" s="11"/>
    </row>
    <row r="873">
      <c r="A873" s="19"/>
      <c r="B873" s="20"/>
      <c r="C873" s="20"/>
      <c r="D873" s="20"/>
      <c r="E873" s="20"/>
      <c r="F873" s="20"/>
      <c r="G873" s="20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6">
        <f t="shared" si="2"/>
        <v>0</v>
      </c>
      <c r="W873" s="15"/>
      <c r="X873" s="15"/>
      <c r="Y873" s="15"/>
      <c r="Z873" s="15"/>
      <c r="AA873" s="17"/>
    </row>
    <row r="874">
      <c r="A874" s="21"/>
      <c r="B874" s="18"/>
      <c r="C874" s="18"/>
      <c r="D874" s="18"/>
      <c r="E874" s="18"/>
      <c r="F874" s="18"/>
      <c r="G874" s="18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10">
        <f t="shared" si="2"/>
        <v>0</v>
      </c>
      <c r="W874" s="9"/>
      <c r="X874" s="9"/>
      <c r="Y874" s="9"/>
      <c r="Z874" s="9"/>
      <c r="AA874" s="11"/>
    </row>
    <row r="875">
      <c r="A875" s="19"/>
      <c r="B875" s="20"/>
      <c r="C875" s="20"/>
      <c r="D875" s="20"/>
      <c r="E875" s="20"/>
      <c r="F875" s="20"/>
      <c r="G875" s="20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6">
        <f t="shared" si="2"/>
        <v>0</v>
      </c>
      <c r="W875" s="15"/>
      <c r="X875" s="15"/>
      <c r="Y875" s="15"/>
      <c r="Z875" s="15"/>
      <c r="AA875" s="17"/>
    </row>
    <row r="876">
      <c r="A876" s="21"/>
      <c r="B876" s="18"/>
      <c r="C876" s="18"/>
      <c r="D876" s="18"/>
      <c r="E876" s="18"/>
      <c r="F876" s="18"/>
      <c r="G876" s="18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10">
        <f t="shared" si="2"/>
        <v>0</v>
      </c>
      <c r="W876" s="9"/>
      <c r="X876" s="9"/>
      <c r="Y876" s="9"/>
      <c r="Z876" s="9"/>
      <c r="AA876" s="11"/>
    </row>
    <row r="877">
      <c r="A877" s="19"/>
      <c r="B877" s="20"/>
      <c r="C877" s="20"/>
      <c r="D877" s="20"/>
      <c r="E877" s="20"/>
      <c r="F877" s="20"/>
      <c r="G877" s="20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6">
        <f t="shared" si="2"/>
        <v>0</v>
      </c>
      <c r="W877" s="15"/>
      <c r="X877" s="15"/>
      <c r="Y877" s="15"/>
      <c r="Z877" s="15"/>
      <c r="AA877" s="17"/>
    </row>
    <row r="878">
      <c r="A878" s="21"/>
      <c r="B878" s="18"/>
      <c r="C878" s="18"/>
      <c r="D878" s="18"/>
      <c r="E878" s="18"/>
      <c r="F878" s="18"/>
      <c r="G878" s="18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10">
        <f t="shared" si="2"/>
        <v>0</v>
      </c>
      <c r="W878" s="9"/>
      <c r="X878" s="9"/>
      <c r="Y878" s="9"/>
      <c r="Z878" s="9"/>
      <c r="AA878" s="11"/>
    </row>
    <row r="879">
      <c r="A879" s="19"/>
      <c r="B879" s="20"/>
      <c r="C879" s="20"/>
      <c r="D879" s="20"/>
      <c r="E879" s="20"/>
      <c r="F879" s="20"/>
      <c r="G879" s="20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6">
        <f t="shared" si="2"/>
        <v>0</v>
      </c>
      <c r="W879" s="15"/>
      <c r="X879" s="15"/>
      <c r="Y879" s="15"/>
      <c r="Z879" s="15"/>
      <c r="AA879" s="17"/>
    </row>
    <row r="880">
      <c r="A880" s="21"/>
      <c r="B880" s="18"/>
      <c r="C880" s="18"/>
      <c r="D880" s="18"/>
      <c r="E880" s="18"/>
      <c r="F880" s="18"/>
      <c r="G880" s="18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10">
        <f t="shared" si="2"/>
        <v>0</v>
      </c>
      <c r="W880" s="9"/>
      <c r="X880" s="9"/>
      <c r="Y880" s="9"/>
      <c r="Z880" s="9"/>
      <c r="AA880" s="11"/>
    </row>
    <row r="881">
      <c r="A881" s="19"/>
      <c r="B881" s="20"/>
      <c r="C881" s="20"/>
      <c r="D881" s="20"/>
      <c r="E881" s="20"/>
      <c r="F881" s="20"/>
      <c r="G881" s="20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6">
        <f t="shared" si="2"/>
        <v>0</v>
      </c>
      <c r="W881" s="15"/>
      <c r="X881" s="15"/>
      <c r="Y881" s="15"/>
      <c r="Z881" s="15"/>
      <c r="AA881" s="17"/>
    </row>
    <row r="882">
      <c r="A882" s="21"/>
      <c r="B882" s="18"/>
      <c r="C882" s="18"/>
      <c r="D882" s="18"/>
      <c r="E882" s="18"/>
      <c r="F882" s="18"/>
      <c r="G882" s="18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10">
        <f t="shared" si="2"/>
        <v>0</v>
      </c>
      <c r="W882" s="9"/>
      <c r="X882" s="9"/>
      <c r="Y882" s="9"/>
      <c r="Z882" s="9"/>
      <c r="AA882" s="11"/>
    </row>
    <row r="883">
      <c r="A883" s="19"/>
      <c r="B883" s="20"/>
      <c r="C883" s="20"/>
      <c r="D883" s="20"/>
      <c r="E883" s="20"/>
      <c r="F883" s="20"/>
      <c r="G883" s="20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6">
        <f t="shared" si="2"/>
        <v>0</v>
      </c>
      <c r="W883" s="15"/>
      <c r="X883" s="15"/>
      <c r="Y883" s="15"/>
      <c r="Z883" s="15"/>
      <c r="AA883" s="17"/>
    </row>
    <row r="884">
      <c r="A884" s="21"/>
      <c r="B884" s="18"/>
      <c r="C884" s="18"/>
      <c r="D884" s="18"/>
      <c r="E884" s="18"/>
      <c r="F884" s="18"/>
      <c r="G884" s="18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10">
        <f t="shared" si="2"/>
        <v>0</v>
      </c>
      <c r="W884" s="9"/>
      <c r="X884" s="9"/>
      <c r="Y884" s="9"/>
      <c r="Z884" s="9"/>
      <c r="AA884" s="11"/>
    </row>
    <row r="885">
      <c r="A885" s="19"/>
      <c r="B885" s="20"/>
      <c r="C885" s="20"/>
      <c r="D885" s="20"/>
      <c r="E885" s="20"/>
      <c r="F885" s="20"/>
      <c r="G885" s="20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6">
        <f t="shared" si="2"/>
        <v>0</v>
      </c>
      <c r="W885" s="15"/>
      <c r="X885" s="15"/>
      <c r="Y885" s="15"/>
      <c r="Z885" s="15"/>
      <c r="AA885" s="17"/>
    </row>
    <row r="886">
      <c r="A886" s="21"/>
      <c r="B886" s="18"/>
      <c r="C886" s="18"/>
      <c r="D886" s="18"/>
      <c r="E886" s="18"/>
      <c r="F886" s="18"/>
      <c r="G886" s="18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10">
        <f t="shared" si="2"/>
        <v>0</v>
      </c>
      <c r="W886" s="9"/>
      <c r="X886" s="9"/>
      <c r="Y886" s="9"/>
      <c r="Z886" s="9"/>
      <c r="AA886" s="11"/>
    </row>
    <row r="887">
      <c r="A887" s="19"/>
      <c r="B887" s="20"/>
      <c r="C887" s="20"/>
      <c r="D887" s="20"/>
      <c r="E887" s="20"/>
      <c r="F887" s="20"/>
      <c r="G887" s="20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6">
        <f t="shared" si="2"/>
        <v>0</v>
      </c>
      <c r="W887" s="15"/>
      <c r="X887" s="15"/>
      <c r="Y887" s="15"/>
      <c r="Z887" s="15"/>
      <c r="AA887" s="17"/>
    </row>
    <row r="888">
      <c r="A888" s="21"/>
      <c r="B888" s="18"/>
      <c r="C888" s="18"/>
      <c r="D888" s="18"/>
      <c r="E888" s="18"/>
      <c r="F888" s="18"/>
      <c r="G888" s="18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10">
        <f t="shared" si="2"/>
        <v>0</v>
      </c>
      <c r="W888" s="9"/>
      <c r="X888" s="9"/>
      <c r="Y888" s="9"/>
      <c r="Z888" s="9"/>
      <c r="AA888" s="11"/>
    </row>
    <row r="889">
      <c r="A889" s="19"/>
      <c r="B889" s="20"/>
      <c r="C889" s="20"/>
      <c r="D889" s="20"/>
      <c r="E889" s="20"/>
      <c r="F889" s="20"/>
      <c r="G889" s="20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6">
        <f t="shared" si="2"/>
        <v>0</v>
      </c>
      <c r="W889" s="15"/>
      <c r="X889" s="15"/>
      <c r="Y889" s="15"/>
      <c r="Z889" s="15"/>
      <c r="AA889" s="17"/>
    </row>
    <row r="890">
      <c r="A890" s="21"/>
      <c r="B890" s="18"/>
      <c r="C890" s="18"/>
      <c r="D890" s="18"/>
      <c r="E890" s="18"/>
      <c r="F890" s="18"/>
      <c r="G890" s="18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10">
        <f t="shared" si="2"/>
        <v>0</v>
      </c>
      <c r="W890" s="9"/>
      <c r="X890" s="9"/>
      <c r="Y890" s="9"/>
      <c r="Z890" s="9"/>
      <c r="AA890" s="11"/>
    </row>
    <row r="891">
      <c r="A891" s="19"/>
      <c r="B891" s="20"/>
      <c r="C891" s="20"/>
      <c r="D891" s="20"/>
      <c r="E891" s="20"/>
      <c r="F891" s="20"/>
      <c r="G891" s="20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6">
        <f t="shared" si="2"/>
        <v>0</v>
      </c>
      <c r="W891" s="15"/>
      <c r="X891" s="15"/>
      <c r="Y891" s="15"/>
      <c r="Z891" s="15"/>
      <c r="AA891" s="17"/>
    </row>
    <row r="892">
      <c r="A892" s="21"/>
      <c r="B892" s="18"/>
      <c r="C892" s="18"/>
      <c r="D892" s="18"/>
      <c r="E892" s="18"/>
      <c r="F892" s="18"/>
      <c r="G892" s="18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10">
        <f t="shared" si="2"/>
        <v>0</v>
      </c>
      <c r="W892" s="9"/>
      <c r="X892" s="9"/>
      <c r="Y892" s="9"/>
      <c r="Z892" s="9"/>
      <c r="AA892" s="11"/>
    </row>
    <row r="893">
      <c r="A893" s="19"/>
      <c r="B893" s="20"/>
      <c r="C893" s="20"/>
      <c r="D893" s="20"/>
      <c r="E893" s="20"/>
      <c r="F893" s="20"/>
      <c r="G893" s="20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6">
        <f t="shared" si="2"/>
        <v>0</v>
      </c>
      <c r="W893" s="15"/>
      <c r="X893" s="15"/>
      <c r="Y893" s="15"/>
      <c r="Z893" s="15"/>
      <c r="AA893" s="17"/>
    </row>
    <row r="894">
      <c r="A894" s="21"/>
      <c r="B894" s="18"/>
      <c r="C894" s="18"/>
      <c r="D894" s="18"/>
      <c r="E894" s="18"/>
      <c r="F894" s="18"/>
      <c r="G894" s="18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10">
        <f t="shared" si="2"/>
        <v>0</v>
      </c>
      <c r="W894" s="9"/>
      <c r="X894" s="9"/>
      <c r="Y894" s="9"/>
      <c r="Z894" s="9"/>
      <c r="AA894" s="11"/>
    </row>
    <row r="895">
      <c r="A895" s="19"/>
      <c r="B895" s="20"/>
      <c r="C895" s="20"/>
      <c r="D895" s="20"/>
      <c r="E895" s="20"/>
      <c r="F895" s="20"/>
      <c r="G895" s="20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6">
        <f t="shared" si="2"/>
        <v>0</v>
      </c>
      <c r="W895" s="15"/>
      <c r="X895" s="15"/>
      <c r="Y895" s="15"/>
      <c r="Z895" s="15"/>
      <c r="AA895" s="17"/>
    </row>
    <row r="896">
      <c r="A896" s="21"/>
      <c r="B896" s="18"/>
      <c r="C896" s="18"/>
      <c r="D896" s="18"/>
      <c r="E896" s="18"/>
      <c r="F896" s="18"/>
      <c r="G896" s="18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10">
        <f t="shared" si="2"/>
        <v>0</v>
      </c>
      <c r="W896" s="9"/>
      <c r="X896" s="9"/>
      <c r="Y896" s="9"/>
      <c r="Z896" s="9"/>
      <c r="AA896" s="11"/>
    </row>
    <row r="897">
      <c r="A897" s="19"/>
      <c r="B897" s="20"/>
      <c r="C897" s="20"/>
      <c r="D897" s="20"/>
      <c r="E897" s="20"/>
      <c r="F897" s="20"/>
      <c r="G897" s="20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6">
        <f t="shared" si="2"/>
        <v>0</v>
      </c>
      <c r="W897" s="15"/>
      <c r="X897" s="15"/>
      <c r="Y897" s="15"/>
      <c r="Z897" s="15"/>
      <c r="AA897" s="17"/>
    </row>
    <row r="898">
      <c r="A898" s="21"/>
      <c r="B898" s="18"/>
      <c r="C898" s="18"/>
      <c r="D898" s="18"/>
      <c r="E898" s="18"/>
      <c r="F898" s="18"/>
      <c r="G898" s="18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10">
        <f t="shared" si="2"/>
        <v>0</v>
      </c>
      <c r="W898" s="9"/>
      <c r="X898" s="9"/>
      <c r="Y898" s="9"/>
      <c r="Z898" s="9"/>
      <c r="AA898" s="11"/>
    </row>
    <row r="899">
      <c r="A899" s="19"/>
      <c r="B899" s="20"/>
      <c r="C899" s="20"/>
      <c r="D899" s="20"/>
      <c r="E899" s="20"/>
      <c r="F899" s="20"/>
      <c r="G899" s="20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6">
        <f t="shared" si="2"/>
        <v>0</v>
      </c>
      <c r="W899" s="15"/>
      <c r="X899" s="15"/>
      <c r="Y899" s="15"/>
      <c r="Z899" s="15"/>
      <c r="AA899" s="17"/>
    </row>
    <row r="900">
      <c r="A900" s="21"/>
      <c r="B900" s="18"/>
      <c r="C900" s="18"/>
      <c r="D900" s="18"/>
      <c r="E900" s="18"/>
      <c r="F900" s="18"/>
      <c r="G900" s="18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10">
        <f t="shared" si="2"/>
        <v>0</v>
      </c>
      <c r="W900" s="9"/>
      <c r="X900" s="9"/>
      <c r="Y900" s="9"/>
      <c r="Z900" s="9"/>
      <c r="AA900" s="11"/>
    </row>
    <row r="901">
      <c r="A901" s="19"/>
      <c r="B901" s="20"/>
      <c r="C901" s="20"/>
      <c r="D901" s="20"/>
      <c r="E901" s="20"/>
      <c r="F901" s="20"/>
      <c r="G901" s="20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6">
        <f t="shared" si="2"/>
        <v>0</v>
      </c>
      <c r="W901" s="15"/>
      <c r="X901" s="15"/>
      <c r="Y901" s="15"/>
      <c r="Z901" s="15"/>
      <c r="AA901" s="17"/>
    </row>
    <row r="902">
      <c r="A902" s="21"/>
      <c r="B902" s="18"/>
      <c r="C902" s="18"/>
      <c r="D902" s="18"/>
      <c r="E902" s="18"/>
      <c r="F902" s="18"/>
      <c r="G902" s="18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10">
        <f t="shared" si="2"/>
        <v>0</v>
      </c>
      <c r="W902" s="9"/>
      <c r="X902" s="9"/>
      <c r="Y902" s="9"/>
      <c r="Z902" s="9"/>
      <c r="AA902" s="11"/>
    </row>
    <row r="903">
      <c r="A903" s="19"/>
      <c r="B903" s="20"/>
      <c r="C903" s="20"/>
      <c r="D903" s="20"/>
      <c r="E903" s="20"/>
      <c r="F903" s="20"/>
      <c r="G903" s="20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6">
        <f t="shared" si="2"/>
        <v>0</v>
      </c>
      <c r="W903" s="15"/>
      <c r="X903" s="15"/>
      <c r="Y903" s="15"/>
      <c r="Z903" s="15"/>
      <c r="AA903" s="17"/>
    </row>
    <row r="904">
      <c r="A904" s="21"/>
      <c r="B904" s="18"/>
      <c r="C904" s="18"/>
      <c r="D904" s="18"/>
      <c r="E904" s="18"/>
      <c r="F904" s="18"/>
      <c r="G904" s="18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10">
        <f t="shared" si="2"/>
        <v>0</v>
      </c>
      <c r="W904" s="9"/>
      <c r="X904" s="9"/>
      <c r="Y904" s="9"/>
      <c r="Z904" s="9"/>
      <c r="AA904" s="11"/>
    </row>
    <row r="905">
      <c r="A905" s="19"/>
      <c r="B905" s="20"/>
      <c r="C905" s="20"/>
      <c r="D905" s="20"/>
      <c r="E905" s="20"/>
      <c r="F905" s="20"/>
      <c r="G905" s="20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6">
        <f t="shared" si="2"/>
        <v>0</v>
      </c>
      <c r="W905" s="15"/>
      <c r="X905" s="15"/>
      <c r="Y905" s="15"/>
      <c r="Z905" s="15"/>
      <c r="AA905" s="17"/>
    </row>
    <row r="906">
      <c r="A906" s="21"/>
      <c r="B906" s="18"/>
      <c r="C906" s="18"/>
      <c r="D906" s="18"/>
      <c r="E906" s="18"/>
      <c r="F906" s="18"/>
      <c r="G906" s="18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10">
        <f t="shared" si="2"/>
        <v>0</v>
      </c>
      <c r="W906" s="9"/>
      <c r="X906" s="9"/>
      <c r="Y906" s="9"/>
      <c r="Z906" s="9"/>
      <c r="AA906" s="11"/>
    </row>
    <row r="907">
      <c r="A907" s="19"/>
      <c r="B907" s="20"/>
      <c r="C907" s="20"/>
      <c r="D907" s="20"/>
      <c r="E907" s="20"/>
      <c r="F907" s="20"/>
      <c r="G907" s="20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6">
        <f t="shared" si="2"/>
        <v>0</v>
      </c>
      <c r="W907" s="15"/>
      <c r="X907" s="15"/>
      <c r="Y907" s="15"/>
      <c r="Z907" s="15"/>
      <c r="AA907" s="17"/>
    </row>
    <row r="908">
      <c r="A908" s="21"/>
      <c r="B908" s="18"/>
      <c r="C908" s="18"/>
      <c r="D908" s="18"/>
      <c r="E908" s="18"/>
      <c r="F908" s="18"/>
      <c r="G908" s="18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10">
        <f t="shared" si="2"/>
        <v>0</v>
      </c>
      <c r="W908" s="9"/>
      <c r="X908" s="9"/>
      <c r="Y908" s="9"/>
      <c r="Z908" s="9"/>
      <c r="AA908" s="11"/>
    </row>
    <row r="909">
      <c r="A909" s="19"/>
      <c r="B909" s="20"/>
      <c r="C909" s="20"/>
      <c r="D909" s="20"/>
      <c r="E909" s="20"/>
      <c r="F909" s="20"/>
      <c r="G909" s="20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6">
        <f t="shared" si="2"/>
        <v>0</v>
      </c>
      <c r="W909" s="15"/>
      <c r="X909" s="15"/>
      <c r="Y909" s="15"/>
      <c r="Z909" s="15"/>
      <c r="AA909" s="17"/>
    </row>
    <row r="910">
      <c r="A910" s="21"/>
      <c r="B910" s="18"/>
      <c r="C910" s="18"/>
      <c r="D910" s="18"/>
      <c r="E910" s="18"/>
      <c r="F910" s="18"/>
      <c r="G910" s="18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10">
        <f t="shared" si="2"/>
        <v>0</v>
      </c>
      <c r="W910" s="9"/>
      <c r="X910" s="9"/>
      <c r="Y910" s="9"/>
      <c r="Z910" s="9"/>
      <c r="AA910" s="11"/>
    </row>
    <row r="911">
      <c r="A911" s="19"/>
      <c r="B911" s="20"/>
      <c r="C911" s="20"/>
      <c r="D911" s="20"/>
      <c r="E911" s="20"/>
      <c r="F911" s="20"/>
      <c r="G911" s="20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6">
        <f t="shared" si="2"/>
        <v>0</v>
      </c>
      <c r="W911" s="15"/>
      <c r="X911" s="15"/>
      <c r="Y911" s="15"/>
      <c r="Z911" s="15"/>
      <c r="AA911" s="17"/>
    </row>
    <row r="912">
      <c r="A912" s="21"/>
      <c r="B912" s="18"/>
      <c r="C912" s="18"/>
      <c r="D912" s="18"/>
      <c r="E912" s="18"/>
      <c r="F912" s="18"/>
      <c r="G912" s="18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10">
        <f t="shared" si="2"/>
        <v>0</v>
      </c>
      <c r="W912" s="9"/>
      <c r="X912" s="9"/>
      <c r="Y912" s="9"/>
      <c r="Z912" s="9"/>
      <c r="AA912" s="11"/>
    </row>
    <row r="913">
      <c r="A913" s="19"/>
      <c r="B913" s="20"/>
      <c r="C913" s="20"/>
      <c r="D913" s="20"/>
      <c r="E913" s="20"/>
      <c r="F913" s="20"/>
      <c r="G913" s="20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6">
        <f t="shared" si="2"/>
        <v>0</v>
      </c>
      <c r="W913" s="15"/>
      <c r="X913" s="15"/>
      <c r="Y913" s="15"/>
      <c r="Z913" s="15"/>
      <c r="AA913" s="17"/>
    </row>
    <row r="914">
      <c r="A914" s="21"/>
      <c r="B914" s="18"/>
      <c r="C914" s="18"/>
      <c r="D914" s="18"/>
      <c r="E914" s="18"/>
      <c r="F914" s="18"/>
      <c r="G914" s="18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10">
        <f t="shared" si="2"/>
        <v>0</v>
      </c>
      <c r="W914" s="9"/>
      <c r="X914" s="9"/>
      <c r="Y914" s="9"/>
      <c r="Z914" s="9"/>
      <c r="AA914" s="11"/>
    </row>
    <row r="915">
      <c r="A915" s="19"/>
      <c r="B915" s="20"/>
      <c r="C915" s="20"/>
      <c r="D915" s="20"/>
      <c r="E915" s="20"/>
      <c r="F915" s="20"/>
      <c r="G915" s="20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6">
        <f t="shared" si="2"/>
        <v>0</v>
      </c>
      <c r="W915" s="15"/>
      <c r="X915" s="15"/>
      <c r="Y915" s="15"/>
      <c r="Z915" s="15"/>
      <c r="AA915" s="17"/>
    </row>
    <row r="916">
      <c r="A916" s="21"/>
      <c r="B916" s="18"/>
      <c r="C916" s="18"/>
      <c r="D916" s="18"/>
      <c r="E916" s="18"/>
      <c r="F916" s="18"/>
      <c r="G916" s="18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10">
        <f t="shared" si="2"/>
        <v>0</v>
      </c>
      <c r="W916" s="9"/>
      <c r="X916" s="9"/>
      <c r="Y916" s="9"/>
      <c r="Z916" s="9"/>
      <c r="AA916" s="11"/>
    </row>
    <row r="917">
      <c r="A917" s="19"/>
      <c r="B917" s="20"/>
      <c r="C917" s="20"/>
      <c r="D917" s="20"/>
      <c r="E917" s="20"/>
      <c r="F917" s="20"/>
      <c r="G917" s="20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6">
        <f t="shared" si="2"/>
        <v>0</v>
      </c>
      <c r="W917" s="15"/>
      <c r="X917" s="15"/>
      <c r="Y917" s="15"/>
      <c r="Z917" s="15"/>
      <c r="AA917" s="17"/>
    </row>
    <row r="918">
      <c r="A918" s="21"/>
      <c r="B918" s="18"/>
      <c r="C918" s="18"/>
      <c r="D918" s="18"/>
      <c r="E918" s="18"/>
      <c r="F918" s="18"/>
      <c r="G918" s="18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10">
        <f t="shared" si="2"/>
        <v>0</v>
      </c>
      <c r="W918" s="9"/>
      <c r="X918" s="9"/>
      <c r="Y918" s="9"/>
      <c r="Z918" s="9"/>
      <c r="AA918" s="11"/>
    </row>
    <row r="919">
      <c r="A919" s="19"/>
      <c r="B919" s="20"/>
      <c r="C919" s="20"/>
      <c r="D919" s="20"/>
      <c r="E919" s="20"/>
      <c r="F919" s="20"/>
      <c r="G919" s="20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6">
        <f t="shared" si="2"/>
        <v>0</v>
      </c>
      <c r="W919" s="15"/>
      <c r="X919" s="15"/>
      <c r="Y919" s="15"/>
      <c r="Z919" s="15"/>
      <c r="AA919" s="17"/>
    </row>
    <row r="920">
      <c r="A920" s="21"/>
      <c r="B920" s="18"/>
      <c r="C920" s="18"/>
      <c r="D920" s="18"/>
      <c r="E920" s="18"/>
      <c r="F920" s="18"/>
      <c r="G920" s="18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10">
        <f t="shared" si="2"/>
        <v>0</v>
      </c>
      <c r="W920" s="9"/>
      <c r="X920" s="9"/>
      <c r="Y920" s="9"/>
      <c r="Z920" s="9"/>
      <c r="AA920" s="11"/>
    </row>
    <row r="921">
      <c r="A921" s="19"/>
      <c r="B921" s="20"/>
      <c r="C921" s="20"/>
      <c r="D921" s="20"/>
      <c r="E921" s="20"/>
      <c r="F921" s="20"/>
      <c r="G921" s="20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6">
        <f t="shared" si="2"/>
        <v>0</v>
      </c>
      <c r="W921" s="15"/>
      <c r="X921" s="15"/>
      <c r="Y921" s="15"/>
      <c r="Z921" s="15"/>
      <c r="AA921" s="17"/>
    </row>
    <row r="922">
      <c r="A922" s="21"/>
      <c r="B922" s="18"/>
      <c r="C922" s="18"/>
      <c r="D922" s="18"/>
      <c r="E922" s="18"/>
      <c r="F922" s="18"/>
      <c r="G922" s="18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10">
        <f t="shared" si="2"/>
        <v>0</v>
      </c>
      <c r="W922" s="9"/>
      <c r="X922" s="9"/>
      <c r="Y922" s="9"/>
      <c r="Z922" s="9"/>
      <c r="AA922" s="11"/>
    </row>
    <row r="923">
      <c r="A923" s="19"/>
      <c r="B923" s="20"/>
      <c r="C923" s="20"/>
      <c r="D923" s="20"/>
      <c r="E923" s="20"/>
      <c r="F923" s="20"/>
      <c r="G923" s="20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6">
        <f t="shared" si="2"/>
        <v>0</v>
      </c>
      <c r="W923" s="15"/>
      <c r="X923" s="15"/>
      <c r="Y923" s="15"/>
      <c r="Z923" s="15"/>
      <c r="AA923" s="17"/>
    </row>
    <row r="924">
      <c r="A924" s="21"/>
      <c r="B924" s="18"/>
      <c r="C924" s="18"/>
      <c r="D924" s="18"/>
      <c r="E924" s="18"/>
      <c r="F924" s="18"/>
      <c r="G924" s="18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10">
        <f t="shared" si="2"/>
        <v>0</v>
      </c>
      <c r="W924" s="9"/>
      <c r="X924" s="9"/>
      <c r="Y924" s="9"/>
      <c r="Z924" s="9"/>
      <c r="AA924" s="11"/>
    </row>
    <row r="925">
      <c r="A925" s="19"/>
      <c r="B925" s="20"/>
      <c r="C925" s="20"/>
      <c r="D925" s="20"/>
      <c r="E925" s="20"/>
      <c r="F925" s="20"/>
      <c r="G925" s="20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6">
        <f t="shared" si="2"/>
        <v>0</v>
      </c>
      <c r="W925" s="15"/>
      <c r="X925" s="15"/>
      <c r="Y925" s="15"/>
      <c r="Z925" s="15"/>
      <c r="AA925" s="17"/>
    </row>
    <row r="926">
      <c r="A926" s="21"/>
      <c r="B926" s="18"/>
      <c r="C926" s="18"/>
      <c r="D926" s="18"/>
      <c r="E926" s="18"/>
      <c r="F926" s="18"/>
      <c r="G926" s="18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10">
        <f t="shared" si="2"/>
        <v>0</v>
      </c>
      <c r="W926" s="9"/>
      <c r="X926" s="9"/>
      <c r="Y926" s="9"/>
      <c r="Z926" s="9"/>
      <c r="AA926" s="11"/>
    </row>
    <row r="927">
      <c r="A927" s="19"/>
      <c r="B927" s="20"/>
      <c r="C927" s="20"/>
      <c r="D927" s="20"/>
      <c r="E927" s="20"/>
      <c r="F927" s="20"/>
      <c r="G927" s="20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6">
        <f t="shared" si="2"/>
        <v>0</v>
      </c>
      <c r="W927" s="15"/>
      <c r="X927" s="15"/>
      <c r="Y927" s="15"/>
      <c r="Z927" s="15"/>
      <c r="AA927" s="17"/>
    </row>
    <row r="928">
      <c r="A928" s="21"/>
      <c r="B928" s="18"/>
      <c r="C928" s="18"/>
      <c r="D928" s="18"/>
      <c r="E928" s="18"/>
      <c r="F928" s="18"/>
      <c r="G928" s="18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10">
        <f t="shared" si="2"/>
        <v>0</v>
      </c>
      <c r="W928" s="9"/>
      <c r="X928" s="9"/>
      <c r="Y928" s="9"/>
      <c r="Z928" s="9"/>
      <c r="AA928" s="11"/>
    </row>
    <row r="929">
      <c r="A929" s="19"/>
      <c r="B929" s="20"/>
      <c r="C929" s="20"/>
      <c r="D929" s="20"/>
      <c r="E929" s="20"/>
      <c r="F929" s="20"/>
      <c r="G929" s="20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6">
        <f t="shared" si="2"/>
        <v>0</v>
      </c>
      <c r="W929" s="15"/>
      <c r="X929" s="15"/>
      <c r="Y929" s="15"/>
      <c r="Z929" s="15"/>
      <c r="AA929" s="17"/>
    </row>
    <row r="930">
      <c r="A930" s="21"/>
      <c r="B930" s="18"/>
      <c r="C930" s="18"/>
      <c r="D930" s="18"/>
      <c r="E930" s="18"/>
      <c r="F930" s="18"/>
      <c r="G930" s="18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10">
        <f t="shared" si="2"/>
        <v>0</v>
      </c>
      <c r="W930" s="9"/>
      <c r="X930" s="9"/>
      <c r="Y930" s="9"/>
      <c r="Z930" s="9"/>
      <c r="AA930" s="11"/>
    </row>
    <row r="931">
      <c r="A931" s="19"/>
      <c r="B931" s="20"/>
      <c r="C931" s="20"/>
      <c r="D931" s="20"/>
      <c r="E931" s="20"/>
      <c r="F931" s="20"/>
      <c r="G931" s="20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6">
        <f t="shared" si="2"/>
        <v>0</v>
      </c>
      <c r="W931" s="15"/>
      <c r="X931" s="15"/>
      <c r="Y931" s="15"/>
      <c r="Z931" s="15"/>
      <c r="AA931" s="17"/>
    </row>
    <row r="932">
      <c r="A932" s="21"/>
      <c r="B932" s="18"/>
      <c r="C932" s="18"/>
      <c r="D932" s="18"/>
      <c r="E932" s="18"/>
      <c r="F932" s="18"/>
      <c r="G932" s="18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10">
        <f t="shared" si="2"/>
        <v>0</v>
      </c>
      <c r="W932" s="9"/>
      <c r="X932" s="9"/>
      <c r="Y932" s="9"/>
      <c r="Z932" s="9"/>
      <c r="AA932" s="11"/>
    </row>
    <row r="933">
      <c r="A933" s="19"/>
      <c r="B933" s="20"/>
      <c r="C933" s="20"/>
      <c r="D933" s="20"/>
      <c r="E933" s="20"/>
      <c r="F933" s="20"/>
      <c r="G933" s="20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6">
        <f t="shared" si="2"/>
        <v>0</v>
      </c>
      <c r="W933" s="15"/>
      <c r="X933" s="15"/>
      <c r="Y933" s="15"/>
      <c r="Z933" s="15"/>
      <c r="AA933" s="17"/>
    </row>
    <row r="934">
      <c r="A934" s="21"/>
      <c r="B934" s="18"/>
      <c r="C934" s="18"/>
      <c r="D934" s="18"/>
      <c r="E934" s="18"/>
      <c r="F934" s="18"/>
      <c r="G934" s="18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10">
        <f t="shared" si="2"/>
        <v>0</v>
      </c>
      <c r="W934" s="9"/>
      <c r="X934" s="9"/>
      <c r="Y934" s="9"/>
      <c r="Z934" s="9"/>
      <c r="AA934" s="11"/>
    </row>
    <row r="935">
      <c r="A935" s="19"/>
      <c r="B935" s="20"/>
      <c r="C935" s="20"/>
      <c r="D935" s="20"/>
      <c r="E935" s="20"/>
      <c r="F935" s="20"/>
      <c r="G935" s="20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6">
        <f t="shared" si="2"/>
        <v>0</v>
      </c>
      <c r="W935" s="15"/>
      <c r="X935" s="15"/>
      <c r="Y935" s="15"/>
      <c r="Z935" s="15"/>
      <c r="AA935" s="17"/>
    </row>
    <row r="936">
      <c r="A936" s="21"/>
      <c r="B936" s="18"/>
      <c r="C936" s="18"/>
      <c r="D936" s="18"/>
      <c r="E936" s="18"/>
      <c r="F936" s="18"/>
      <c r="G936" s="18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10">
        <f t="shared" si="2"/>
        <v>0</v>
      </c>
      <c r="W936" s="9"/>
      <c r="X936" s="9"/>
      <c r="Y936" s="9"/>
      <c r="Z936" s="9"/>
      <c r="AA936" s="11"/>
    </row>
    <row r="937">
      <c r="A937" s="19"/>
      <c r="B937" s="20"/>
      <c r="C937" s="20"/>
      <c r="D937" s="20"/>
      <c r="E937" s="20"/>
      <c r="F937" s="20"/>
      <c r="G937" s="20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6">
        <f t="shared" si="2"/>
        <v>0</v>
      </c>
      <c r="W937" s="15"/>
      <c r="X937" s="15"/>
      <c r="Y937" s="15"/>
      <c r="Z937" s="15"/>
      <c r="AA937" s="17"/>
    </row>
    <row r="938">
      <c r="A938" s="21"/>
      <c r="B938" s="18"/>
      <c r="C938" s="18"/>
      <c r="D938" s="18"/>
      <c r="E938" s="18"/>
      <c r="F938" s="18"/>
      <c r="G938" s="18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10">
        <f t="shared" si="2"/>
        <v>0</v>
      </c>
      <c r="W938" s="9"/>
      <c r="X938" s="9"/>
      <c r="Y938" s="9"/>
      <c r="Z938" s="9"/>
      <c r="AA938" s="11"/>
    </row>
    <row r="939">
      <c r="A939" s="19"/>
      <c r="B939" s="20"/>
      <c r="C939" s="20"/>
      <c r="D939" s="20"/>
      <c r="E939" s="20"/>
      <c r="F939" s="20"/>
      <c r="G939" s="20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6">
        <f t="shared" si="2"/>
        <v>0</v>
      </c>
      <c r="W939" s="15"/>
      <c r="X939" s="15"/>
      <c r="Y939" s="15"/>
      <c r="Z939" s="15"/>
      <c r="AA939" s="17"/>
    </row>
    <row r="940">
      <c r="A940" s="21"/>
      <c r="B940" s="18"/>
      <c r="C940" s="18"/>
      <c r="D940" s="18"/>
      <c r="E940" s="18"/>
      <c r="F940" s="18"/>
      <c r="G940" s="18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10">
        <f t="shared" si="2"/>
        <v>0</v>
      </c>
      <c r="W940" s="9"/>
      <c r="X940" s="9"/>
      <c r="Y940" s="9"/>
      <c r="Z940" s="9"/>
      <c r="AA940" s="11"/>
    </row>
    <row r="941">
      <c r="A941" s="19"/>
      <c r="B941" s="20"/>
      <c r="C941" s="20"/>
      <c r="D941" s="20"/>
      <c r="E941" s="20"/>
      <c r="F941" s="20"/>
      <c r="G941" s="20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6">
        <f t="shared" si="2"/>
        <v>0</v>
      </c>
      <c r="W941" s="15"/>
      <c r="X941" s="15"/>
      <c r="Y941" s="15"/>
      <c r="Z941" s="15"/>
      <c r="AA941" s="17"/>
    </row>
    <row r="942">
      <c r="A942" s="21"/>
      <c r="B942" s="18"/>
      <c r="C942" s="18"/>
      <c r="D942" s="18"/>
      <c r="E942" s="18"/>
      <c r="F942" s="18"/>
      <c r="G942" s="18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10">
        <f t="shared" si="2"/>
        <v>0</v>
      </c>
      <c r="W942" s="9"/>
      <c r="X942" s="9"/>
      <c r="Y942" s="9"/>
      <c r="Z942" s="9"/>
      <c r="AA942" s="11"/>
    </row>
    <row r="943">
      <c r="A943" s="19"/>
      <c r="B943" s="20"/>
      <c r="C943" s="20"/>
      <c r="D943" s="20"/>
      <c r="E943" s="20"/>
      <c r="F943" s="20"/>
      <c r="G943" s="20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6">
        <f t="shared" si="2"/>
        <v>0</v>
      </c>
      <c r="W943" s="15"/>
      <c r="X943" s="15"/>
      <c r="Y943" s="15"/>
      <c r="Z943" s="15"/>
      <c r="AA943" s="17"/>
    </row>
    <row r="944">
      <c r="A944" s="21"/>
      <c r="B944" s="18"/>
      <c r="C944" s="18"/>
      <c r="D944" s="18"/>
      <c r="E944" s="18"/>
      <c r="F944" s="18"/>
      <c r="G944" s="18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10">
        <f t="shared" si="2"/>
        <v>0</v>
      </c>
      <c r="W944" s="9"/>
      <c r="X944" s="9"/>
      <c r="Y944" s="9"/>
      <c r="Z944" s="9"/>
      <c r="AA944" s="11"/>
    </row>
    <row r="945">
      <c r="A945" s="19"/>
      <c r="B945" s="20"/>
      <c r="C945" s="20"/>
      <c r="D945" s="20"/>
      <c r="E945" s="20"/>
      <c r="F945" s="20"/>
      <c r="G945" s="20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6">
        <f t="shared" si="2"/>
        <v>0</v>
      </c>
      <c r="W945" s="15"/>
      <c r="X945" s="15"/>
      <c r="Y945" s="15"/>
      <c r="Z945" s="15"/>
      <c r="AA945" s="17"/>
    </row>
    <row r="946">
      <c r="A946" s="21"/>
      <c r="B946" s="18"/>
      <c r="C946" s="18"/>
      <c r="D946" s="18"/>
      <c r="E946" s="18"/>
      <c r="F946" s="18"/>
      <c r="G946" s="18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10">
        <f t="shared" si="2"/>
        <v>0</v>
      </c>
      <c r="W946" s="9"/>
      <c r="X946" s="9"/>
      <c r="Y946" s="9"/>
      <c r="Z946" s="9"/>
      <c r="AA946" s="11"/>
    </row>
    <row r="947">
      <c r="A947" s="19"/>
      <c r="B947" s="20"/>
      <c r="C947" s="20"/>
      <c r="D947" s="20"/>
      <c r="E947" s="20"/>
      <c r="F947" s="20"/>
      <c r="G947" s="20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6">
        <f t="shared" si="2"/>
        <v>0</v>
      </c>
      <c r="W947" s="15"/>
      <c r="X947" s="15"/>
      <c r="Y947" s="15"/>
      <c r="Z947" s="15"/>
      <c r="AA947" s="17"/>
    </row>
    <row r="948">
      <c r="A948" s="21"/>
      <c r="B948" s="18"/>
      <c r="C948" s="18"/>
      <c r="D948" s="18"/>
      <c r="E948" s="18"/>
      <c r="F948" s="18"/>
      <c r="G948" s="18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10">
        <f t="shared" si="2"/>
        <v>0</v>
      </c>
      <c r="W948" s="9"/>
      <c r="X948" s="9"/>
      <c r="Y948" s="9"/>
      <c r="Z948" s="9"/>
      <c r="AA948" s="11"/>
    </row>
    <row r="949">
      <c r="A949" s="19"/>
      <c r="B949" s="20"/>
      <c r="C949" s="20"/>
      <c r="D949" s="20"/>
      <c r="E949" s="20"/>
      <c r="F949" s="20"/>
      <c r="G949" s="20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6">
        <f t="shared" si="2"/>
        <v>0</v>
      </c>
      <c r="W949" s="15"/>
      <c r="X949" s="15"/>
      <c r="Y949" s="15"/>
      <c r="Z949" s="15"/>
      <c r="AA949" s="17"/>
    </row>
    <row r="950">
      <c r="A950" s="21"/>
      <c r="B950" s="18"/>
      <c r="C950" s="18"/>
      <c r="D950" s="18"/>
      <c r="E950" s="18"/>
      <c r="F950" s="18"/>
      <c r="G950" s="18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10">
        <f t="shared" si="2"/>
        <v>0</v>
      </c>
      <c r="W950" s="9"/>
      <c r="X950" s="9"/>
      <c r="Y950" s="9"/>
      <c r="Z950" s="9"/>
      <c r="AA950" s="11"/>
    </row>
    <row r="951">
      <c r="A951" s="19"/>
      <c r="B951" s="20"/>
      <c r="C951" s="20"/>
      <c r="D951" s="20"/>
      <c r="E951" s="20"/>
      <c r="F951" s="20"/>
      <c r="G951" s="20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6">
        <f t="shared" si="2"/>
        <v>0</v>
      </c>
      <c r="W951" s="15"/>
      <c r="X951" s="15"/>
      <c r="Y951" s="15"/>
      <c r="Z951" s="15"/>
      <c r="AA951" s="17"/>
    </row>
    <row r="952">
      <c r="A952" s="21"/>
      <c r="B952" s="18"/>
      <c r="C952" s="18"/>
      <c r="D952" s="18"/>
      <c r="E952" s="18"/>
      <c r="F952" s="18"/>
      <c r="G952" s="18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10">
        <f t="shared" si="2"/>
        <v>0</v>
      </c>
      <c r="W952" s="9"/>
      <c r="X952" s="9"/>
      <c r="Y952" s="9"/>
      <c r="Z952" s="9"/>
      <c r="AA952" s="11"/>
    </row>
    <row r="953">
      <c r="A953" s="19"/>
      <c r="B953" s="20"/>
      <c r="C953" s="20"/>
      <c r="D953" s="20"/>
      <c r="E953" s="20"/>
      <c r="F953" s="20"/>
      <c r="G953" s="20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6">
        <f t="shared" si="2"/>
        <v>0</v>
      </c>
      <c r="W953" s="15"/>
      <c r="X953" s="15"/>
      <c r="Y953" s="15"/>
      <c r="Z953" s="15"/>
      <c r="AA953" s="17"/>
    </row>
    <row r="954">
      <c r="A954" s="21"/>
      <c r="B954" s="18"/>
      <c r="C954" s="18"/>
      <c r="D954" s="18"/>
      <c r="E954" s="18"/>
      <c r="F954" s="18"/>
      <c r="G954" s="18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10">
        <f t="shared" si="2"/>
        <v>0</v>
      </c>
      <c r="W954" s="9"/>
      <c r="X954" s="9"/>
      <c r="Y954" s="9"/>
      <c r="Z954" s="9"/>
      <c r="AA954" s="11"/>
    </row>
    <row r="955">
      <c r="A955" s="19"/>
      <c r="B955" s="20"/>
      <c r="C955" s="20"/>
      <c r="D955" s="20"/>
      <c r="E955" s="20"/>
      <c r="F955" s="20"/>
      <c r="G955" s="20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6">
        <f t="shared" si="2"/>
        <v>0</v>
      </c>
      <c r="W955" s="15"/>
      <c r="X955" s="15"/>
      <c r="Y955" s="15"/>
      <c r="Z955" s="15"/>
      <c r="AA955" s="17"/>
    </row>
    <row r="956">
      <c r="A956" s="21"/>
      <c r="B956" s="18"/>
      <c r="C956" s="18"/>
      <c r="D956" s="18"/>
      <c r="E956" s="18"/>
      <c r="F956" s="18"/>
      <c r="G956" s="18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10">
        <f t="shared" si="2"/>
        <v>0</v>
      </c>
      <c r="W956" s="9"/>
      <c r="X956" s="9"/>
      <c r="Y956" s="9"/>
      <c r="Z956" s="9"/>
      <c r="AA956" s="11"/>
    </row>
    <row r="957">
      <c r="A957" s="19"/>
      <c r="B957" s="20"/>
      <c r="C957" s="20"/>
      <c r="D957" s="20"/>
      <c r="E957" s="20"/>
      <c r="F957" s="20"/>
      <c r="G957" s="20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6">
        <f t="shared" si="2"/>
        <v>0</v>
      </c>
      <c r="W957" s="15"/>
      <c r="X957" s="15"/>
      <c r="Y957" s="15"/>
      <c r="Z957" s="15"/>
      <c r="AA957" s="17"/>
    </row>
    <row r="958">
      <c r="A958" s="21"/>
      <c r="B958" s="18"/>
      <c r="C958" s="18"/>
      <c r="D958" s="18"/>
      <c r="E958" s="18"/>
      <c r="F958" s="18"/>
      <c r="G958" s="18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10">
        <f t="shared" si="2"/>
        <v>0</v>
      </c>
      <c r="W958" s="9"/>
      <c r="X958" s="9"/>
      <c r="Y958" s="9"/>
      <c r="Z958" s="9"/>
      <c r="AA958" s="11"/>
    </row>
    <row r="959">
      <c r="A959" s="19"/>
      <c r="B959" s="20"/>
      <c r="C959" s="20"/>
      <c r="D959" s="20"/>
      <c r="E959" s="20"/>
      <c r="F959" s="20"/>
      <c r="G959" s="20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6">
        <f t="shared" si="2"/>
        <v>0</v>
      </c>
      <c r="W959" s="15"/>
      <c r="X959" s="15"/>
      <c r="Y959" s="15"/>
      <c r="Z959" s="15"/>
      <c r="AA959" s="17"/>
    </row>
    <row r="960">
      <c r="A960" s="21"/>
      <c r="B960" s="18"/>
      <c r="C960" s="18"/>
      <c r="D960" s="18"/>
      <c r="E960" s="18"/>
      <c r="F960" s="18"/>
      <c r="G960" s="18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10">
        <f t="shared" si="2"/>
        <v>0</v>
      </c>
      <c r="W960" s="9"/>
      <c r="X960" s="9"/>
      <c r="Y960" s="9"/>
      <c r="Z960" s="9"/>
      <c r="AA960" s="11"/>
    </row>
    <row r="961">
      <c r="A961" s="19"/>
      <c r="B961" s="20"/>
      <c r="C961" s="20"/>
      <c r="D961" s="20"/>
      <c r="E961" s="20"/>
      <c r="F961" s="20"/>
      <c r="G961" s="20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6">
        <f t="shared" si="2"/>
        <v>0</v>
      </c>
      <c r="W961" s="15"/>
      <c r="X961" s="15"/>
      <c r="Y961" s="15"/>
      <c r="Z961" s="15"/>
      <c r="AA961" s="17"/>
    </row>
    <row r="962">
      <c r="A962" s="21"/>
      <c r="B962" s="18"/>
      <c r="C962" s="18"/>
      <c r="D962" s="18"/>
      <c r="E962" s="18"/>
      <c r="F962" s="18"/>
      <c r="G962" s="18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10">
        <f t="shared" si="2"/>
        <v>0</v>
      </c>
      <c r="W962" s="9"/>
      <c r="X962" s="9"/>
      <c r="Y962" s="9"/>
      <c r="Z962" s="9"/>
      <c r="AA962" s="11"/>
    </row>
    <row r="963">
      <c r="A963" s="19"/>
      <c r="B963" s="20"/>
      <c r="C963" s="20"/>
      <c r="D963" s="20"/>
      <c r="E963" s="20"/>
      <c r="F963" s="20"/>
      <c r="G963" s="20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6">
        <f t="shared" si="2"/>
        <v>0</v>
      </c>
      <c r="W963" s="15"/>
      <c r="X963" s="15"/>
      <c r="Y963" s="15"/>
      <c r="Z963" s="15"/>
      <c r="AA963" s="17"/>
    </row>
    <row r="964">
      <c r="A964" s="21"/>
      <c r="B964" s="18"/>
      <c r="C964" s="18"/>
      <c r="D964" s="18"/>
      <c r="E964" s="18"/>
      <c r="F964" s="18"/>
      <c r="G964" s="18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10">
        <f t="shared" si="2"/>
        <v>0</v>
      </c>
      <c r="W964" s="9"/>
      <c r="X964" s="9"/>
      <c r="Y964" s="9"/>
      <c r="Z964" s="9"/>
      <c r="AA964" s="11"/>
    </row>
    <row r="965">
      <c r="A965" s="19"/>
      <c r="B965" s="20"/>
      <c r="C965" s="20"/>
      <c r="D965" s="20"/>
      <c r="E965" s="20"/>
      <c r="F965" s="20"/>
      <c r="G965" s="20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6">
        <f t="shared" si="2"/>
        <v>0</v>
      </c>
      <c r="W965" s="15"/>
      <c r="X965" s="15"/>
      <c r="Y965" s="15"/>
      <c r="Z965" s="15"/>
      <c r="AA965" s="17"/>
    </row>
    <row r="966">
      <c r="A966" s="21"/>
      <c r="B966" s="18"/>
      <c r="C966" s="18"/>
      <c r="D966" s="18"/>
      <c r="E966" s="18"/>
      <c r="F966" s="18"/>
      <c r="G966" s="18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10">
        <f t="shared" si="2"/>
        <v>0</v>
      </c>
      <c r="W966" s="9"/>
      <c r="X966" s="9"/>
      <c r="Y966" s="9"/>
      <c r="Z966" s="9"/>
      <c r="AA966" s="11"/>
    </row>
    <row r="967">
      <c r="A967" s="19"/>
      <c r="B967" s="20"/>
      <c r="C967" s="20"/>
      <c r="D967" s="20"/>
      <c r="E967" s="20"/>
      <c r="F967" s="20"/>
      <c r="G967" s="20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6">
        <f t="shared" si="2"/>
        <v>0</v>
      </c>
      <c r="W967" s="15"/>
      <c r="X967" s="15"/>
      <c r="Y967" s="15"/>
      <c r="Z967" s="15"/>
      <c r="AA967" s="17"/>
    </row>
    <row r="968">
      <c r="A968" s="21"/>
      <c r="B968" s="18"/>
      <c r="C968" s="18"/>
      <c r="D968" s="18"/>
      <c r="E968" s="18"/>
      <c r="F968" s="18"/>
      <c r="G968" s="18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10">
        <f t="shared" si="2"/>
        <v>0</v>
      </c>
      <c r="W968" s="9"/>
      <c r="X968" s="9"/>
      <c r="Y968" s="9"/>
      <c r="Z968" s="9"/>
      <c r="AA968" s="11"/>
    </row>
    <row r="969">
      <c r="A969" s="19"/>
      <c r="B969" s="20"/>
      <c r="C969" s="20"/>
      <c r="D969" s="20"/>
      <c r="E969" s="20"/>
      <c r="F969" s="20"/>
      <c r="G969" s="20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6">
        <f t="shared" si="2"/>
        <v>0</v>
      </c>
      <c r="W969" s="15"/>
      <c r="X969" s="15"/>
      <c r="Y969" s="15"/>
      <c r="Z969" s="15"/>
      <c r="AA969" s="17"/>
    </row>
    <row r="970">
      <c r="A970" s="21"/>
      <c r="B970" s="18"/>
      <c r="C970" s="18"/>
      <c r="D970" s="18"/>
      <c r="E970" s="18"/>
      <c r="F970" s="18"/>
      <c r="G970" s="18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10">
        <f t="shared" si="2"/>
        <v>0</v>
      </c>
      <c r="W970" s="9"/>
      <c r="X970" s="9"/>
      <c r="Y970" s="9"/>
      <c r="Z970" s="9"/>
      <c r="AA970" s="11"/>
    </row>
    <row r="971">
      <c r="A971" s="19"/>
      <c r="B971" s="20"/>
      <c r="C971" s="20"/>
      <c r="D971" s="20"/>
      <c r="E971" s="20"/>
      <c r="F971" s="20"/>
      <c r="G971" s="20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6">
        <f t="shared" si="2"/>
        <v>0</v>
      </c>
      <c r="W971" s="15"/>
      <c r="X971" s="15"/>
      <c r="Y971" s="15"/>
      <c r="Z971" s="15"/>
      <c r="AA971" s="17"/>
    </row>
    <row r="972">
      <c r="A972" s="21"/>
      <c r="B972" s="18"/>
      <c r="C972" s="18"/>
      <c r="D972" s="18"/>
      <c r="E972" s="18"/>
      <c r="F972" s="18"/>
      <c r="G972" s="18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10">
        <f t="shared" si="2"/>
        <v>0</v>
      </c>
      <c r="W972" s="9"/>
      <c r="X972" s="9"/>
      <c r="Y972" s="9"/>
      <c r="Z972" s="9"/>
      <c r="AA972" s="11"/>
    </row>
    <row r="973">
      <c r="A973" s="19"/>
      <c r="B973" s="20"/>
      <c r="C973" s="20"/>
      <c r="D973" s="20"/>
      <c r="E973" s="20"/>
      <c r="F973" s="20"/>
      <c r="G973" s="20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6">
        <f t="shared" si="2"/>
        <v>0</v>
      </c>
      <c r="W973" s="15"/>
      <c r="X973" s="15"/>
      <c r="Y973" s="15"/>
      <c r="Z973" s="15"/>
      <c r="AA973" s="17"/>
    </row>
    <row r="974">
      <c r="A974" s="21"/>
      <c r="B974" s="18"/>
      <c r="C974" s="18"/>
      <c r="D974" s="18"/>
      <c r="E974" s="18"/>
      <c r="F974" s="18"/>
      <c r="G974" s="18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10">
        <f t="shared" si="2"/>
        <v>0</v>
      </c>
      <c r="W974" s="9"/>
      <c r="X974" s="9"/>
      <c r="Y974" s="9"/>
      <c r="Z974" s="9"/>
      <c r="AA974" s="11"/>
    </row>
    <row r="975">
      <c r="A975" s="19"/>
      <c r="B975" s="20"/>
      <c r="C975" s="20"/>
      <c r="D975" s="20"/>
      <c r="E975" s="20"/>
      <c r="F975" s="20"/>
      <c r="G975" s="20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6">
        <f t="shared" si="2"/>
        <v>0</v>
      </c>
      <c r="W975" s="15"/>
      <c r="X975" s="15"/>
      <c r="Y975" s="15"/>
      <c r="Z975" s="15"/>
      <c r="AA975" s="17"/>
    </row>
    <row r="976">
      <c r="A976" s="21"/>
      <c r="B976" s="18"/>
      <c r="C976" s="18"/>
      <c r="D976" s="18"/>
      <c r="E976" s="18"/>
      <c r="F976" s="18"/>
      <c r="G976" s="18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10">
        <f t="shared" si="2"/>
        <v>0</v>
      </c>
      <c r="W976" s="9"/>
      <c r="X976" s="9"/>
      <c r="Y976" s="9"/>
      <c r="Z976" s="9"/>
      <c r="AA976" s="11"/>
    </row>
    <row r="977">
      <c r="A977" s="19"/>
      <c r="B977" s="20"/>
      <c r="C977" s="20"/>
      <c r="D977" s="20"/>
      <c r="E977" s="20"/>
      <c r="F977" s="20"/>
      <c r="G977" s="20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6">
        <f t="shared" si="2"/>
        <v>0</v>
      </c>
      <c r="W977" s="15"/>
      <c r="X977" s="15"/>
      <c r="Y977" s="15"/>
      <c r="Z977" s="15"/>
      <c r="AA977" s="17"/>
    </row>
    <row r="978">
      <c r="A978" s="21"/>
      <c r="B978" s="18"/>
      <c r="C978" s="18"/>
      <c r="D978" s="18"/>
      <c r="E978" s="18"/>
      <c r="F978" s="18"/>
      <c r="G978" s="18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10">
        <f t="shared" si="2"/>
        <v>0</v>
      </c>
      <c r="W978" s="9"/>
      <c r="X978" s="9"/>
      <c r="Y978" s="9"/>
      <c r="Z978" s="9"/>
      <c r="AA978" s="11"/>
    </row>
    <row r="979">
      <c r="A979" s="19"/>
      <c r="B979" s="20"/>
      <c r="C979" s="20"/>
      <c r="D979" s="20"/>
      <c r="E979" s="20"/>
      <c r="F979" s="20"/>
      <c r="G979" s="20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6">
        <f t="shared" si="2"/>
        <v>0</v>
      </c>
      <c r="W979" s="15"/>
      <c r="X979" s="15"/>
      <c r="Y979" s="15"/>
      <c r="Z979" s="15"/>
      <c r="AA979" s="17"/>
    </row>
    <row r="980">
      <c r="A980" s="21"/>
      <c r="B980" s="18"/>
      <c r="C980" s="18"/>
      <c r="D980" s="18"/>
      <c r="E980" s="18"/>
      <c r="F980" s="18"/>
      <c r="G980" s="18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10">
        <f t="shared" si="2"/>
        <v>0</v>
      </c>
      <c r="W980" s="9"/>
      <c r="X980" s="9"/>
      <c r="Y980" s="9"/>
      <c r="Z980" s="9"/>
      <c r="AA980" s="11"/>
    </row>
    <row r="981">
      <c r="A981" s="19"/>
      <c r="B981" s="20"/>
      <c r="C981" s="20"/>
      <c r="D981" s="20"/>
      <c r="E981" s="20"/>
      <c r="F981" s="20"/>
      <c r="G981" s="20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6">
        <f t="shared" si="2"/>
        <v>0</v>
      </c>
      <c r="W981" s="15"/>
      <c r="X981" s="15"/>
      <c r="Y981" s="15"/>
      <c r="Z981" s="15"/>
      <c r="AA981" s="17"/>
    </row>
    <row r="982">
      <c r="A982" s="21"/>
      <c r="B982" s="18"/>
      <c r="C982" s="18"/>
      <c r="D982" s="18"/>
      <c r="E982" s="18"/>
      <c r="F982" s="18"/>
      <c r="G982" s="18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10">
        <f t="shared" si="2"/>
        <v>0</v>
      </c>
      <c r="W982" s="9"/>
      <c r="X982" s="9"/>
      <c r="Y982" s="9"/>
      <c r="Z982" s="9"/>
      <c r="AA982" s="11"/>
    </row>
    <row r="983">
      <c r="A983" s="19"/>
      <c r="B983" s="20"/>
      <c r="C983" s="20"/>
      <c r="D983" s="20"/>
      <c r="E983" s="20"/>
      <c r="F983" s="20"/>
      <c r="G983" s="20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6">
        <f t="shared" si="2"/>
        <v>0</v>
      </c>
      <c r="W983" s="15"/>
      <c r="X983" s="15"/>
      <c r="Y983" s="15"/>
      <c r="Z983" s="15"/>
      <c r="AA983" s="17"/>
    </row>
    <row r="984">
      <c r="A984" s="21"/>
      <c r="B984" s="18"/>
      <c r="C984" s="18"/>
      <c r="D984" s="18"/>
      <c r="E984" s="18"/>
      <c r="F984" s="18"/>
      <c r="G984" s="18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10">
        <f t="shared" si="2"/>
        <v>0</v>
      </c>
      <c r="W984" s="9"/>
      <c r="X984" s="9"/>
      <c r="Y984" s="9"/>
      <c r="Z984" s="9"/>
      <c r="AA984" s="11"/>
    </row>
    <row r="985">
      <c r="A985" s="19"/>
      <c r="B985" s="20"/>
      <c r="C985" s="20"/>
      <c r="D985" s="20"/>
      <c r="E985" s="20"/>
      <c r="F985" s="20"/>
      <c r="G985" s="20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6">
        <f t="shared" si="2"/>
        <v>0</v>
      </c>
      <c r="W985" s="15"/>
      <c r="X985" s="15"/>
      <c r="Y985" s="15"/>
      <c r="Z985" s="15"/>
      <c r="AA985" s="17"/>
    </row>
    <row r="986">
      <c r="A986" s="21"/>
      <c r="B986" s="18"/>
      <c r="C986" s="18"/>
      <c r="D986" s="18"/>
      <c r="E986" s="18"/>
      <c r="F986" s="18"/>
      <c r="G986" s="18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10">
        <f t="shared" si="2"/>
        <v>0</v>
      </c>
      <c r="W986" s="9"/>
      <c r="X986" s="9"/>
      <c r="Y986" s="9"/>
      <c r="Z986" s="9"/>
      <c r="AA986" s="11"/>
    </row>
    <row r="987">
      <c r="A987" s="19"/>
      <c r="B987" s="20"/>
      <c r="C987" s="20"/>
      <c r="D987" s="20"/>
      <c r="E987" s="20"/>
      <c r="F987" s="20"/>
      <c r="G987" s="20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6">
        <f t="shared" si="2"/>
        <v>0</v>
      </c>
      <c r="W987" s="15"/>
      <c r="X987" s="15"/>
      <c r="Y987" s="15"/>
      <c r="Z987" s="15"/>
      <c r="AA987" s="17"/>
    </row>
    <row r="988">
      <c r="A988" s="21"/>
      <c r="B988" s="18"/>
      <c r="C988" s="18"/>
      <c r="D988" s="18"/>
      <c r="E988" s="18"/>
      <c r="F988" s="18"/>
      <c r="G988" s="18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10">
        <f t="shared" si="2"/>
        <v>0</v>
      </c>
      <c r="W988" s="9"/>
      <c r="X988" s="9"/>
      <c r="Y988" s="9"/>
      <c r="Z988" s="9"/>
      <c r="AA988" s="11"/>
    </row>
    <row r="989">
      <c r="A989" s="19"/>
      <c r="B989" s="20"/>
      <c r="C989" s="20"/>
      <c r="D989" s="20"/>
      <c r="E989" s="20"/>
      <c r="F989" s="20"/>
      <c r="G989" s="20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6">
        <f t="shared" si="2"/>
        <v>0</v>
      </c>
      <c r="W989" s="15"/>
      <c r="X989" s="15"/>
      <c r="Y989" s="15"/>
      <c r="Z989" s="15"/>
      <c r="AA989" s="17"/>
    </row>
    <row r="990">
      <c r="A990" s="21"/>
      <c r="B990" s="18"/>
      <c r="C990" s="18"/>
      <c r="D990" s="18"/>
      <c r="E990" s="18"/>
      <c r="F990" s="18"/>
      <c r="G990" s="18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10">
        <f t="shared" si="2"/>
        <v>0</v>
      </c>
      <c r="W990" s="9"/>
      <c r="X990" s="9"/>
      <c r="Y990" s="9"/>
      <c r="Z990" s="9"/>
      <c r="AA990" s="11"/>
    </row>
    <row r="991">
      <c r="A991" s="19"/>
      <c r="B991" s="20"/>
      <c r="C991" s="20"/>
      <c r="D991" s="20"/>
      <c r="E991" s="20"/>
      <c r="F991" s="20"/>
      <c r="G991" s="20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6">
        <f t="shared" si="2"/>
        <v>0</v>
      </c>
      <c r="W991" s="15"/>
      <c r="X991" s="15"/>
      <c r="Y991" s="15"/>
      <c r="Z991" s="15"/>
      <c r="AA991" s="17"/>
    </row>
    <row r="992">
      <c r="A992" s="21"/>
      <c r="B992" s="18"/>
      <c r="C992" s="18"/>
      <c r="D992" s="18"/>
      <c r="E992" s="18"/>
      <c r="F992" s="18"/>
      <c r="G992" s="18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10">
        <f t="shared" si="2"/>
        <v>0</v>
      </c>
      <c r="W992" s="9"/>
      <c r="X992" s="9"/>
      <c r="Y992" s="9"/>
      <c r="Z992" s="9"/>
      <c r="AA992" s="11"/>
    </row>
    <row r="993">
      <c r="A993" s="19"/>
      <c r="B993" s="20"/>
      <c r="C993" s="20"/>
      <c r="D993" s="20"/>
      <c r="E993" s="20"/>
      <c r="F993" s="20"/>
      <c r="G993" s="20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6">
        <f t="shared" si="2"/>
        <v>0</v>
      </c>
      <c r="W993" s="15"/>
      <c r="X993" s="15"/>
      <c r="Y993" s="15"/>
      <c r="Z993" s="15"/>
      <c r="AA993" s="17"/>
    </row>
    <row r="994">
      <c r="A994" s="21"/>
      <c r="B994" s="18"/>
      <c r="C994" s="18"/>
      <c r="D994" s="18"/>
      <c r="E994" s="18"/>
      <c r="F994" s="18"/>
      <c r="G994" s="18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10">
        <f t="shared" si="2"/>
        <v>0</v>
      </c>
      <c r="W994" s="9"/>
      <c r="X994" s="9"/>
      <c r="Y994" s="9"/>
      <c r="Z994" s="9"/>
      <c r="AA994" s="11"/>
    </row>
    <row r="995">
      <c r="A995" s="19"/>
      <c r="B995" s="20"/>
      <c r="C995" s="20"/>
      <c r="D995" s="20"/>
      <c r="E995" s="20"/>
      <c r="F995" s="20"/>
      <c r="G995" s="20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6">
        <f t="shared" si="2"/>
        <v>0</v>
      </c>
      <c r="W995" s="15"/>
      <c r="X995" s="15"/>
      <c r="Y995" s="15"/>
      <c r="Z995" s="15"/>
      <c r="AA995" s="17"/>
    </row>
    <row r="996">
      <c r="A996" s="21"/>
      <c r="B996" s="18"/>
      <c r="C996" s="18"/>
      <c r="D996" s="18"/>
      <c r="E996" s="18"/>
      <c r="F996" s="18"/>
      <c r="G996" s="18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10">
        <f t="shared" si="2"/>
        <v>0</v>
      </c>
      <c r="W996" s="9"/>
      <c r="X996" s="9"/>
      <c r="Y996" s="9"/>
      <c r="Z996" s="9"/>
      <c r="AA996" s="11"/>
    </row>
    <row r="997">
      <c r="A997" s="19"/>
      <c r="B997" s="20"/>
      <c r="C997" s="20"/>
      <c r="D997" s="20"/>
      <c r="E997" s="20"/>
      <c r="F997" s="20"/>
      <c r="G997" s="20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6">
        <f t="shared" si="2"/>
        <v>0</v>
      </c>
      <c r="W997" s="15"/>
      <c r="X997" s="15"/>
      <c r="Y997" s="15"/>
      <c r="Z997" s="15"/>
      <c r="AA997" s="17"/>
    </row>
    <row r="998">
      <c r="A998" s="21"/>
      <c r="B998" s="18"/>
      <c r="C998" s="18"/>
      <c r="D998" s="18"/>
      <c r="E998" s="18"/>
      <c r="F998" s="18"/>
      <c r="G998" s="18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10">
        <f t="shared" si="2"/>
        <v>0</v>
      </c>
      <c r="W998" s="9"/>
      <c r="X998" s="9"/>
      <c r="Y998" s="9"/>
      <c r="Z998" s="9"/>
      <c r="AA998" s="11"/>
    </row>
    <row r="999">
      <c r="A999" s="22"/>
      <c r="B999" s="23"/>
      <c r="C999" s="23"/>
      <c r="D999" s="23"/>
      <c r="E999" s="23"/>
      <c r="F999" s="23"/>
      <c r="G999" s="23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5">
        <f t="shared" si="2"/>
        <v>0</v>
      </c>
      <c r="W999" s="24"/>
      <c r="X999" s="24"/>
      <c r="Y999" s="24"/>
      <c r="Z999" s="24"/>
      <c r="AA999" s="26"/>
    </row>
  </sheetData>
  <dataValidations>
    <dataValidation type="list" allowBlank="1" showErrorMessage="1" sqref="A2:G999">
      <formula1>#REF!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5" max="5" width="16.0"/>
    <col customWidth="1" min="6" max="6" width="14.0"/>
    <col customWidth="1" min="7" max="7" width="13.13"/>
    <col customWidth="1" min="8" max="8" width="16.0"/>
    <col customWidth="1" min="9" max="9" width="15.5"/>
  </cols>
  <sheetData>
    <row r="1">
      <c r="A1" s="27" t="s">
        <v>0</v>
      </c>
      <c r="B1" s="28" t="s">
        <v>1</v>
      </c>
      <c r="C1" s="28" t="s">
        <v>2</v>
      </c>
      <c r="D1" s="27" t="s">
        <v>3</v>
      </c>
      <c r="E1" s="28" t="s">
        <v>4</v>
      </c>
      <c r="F1" s="27" t="s">
        <v>5</v>
      </c>
      <c r="G1" s="28" t="s">
        <v>6</v>
      </c>
      <c r="H1" s="28" t="s">
        <v>7</v>
      </c>
      <c r="I1" s="28" t="s">
        <v>8</v>
      </c>
      <c r="J1" s="29">
        <v>46023.0</v>
      </c>
      <c r="K1" s="29">
        <v>46054.0</v>
      </c>
      <c r="L1" s="29">
        <v>46082.0</v>
      </c>
      <c r="M1" s="29">
        <v>46113.0</v>
      </c>
      <c r="N1" s="29">
        <v>46143.0</v>
      </c>
      <c r="O1" s="29">
        <v>46174.0</v>
      </c>
      <c r="P1" s="29">
        <v>46204.0</v>
      </c>
      <c r="Q1" s="29">
        <v>46235.0</v>
      </c>
      <c r="R1" s="29">
        <v>46266.0</v>
      </c>
      <c r="S1" s="29">
        <v>46296.0</v>
      </c>
      <c r="T1" s="29">
        <v>46327.0</v>
      </c>
      <c r="U1" s="29">
        <v>46357.0</v>
      </c>
      <c r="V1" s="27" t="s">
        <v>21</v>
      </c>
      <c r="W1" s="27"/>
      <c r="X1" s="27"/>
      <c r="Y1" s="27"/>
      <c r="Z1" s="27"/>
      <c r="AA1" s="27"/>
    </row>
    <row r="2">
      <c r="A2" s="30" t="s">
        <v>27</v>
      </c>
      <c r="B2" s="30" t="s">
        <v>28</v>
      </c>
      <c r="C2" s="30" t="s">
        <v>39</v>
      </c>
      <c r="D2" s="30" t="s">
        <v>40</v>
      </c>
      <c r="E2" s="27"/>
      <c r="F2" s="27"/>
      <c r="G2" s="30" t="s">
        <v>33</v>
      </c>
      <c r="H2" s="30" t="s">
        <v>41</v>
      </c>
      <c r="I2" s="27"/>
      <c r="J2" s="31">
        <v>0.1</v>
      </c>
      <c r="K2" s="31">
        <v>0.3</v>
      </c>
      <c r="L2" s="31">
        <v>0.3</v>
      </c>
      <c r="M2" s="31">
        <v>0.3</v>
      </c>
      <c r="N2" s="31">
        <v>0.3</v>
      </c>
      <c r="O2" s="31">
        <v>0.3</v>
      </c>
      <c r="P2" s="31">
        <v>0.3</v>
      </c>
      <c r="Q2" s="32">
        <v>0.3</v>
      </c>
      <c r="R2" s="32">
        <v>0.3</v>
      </c>
      <c r="S2" s="32">
        <v>0.3</v>
      </c>
      <c r="T2" s="32">
        <v>0.3</v>
      </c>
      <c r="U2" s="32">
        <v>0.3</v>
      </c>
      <c r="V2" s="32">
        <f t="shared" ref="V2:V1000" si="1">SUM(B2:U2)</f>
        <v>3.4</v>
      </c>
      <c r="W2" s="27"/>
      <c r="X2" s="27"/>
      <c r="Y2" s="27"/>
      <c r="Z2" s="27"/>
      <c r="AA2" s="27"/>
    </row>
    <row r="3">
      <c r="A3" s="28"/>
      <c r="B3" s="28"/>
      <c r="C3" s="28"/>
      <c r="D3" s="28"/>
      <c r="E3" s="27"/>
      <c r="F3" s="27"/>
      <c r="G3" s="28"/>
      <c r="H3" s="28"/>
      <c r="I3" s="27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32">
        <f t="shared" si="1"/>
        <v>0</v>
      </c>
      <c r="W3" s="27"/>
      <c r="X3" s="27"/>
      <c r="Y3" s="27"/>
      <c r="Z3" s="27"/>
      <c r="AA3" s="27"/>
    </row>
    <row r="4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33">
        <f t="shared" si="1"/>
        <v>0</v>
      </c>
      <c r="W4" s="27"/>
      <c r="X4" s="27"/>
      <c r="Y4" s="27"/>
      <c r="Z4" s="27"/>
      <c r="AA4" s="27"/>
    </row>
    <row r="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33">
        <f t="shared" si="1"/>
        <v>0</v>
      </c>
      <c r="W5" s="27"/>
      <c r="X5" s="27"/>
      <c r="Y5" s="27"/>
      <c r="Z5" s="27"/>
      <c r="AA5" s="27"/>
    </row>
    <row r="6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33">
        <f t="shared" si="1"/>
        <v>0</v>
      </c>
      <c r="W6" s="27"/>
      <c r="X6" s="27"/>
      <c r="Y6" s="27"/>
      <c r="Z6" s="27"/>
      <c r="AA6" s="27"/>
    </row>
    <row r="7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33">
        <f t="shared" si="1"/>
        <v>0</v>
      </c>
      <c r="W7" s="27"/>
      <c r="X7" s="27"/>
      <c r="Y7" s="27"/>
      <c r="Z7" s="27"/>
      <c r="AA7" s="27"/>
    </row>
    <row r="8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33">
        <f t="shared" si="1"/>
        <v>0</v>
      </c>
      <c r="W8" s="27"/>
      <c r="X8" s="27"/>
      <c r="Y8" s="27"/>
      <c r="Z8" s="27"/>
      <c r="AA8" s="27"/>
    </row>
    <row r="9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33">
        <f t="shared" si="1"/>
        <v>0</v>
      </c>
      <c r="W9" s="27"/>
      <c r="X9" s="27"/>
      <c r="Y9" s="27"/>
      <c r="Z9" s="27"/>
      <c r="AA9" s="27"/>
    </row>
    <row r="10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33">
        <f t="shared" si="1"/>
        <v>0</v>
      </c>
      <c r="W10" s="27"/>
      <c r="X10" s="27"/>
      <c r="Y10" s="27"/>
      <c r="Z10" s="27"/>
      <c r="AA10" s="27"/>
    </row>
    <row r="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33">
        <f t="shared" si="1"/>
        <v>0</v>
      </c>
      <c r="W11" s="27"/>
      <c r="X11" s="27"/>
      <c r="Y11" s="27"/>
      <c r="Z11" s="27"/>
      <c r="AA11" s="27"/>
    </row>
    <row r="1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33">
        <f t="shared" si="1"/>
        <v>0</v>
      </c>
      <c r="W12" s="27"/>
      <c r="X12" s="27"/>
      <c r="Y12" s="27"/>
      <c r="Z12" s="27"/>
      <c r="AA12" s="27"/>
    </row>
    <row r="1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33">
        <f t="shared" si="1"/>
        <v>0</v>
      </c>
      <c r="W13" s="27"/>
      <c r="X13" s="27"/>
      <c r="Y13" s="27"/>
      <c r="Z13" s="27"/>
      <c r="AA13" s="27"/>
    </row>
    <row r="1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33">
        <f t="shared" si="1"/>
        <v>0</v>
      </c>
      <c r="W14" s="27"/>
      <c r="X14" s="27"/>
      <c r="Y14" s="27"/>
      <c r="Z14" s="27"/>
      <c r="AA14" s="27"/>
    </row>
    <row r="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33">
        <f t="shared" si="1"/>
        <v>0</v>
      </c>
      <c r="W15" s="27"/>
      <c r="X15" s="27"/>
      <c r="Y15" s="27"/>
      <c r="Z15" s="27"/>
      <c r="AA15" s="27"/>
    </row>
    <row r="1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33">
        <f t="shared" si="1"/>
        <v>0</v>
      </c>
      <c r="W16" s="27"/>
      <c r="X16" s="27"/>
      <c r="Y16" s="27"/>
      <c r="Z16" s="27"/>
      <c r="AA16" s="27"/>
    </row>
    <row r="17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33">
        <f t="shared" si="1"/>
        <v>0</v>
      </c>
      <c r="W17" s="27"/>
      <c r="X17" s="27"/>
      <c r="Y17" s="27"/>
      <c r="Z17" s="27"/>
      <c r="AA17" s="27"/>
    </row>
    <row r="1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33">
        <f t="shared" si="1"/>
        <v>0</v>
      </c>
      <c r="W18" s="27"/>
      <c r="X18" s="27"/>
      <c r="Y18" s="27"/>
      <c r="Z18" s="27"/>
      <c r="AA18" s="27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33">
        <f t="shared" si="1"/>
        <v>0</v>
      </c>
      <c r="W19" s="27"/>
      <c r="X19" s="27"/>
      <c r="Y19" s="27"/>
      <c r="Z19" s="27"/>
      <c r="AA19" s="27"/>
    </row>
    <row r="20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33">
        <f t="shared" si="1"/>
        <v>0</v>
      </c>
      <c r="W20" s="27"/>
      <c r="X20" s="27"/>
      <c r="Y20" s="27"/>
      <c r="Z20" s="27"/>
      <c r="AA20" s="27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33">
        <f t="shared" si="1"/>
        <v>0</v>
      </c>
      <c r="W21" s="27"/>
      <c r="X21" s="27"/>
      <c r="Y21" s="27"/>
      <c r="Z21" s="27"/>
      <c r="AA21" s="27"/>
    </row>
    <row r="2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33">
        <f t="shared" si="1"/>
        <v>0</v>
      </c>
      <c r="W22" s="27"/>
      <c r="X22" s="27"/>
      <c r="Y22" s="27"/>
      <c r="Z22" s="27"/>
      <c r="AA22" s="27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33">
        <f t="shared" si="1"/>
        <v>0</v>
      </c>
      <c r="W23" s="27"/>
      <c r="X23" s="27"/>
      <c r="Y23" s="27"/>
      <c r="Z23" s="27"/>
      <c r="AA23" s="27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33">
        <f t="shared" si="1"/>
        <v>0</v>
      </c>
      <c r="W24" s="27"/>
      <c r="X24" s="27"/>
      <c r="Y24" s="27"/>
      <c r="Z24" s="27"/>
      <c r="AA24" s="27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33">
        <f t="shared" si="1"/>
        <v>0</v>
      </c>
      <c r="W25" s="27"/>
      <c r="X25" s="27"/>
      <c r="Y25" s="27"/>
      <c r="Z25" s="27"/>
      <c r="AA25" s="27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33">
        <f t="shared" si="1"/>
        <v>0</v>
      </c>
      <c r="W26" s="27"/>
      <c r="X26" s="27"/>
      <c r="Y26" s="27"/>
      <c r="Z26" s="27"/>
      <c r="AA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33">
        <f t="shared" si="1"/>
        <v>0</v>
      </c>
      <c r="W27" s="27"/>
      <c r="X27" s="27"/>
      <c r="Y27" s="27"/>
      <c r="Z27" s="27"/>
      <c r="AA27" s="27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33">
        <f t="shared" si="1"/>
        <v>0</v>
      </c>
      <c r="W28" s="27"/>
      <c r="X28" s="27"/>
      <c r="Y28" s="27"/>
      <c r="Z28" s="27"/>
      <c r="AA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33">
        <f t="shared" si="1"/>
        <v>0</v>
      </c>
      <c r="W29" s="27"/>
      <c r="X29" s="27"/>
      <c r="Y29" s="27"/>
      <c r="Z29" s="27"/>
      <c r="AA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33">
        <f t="shared" si="1"/>
        <v>0</v>
      </c>
      <c r="W30" s="27"/>
      <c r="X30" s="27"/>
      <c r="Y30" s="27"/>
      <c r="Z30" s="27"/>
      <c r="AA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33">
        <f t="shared" si="1"/>
        <v>0</v>
      </c>
      <c r="W31" s="27"/>
      <c r="X31" s="27"/>
      <c r="Y31" s="27"/>
      <c r="Z31" s="27"/>
      <c r="AA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33">
        <f t="shared" si="1"/>
        <v>0</v>
      </c>
      <c r="W32" s="27"/>
      <c r="X32" s="27"/>
      <c r="Y32" s="27"/>
      <c r="Z32" s="27"/>
      <c r="AA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33">
        <f t="shared" si="1"/>
        <v>0</v>
      </c>
      <c r="W33" s="27"/>
      <c r="X33" s="27"/>
      <c r="Y33" s="27"/>
      <c r="Z33" s="27"/>
      <c r="AA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33">
        <f t="shared" si="1"/>
        <v>0</v>
      </c>
      <c r="W34" s="27"/>
      <c r="X34" s="27"/>
      <c r="Y34" s="27"/>
      <c r="Z34" s="27"/>
      <c r="AA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33">
        <f t="shared" si="1"/>
        <v>0</v>
      </c>
      <c r="W35" s="27"/>
      <c r="X35" s="27"/>
      <c r="Y35" s="27"/>
      <c r="Z35" s="27"/>
      <c r="AA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33">
        <f t="shared" si="1"/>
        <v>0</v>
      </c>
      <c r="W36" s="27"/>
      <c r="X36" s="27"/>
      <c r="Y36" s="27"/>
      <c r="Z36" s="27"/>
      <c r="AA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33">
        <f t="shared" si="1"/>
        <v>0</v>
      </c>
      <c r="W37" s="27"/>
      <c r="X37" s="27"/>
      <c r="Y37" s="27"/>
      <c r="Z37" s="27"/>
      <c r="AA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33">
        <f t="shared" si="1"/>
        <v>0</v>
      </c>
      <c r="W38" s="27"/>
      <c r="X38" s="27"/>
      <c r="Y38" s="27"/>
      <c r="Z38" s="27"/>
      <c r="AA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33">
        <f t="shared" si="1"/>
        <v>0</v>
      </c>
      <c r="W39" s="27"/>
      <c r="X39" s="27"/>
      <c r="Y39" s="27"/>
      <c r="Z39" s="27"/>
      <c r="AA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33">
        <f t="shared" si="1"/>
        <v>0</v>
      </c>
      <c r="W40" s="27"/>
      <c r="X40" s="27"/>
      <c r="Y40" s="27"/>
      <c r="Z40" s="27"/>
      <c r="AA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33">
        <f t="shared" si="1"/>
        <v>0</v>
      </c>
      <c r="W41" s="27"/>
      <c r="X41" s="27"/>
      <c r="Y41" s="27"/>
      <c r="Z41" s="27"/>
      <c r="AA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33">
        <f t="shared" si="1"/>
        <v>0</v>
      </c>
      <c r="W42" s="27"/>
      <c r="X42" s="27"/>
      <c r="Y42" s="27"/>
      <c r="Z42" s="27"/>
      <c r="AA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33">
        <f t="shared" si="1"/>
        <v>0</v>
      </c>
      <c r="W43" s="27"/>
      <c r="X43" s="27"/>
      <c r="Y43" s="27"/>
      <c r="Z43" s="27"/>
      <c r="AA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33">
        <f t="shared" si="1"/>
        <v>0</v>
      </c>
      <c r="W44" s="27"/>
      <c r="X44" s="27"/>
      <c r="Y44" s="27"/>
      <c r="Z44" s="27"/>
      <c r="AA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33">
        <f t="shared" si="1"/>
        <v>0</v>
      </c>
      <c r="W45" s="27"/>
      <c r="X45" s="27"/>
      <c r="Y45" s="27"/>
      <c r="Z45" s="27"/>
      <c r="AA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33">
        <f t="shared" si="1"/>
        <v>0</v>
      </c>
      <c r="W46" s="27"/>
      <c r="X46" s="27"/>
      <c r="Y46" s="27"/>
      <c r="Z46" s="27"/>
      <c r="AA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33">
        <f t="shared" si="1"/>
        <v>0</v>
      </c>
      <c r="W47" s="27"/>
      <c r="X47" s="27"/>
      <c r="Y47" s="27"/>
      <c r="Z47" s="27"/>
      <c r="AA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33">
        <f t="shared" si="1"/>
        <v>0</v>
      </c>
      <c r="W48" s="27"/>
      <c r="X48" s="27"/>
      <c r="Y48" s="27"/>
      <c r="Z48" s="27"/>
      <c r="AA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33">
        <f t="shared" si="1"/>
        <v>0</v>
      </c>
      <c r="W49" s="27"/>
      <c r="X49" s="27"/>
      <c r="Y49" s="27"/>
      <c r="Z49" s="27"/>
      <c r="AA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33">
        <f t="shared" si="1"/>
        <v>0</v>
      </c>
      <c r="W50" s="27"/>
      <c r="X50" s="27"/>
      <c r="Y50" s="27"/>
      <c r="Z50" s="27"/>
      <c r="AA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33">
        <f t="shared" si="1"/>
        <v>0</v>
      </c>
      <c r="W51" s="27"/>
      <c r="X51" s="27"/>
      <c r="Y51" s="27"/>
      <c r="Z51" s="27"/>
      <c r="AA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33">
        <f t="shared" si="1"/>
        <v>0</v>
      </c>
      <c r="W52" s="27"/>
      <c r="X52" s="27"/>
      <c r="Y52" s="27"/>
      <c r="Z52" s="27"/>
      <c r="AA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33">
        <f t="shared" si="1"/>
        <v>0</v>
      </c>
      <c r="W53" s="27"/>
      <c r="X53" s="27"/>
      <c r="Y53" s="27"/>
      <c r="Z53" s="27"/>
      <c r="AA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33">
        <f t="shared" si="1"/>
        <v>0</v>
      </c>
      <c r="W54" s="27"/>
      <c r="X54" s="27"/>
      <c r="Y54" s="27"/>
      <c r="Z54" s="27"/>
      <c r="AA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33">
        <f t="shared" si="1"/>
        <v>0</v>
      </c>
      <c r="W55" s="27"/>
      <c r="X55" s="27"/>
      <c r="Y55" s="27"/>
      <c r="Z55" s="27"/>
      <c r="AA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33">
        <f t="shared" si="1"/>
        <v>0</v>
      </c>
      <c r="W56" s="27"/>
      <c r="X56" s="27"/>
      <c r="Y56" s="27"/>
      <c r="Z56" s="27"/>
      <c r="AA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33">
        <f t="shared" si="1"/>
        <v>0</v>
      </c>
      <c r="W57" s="27"/>
      <c r="X57" s="27"/>
      <c r="Y57" s="27"/>
      <c r="Z57" s="27"/>
      <c r="AA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33">
        <f t="shared" si="1"/>
        <v>0</v>
      </c>
      <c r="W58" s="27"/>
      <c r="X58" s="27"/>
      <c r="Y58" s="27"/>
      <c r="Z58" s="27"/>
      <c r="AA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33">
        <f t="shared" si="1"/>
        <v>0</v>
      </c>
      <c r="W59" s="27"/>
      <c r="X59" s="27"/>
      <c r="Y59" s="27"/>
      <c r="Z59" s="27"/>
      <c r="AA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33">
        <f t="shared" si="1"/>
        <v>0</v>
      </c>
      <c r="W60" s="27"/>
      <c r="X60" s="27"/>
      <c r="Y60" s="27"/>
      <c r="Z60" s="27"/>
      <c r="AA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33">
        <f t="shared" si="1"/>
        <v>0</v>
      </c>
      <c r="W61" s="27"/>
      <c r="X61" s="27"/>
      <c r="Y61" s="27"/>
      <c r="Z61" s="27"/>
      <c r="AA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33">
        <f t="shared" si="1"/>
        <v>0</v>
      </c>
      <c r="W62" s="27"/>
      <c r="X62" s="27"/>
      <c r="Y62" s="27"/>
      <c r="Z62" s="27"/>
      <c r="AA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33">
        <f t="shared" si="1"/>
        <v>0</v>
      </c>
      <c r="W63" s="27"/>
      <c r="X63" s="27"/>
      <c r="Y63" s="27"/>
      <c r="Z63" s="27"/>
      <c r="AA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33">
        <f t="shared" si="1"/>
        <v>0</v>
      </c>
      <c r="W64" s="27"/>
      <c r="X64" s="27"/>
      <c r="Y64" s="27"/>
      <c r="Z64" s="27"/>
      <c r="AA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33">
        <f t="shared" si="1"/>
        <v>0</v>
      </c>
      <c r="W65" s="27"/>
      <c r="X65" s="27"/>
      <c r="Y65" s="27"/>
      <c r="Z65" s="27"/>
      <c r="AA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33">
        <f t="shared" si="1"/>
        <v>0</v>
      </c>
      <c r="W66" s="27"/>
      <c r="X66" s="27"/>
      <c r="Y66" s="27"/>
      <c r="Z66" s="27"/>
      <c r="AA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33">
        <f t="shared" si="1"/>
        <v>0</v>
      </c>
      <c r="W67" s="27"/>
      <c r="X67" s="27"/>
      <c r="Y67" s="27"/>
      <c r="Z67" s="27"/>
      <c r="AA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33">
        <f t="shared" si="1"/>
        <v>0</v>
      </c>
      <c r="W68" s="27"/>
      <c r="X68" s="27"/>
      <c r="Y68" s="27"/>
      <c r="Z68" s="27"/>
      <c r="AA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33">
        <f t="shared" si="1"/>
        <v>0</v>
      </c>
      <c r="W69" s="27"/>
      <c r="X69" s="27"/>
      <c r="Y69" s="27"/>
      <c r="Z69" s="27"/>
      <c r="AA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33">
        <f t="shared" si="1"/>
        <v>0</v>
      </c>
      <c r="W70" s="27"/>
      <c r="X70" s="27"/>
      <c r="Y70" s="27"/>
      <c r="Z70" s="27"/>
      <c r="AA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33">
        <f t="shared" si="1"/>
        <v>0</v>
      </c>
      <c r="W71" s="27"/>
      <c r="X71" s="27"/>
      <c r="Y71" s="27"/>
      <c r="Z71" s="27"/>
      <c r="AA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33">
        <f t="shared" si="1"/>
        <v>0</v>
      </c>
      <c r="W72" s="27"/>
      <c r="X72" s="27"/>
      <c r="Y72" s="27"/>
      <c r="Z72" s="27"/>
      <c r="AA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33">
        <f t="shared" si="1"/>
        <v>0</v>
      </c>
      <c r="W73" s="27"/>
      <c r="X73" s="27"/>
      <c r="Y73" s="27"/>
      <c r="Z73" s="27"/>
      <c r="AA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33">
        <f t="shared" si="1"/>
        <v>0</v>
      </c>
      <c r="W74" s="27"/>
      <c r="X74" s="27"/>
      <c r="Y74" s="27"/>
      <c r="Z74" s="27"/>
      <c r="AA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33">
        <f t="shared" si="1"/>
        <v>0</v>
      </c>
      <c r="W75" s="27"/>
      <c r="X75" s="27"/>
      <c r="Y75" s="27"/>
      <c r="Z75" s="27"/>
      <c r="AA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33">
        <f t="shared" si="1"/>
        <v>0</v>
      </c>
      <c r="W76" s="27"/>
      <c r="X76" s="27"/>
      <c r="Y76" s="27"/>
      <c r="Z76" s="27"/>
      <c r="AA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33">
        <f t="shared" si="1"/>
        <v>0</v>
      </c>
      <c r="W77" s="27"/>
      <c r="X77" s="27"/>
      <c r="Y77" s="27"/>
      <c r="Z77" s="27"/>
      <c r="AA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33">
        <f t="shared" si="1"/>
        <v>0</v>
      </c>
      <c r="W78" s="27"/>
      <c r="X78" s="27"/>
      <c r="Y78" s="27"/>
      <c r="Z78" s="27"/>
      <c r="AA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33">
        <f t="shared" si="1"/>
        <v>0</v>
      </c>
      <c r="W79" s="27"/>
      <c r="X79" s="27"/>
      <c r="Y79" s="27"/>
      <c r="Z79" s="27"/>
      <c r="AA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33">
        <f t="shared" si="1"/>
        <v>0</v>
      </c>
      <c r="W80" s="27"/>
      <c r="X80" s="27"/>
      <c r="Y80" s="27"/>
      <c r="Z80" s="27"/>
      <c r="AA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33">
        <f t="shared" si="1"/>
        <v>0</v>
      </c>
      <c r="W81" s="27"/>
      <c r="X81" s="27"/>
      <c r="Y81" s="27"/>
      <c r="Z81" s="27"/>
      <c r="AA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33">
        <f t="shared" si="1"/>
        <v>0</v>
      </c>
      <c r="W82" s="27"/>
      <c r="X82" s="27"/>
      <c r="Y82" s="27"/>
      <c r="Z82" s="27"/>
      <c r="AA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33">
        <f t="shared" si="1"/>
        <v>0</v>
      </c>
      <c r="W83" s="27"/>
      <c r="X83" s="27"/>
      <c r="Y83" s="27"/>
      <c r="Z83" s="27"/>
      <c r="AA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33">
        <f t="shared" si="1"/>
        <v>0</v>
      </c>
      <c r="W84" s="27"/>
      <c r="X84" s="27"/>
      <c r="Y84" s="27"/>
      <c r="Z84" s="27"/>
      <c r="AA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33">
        <f t="shared" si="1"/>
        <v>0</v>
      </c>
      <c r="W85" s="27"/>
      <c r="X85" s="27"/>
      <c r="Y85" s="27"/>
      <c r="Z85" s="27"/>
      <c r="AA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33">
        <f t="shared" si="1"/>
        <v>0</v>
      </c>
      <c r="W86" s="27"/>
      <c r="X86" s="27"/>
      <c r="Y86" s="27"/>
      <c r="Z86" s="27"/>
      <c r="AA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33">
        <f t="shared" si="1"/>
        <v>0</v>
      </c>
      <c r="W87" s="27"/>
      <c r="X87" s="27"/>
      <c r="Y87" s="27"/>
      <c r="Z87" s="27"/>
      <c r="AA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33">
        <f t="shared" si="1"/>
        <v>0</v>
      </c>
      <c r="W88" s="27"/>
      <c r="X88" s="27"/>
      <c r="Y88" s="27"/>
      <c r="Z88" s="27"/>
      <c r="AA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33">
        <f t="shared" si="1"/>
        <v>0</v>
      </c>
      <c r="W89" s="27"/>
      <c r="X89" s="27"/>
      <c r="Y89" s="27"/>
      <c r="Z89" s="27"/>
      <c r="AA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33">
        <f t="shared" si="1"/>
        <v>0</v>
      </c>
      <c r="W90" s="27"/>
      <c r="X90" s="27"/>
      <c r="Y90" s="27"/>
      <c r="Z90" s="27"/>
      <c r="AA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33">
        <f t="shared" si="1"/>
        <v>0</v>
      </c>
      <c r="W91" s="27"/>
      <c r="X91" s="27"/>
      <c r="Y91" s="27"/>
      <c r="Z91" s="27"/>
      <c r="AA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33">
        <f t="shared" si="1"/>
        <v>0</v>
      </c>
      <c r="W92" s="27"/>
      <c r="X92" s="27"/>
      <c r="Y92" s="27"/>
      <c r="Z92" s="27"/>
      <c r="AA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33">
        <f t="shared" si="1"/>
        <v>0</v>
      </c>
      <c r="W93" s="27"/>
      <c r="X93" s="27"/>
      <c r="Y93" s="27"/>
      <c r="Z93" s="27"/>
      <c r="AA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33">
        <f t="shared" si="1"/>
        <v>0</v>
      </c>
      <c r="W94" s="27"/>
      <c r="X94" s="27"/>
      <c r="Y94" s="27"/>
      <c r="Z94" s="27"/>
      <c r="AA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33">
        <f t="shared" si="1"/>
        <v>0</v>
      </c>
      <c r="W95" s="27"/>
      <c r="X95" s="27"/>
      <c r="Y95" s="27"/>
      <c r="Z95" s="27"/>
      <c r="AA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33">
        <f t="shared" si="1"/>
        <v>0</v>
      </c>
      <c r="W96" s="27"/>
      <c r="X96" s="27"/>
      <c r="Y96" s="27"/>
      <c r="Z96" s="27"/>
      <c r="AA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33">
        <f t="shared" si="1"/>
        <v>0</v>
      </c>
      <c r="W97" s="27"/>
      <c r="X97" s="27"/>
      <c r="Y97" s="27"/>
      <c r="Z97" s="27"/>
      <c r="AA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33">
        <f t="shared" si="1"/>
        <v>0</v>
      </c>
      <c r="W98" s="27"/>
      <c r="X98" s="27"/>
      <c r="Y98" s="27"/>
      <c r="Z98" s="27"/>
      <c r="AA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33">
        <f t="shared" si="1"/>
        <v>0</v>
      </c>
      <c r="W99" s="27"/>
      <c r="X99" s="27"/>
      <c r="Y99" s="27"/>
      <c r="Z99" s="27"/>
      <c r="AA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33">
        <f t="shared" si="1"/>
        <v>0</v>
      </c>
      <c r="W100" s="27"/>
      <c r="X100" s="27"/>
      <c r="Y100" s="27"/>
      <c r="Z100" s="27"/>
      <c r="AA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33">
        <f t="shared" si="1"/>
        <v>0</v>
      </c>
      <c r="W101" s="27"/>
      <c r="X101" s="27"/>
      <c r="Y101" s="27"/>
      <c r="Z101" s="27"/>
      <c r="AA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33">
        <f t="shared" si="1"/>
        <v>0</v>
      </c>
      <c r="W102" s="27"/>
      <c r="X102" s="27"/>
      <c r="Y102" s="27"/>
      <c r="Z102" s="27"/>
      <c r="AA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33">
        <f t="shared" si="1"/>
        <v>0</v>
      </c>
      <c r="W103" s="27"/>
      <c r="X103" s="27"/>
      <c r="Y103" s="27"/>
      <c r="Z103" s="27"/>
      <c r="AA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33">
        <f t="shared" si="1"/>
        <v>0</v>
      </c>
      <c r="W104" s="27"/>
      <c r="X104" s="27"/>
      <c r="Y104" s="27"/>
      <c r="Z104" s="27"/>
      <c r="AA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33">
        <f t="shared" si="1"/>
        <v>0</v>
      </c>
      <c r="W105" s="27"/>
      <c r="X105" s="27"/>
      <c r="Y105" s="27"/>
      <c r="Z105" s="27"/>
      <c r="AA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33">
        <f t="shared" si="1"/>
        <v>0</v>
      </c>
      <c r="W106" s="27"/>
      <c r="X106" s="27"/>
      <c r="Y106" s="27"/>
      <c r="Z106" s="27"/>
      <c r="AA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33">
        <f t="shared" si="1"/>
        <v>0</v>
      </c>
      <c r="W107" s="27"/>
      <c r="X107" s="27"/>
      <c r="Y107" s="27"/>
      <c r="Z107" s="27"/>
      <c r="AA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33">
        <f t="shared" si="1"/>
        <v>0</v>
      </c>
      <c r="W108" s="27"/>
      <c r="X108" s="27"/>
      <c r="Y108" s="27"/>
      <c r="Z108" s="27"/>
      <c r="AA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33">
        <f t="shared" si="1"/>
        <v>0</v>
      </c>
      <c r="W109" s="27"/>
      <c r="X109" s="27"/>
      <c r="Y109" s="27"/>
      <c r="Z109" s="27"/>
      <c r="AA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33">
        <f t="shared" si="1"/>
        <v>0</v>
      </c>
      <c r="W110" s="27"/>
      <c r="X110" s="27"/>
      <c r="Y110" s="27"/>
      <c r="Z110" s="27"/>
      <c r="AA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33">
        <f t="shared" si="1"/>
        <v>0</v>
      </c>
      <c r="W111" s="27"/>
      <c r="X111" s="27"/>
      <c r="Y111" s="27"/>
      <c r="Z111" s="27"/>
      <c r="AA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33">
        <f t="shared" si="1"/>
        <v>0</v>
      </c>
      <c r="W112" s="27"/>
      <c r="X112" s="27"/>
      <c r="Y112" s="27"/>
      <c r="Z112" s="27"/>
      <c r="AA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33">
        <f t="shared" si="1"/>
        <v>0</v>
      </c>
      <c r="W113" s="27"/>
      <c r="X113" s="27"/>
      <c r="Y113" s="27"/>
      <c r="Z113" s="27"/>
      <c r="AA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33">
        <f t="shared" si="1"/>
        <v>0</v>
      </c>
      <c r="W114" s="27"/>
      <c r="X114" s="27"/>
      <c r="Y114" s="27"/>
      <c r="Z114" s="27"/>
      <c r="AA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33">
        <f t="shared" si="1"/>
        <v>0</v>
      </c>
      <c r="W115" s="27"/>
      <c r="X115" s="27"/>
      <c r="Y115" s="27"/>
      <c r="Z115" s="27"/>
      <c r="AA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33">
        <f t="shared" si="1"/>
        <v>0</v>
      </c>
      <c r="W116" s="27"/>
      <c r="X116" s="27"/>
      <c r="Y116" s="27"/>
      <c r="Z116" s="27"/>
      <c r="AA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33">
        <f t="shared" si="1"/>
        <v>0</v>
      </c>
      <c r="W117" s="27"/>
      <c r="X117" s="27"/>
      <c r="Y117" s="27"/>
      <c r="Z117" s="27"/>
      <c r="AA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33">
        <f t="shared" si="1"/>
        <v>0</v>
      </c>
      <c r="W118" s="27"/>
      <c r="X118" s="27"/>
      <c r="Y118" s="27"/>
      <c r="Z118" s="27"/>
      <c r="AA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33">
        <f t="shared" si="1"/>
        <v>0</v>
      </c>
      <c r="W119" s="27"/>
      <c r="X119" s="27"/>
      <c r="Y119" s="27"/>
      <c r="Z119" s="27"/>
      <c r="AA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33">
        <f t="shared" si="1"/>
        <v>0</v>
      </c>
      <c r="W120" s="27"/>
      <c r="X120" s="27"/>
      <c r="Y120" s="27"/>
      <c r="Z120" s="27"/>
      <c r="AA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33">
        <f t="shared" si="1"/>
        <v>0</v>
      </c>
      <c r="W121" s="27"/>
      <c r="X121" s="27"/>
      <c r="Y121" s="27"/>
      <c r="Z121" s="27"/>
      <c r="AA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33">
        <f t="shared" si="1"/>
        <v>0</v>
      </c>
      <c r="W122" s="27"/>
      <c r="X122" s="27"/>
      <c r="Y122" s="27"/>
      <c r="Z122" s="27"/>
      <c r="AA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33">
        <f t="shared" si="1"/>
        <v>0</v>
      </c>
      <c r="W123" s="27"/>
      <c r="X123" s="27"/>
      <c r="Y123" s="27"/>
      <c r="Z123" s="27"/>
      <c r="AA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33">
        <f t="shared" si="1"/>
        <v>0</v>
      </c>
      <c r="W124" s="27"/>
      <c r="X124" s="27"/>
      <c r="Y124" s="27"/>
      <c r="Z124" s="27"/>
      <c r="AA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33">
        <f t="shared" si="1"/>
        <v>0</v>
      </c>
      <c r="W125" s="27"/>
      <c r="X125" s="27"/>
      <c r="Y125" s="27"/>
      <c r="Z125" s="27"/>
      <c r="AA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33">
        <f t="shared" si="1"/>
        <v>0</v>
      </c>
      <c r="W126" s="27"/>
      <c r="X126" s="27"/>
      <c r="Y126" s="27"/>
      <c r="Z126" s="27"/>
      <c r="AA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33">
        <f t="shared" si="1"/>
        <v>0</v>
      </c>
      <c r="W127" s="27"/>
      <c r="X127" s="27"/>
      <c r="Y127" s="27"/>
      <c r="Z127" s="27"/>
      <c r="AA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33">
        <f t="shared" si="1"/>
        <v>0</v>
      </c>
      <c r="W128" s="27"/>
      <c r="X128" s="27"/>
      <c r="Y128" s="27"/>
      <c r="Z128" s="27"/>
      <c r="AA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33">
        <f t="shared" si="1"/>
        <v>0</v>
      </c>
      <c r="W129" s="27"/>
      <c r="X129" s="27"/>
      <c r="Y129" s="27"/>
      <c r="Z129" s="27"/>
      <c r="AA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33">
        <f t="shared" si="1"/>
        <v>0</v>
      </c>
      <c r="W130" s="27"/>
      <c r="X130" s="27"/>
      <c r="Y130" s="27"/>
      <c r="Z130" s="27"/>
      <c r="AA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33">
        <f t="shared" si="1"/>
        <v>0</v>
      </c>
      <c r="W131" s="27"/>
      <c r="X131" s="27"/>
      <c r="Y131" s="27"/>
      <c r="Z131" s="27"/>
      <c r="AA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33">
        <f t="shared" si="1"/>
        <v>0</v>
      </c>
      <c r="W132" s="27"/>
      <c r="X132" s="27"/>
      <c r="Y132" s="27"/>
      <c r="Z132" s="27"/>
      <c r="AA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33">
        <f t="shared" si="1"/>
        <v>0</v>
      </c>
      <c r="W133" s="27"/>
      <c r="X133" s="27"/>
      <c r="Y133" s="27"/>
      <c r="Z133" s="27"/>
      <c r="AA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33">
        <f t="shared" si="1"/>
        <v>0</v>
      </c>
      <c r="W134" s="27"/>
      <c r="X134" s="27"/>
      <c r="Y134" s="27"/>
      <c r="Z134" s="27"/>
      <c r="AA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33">
        <f t="shared" si="1"/>
        <v>0</v>
      </c>
      <c r="W135" s="27"/>
      <c r="X135" s="27"/>
      <c r="Y135" s="27"/>
      <c r="Z135" s="27"/>
      <c r="AA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33">
        <f t="shared" si="1"/>
        <v>0</v>
      </c>
      <c r="W136" s="27"/>
      <c r="X136" s="27"/>
      <c r="Y136" s="27"/>
      <c r="Z136" s="27"/>
      <c r="AA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33">
        <f t="shared" si="1"/>
        <v>0</v>
      </c>
      <c r="W137" s="27"/>
      <c r="X137" s="27"/>
      <c r="Y137" s="27"/>
      <c r="Z137" s="27"/>
      <c r="AA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33">
        <f t="shared" si="1"/>
        <v>0</v>
      </c>
      <c r="W138" s="27"/>
      <c r="X138" s="27"/>
      <c r="Y138" s="27"/>
      <c r="Z138" s="27"/>
      <c r="AA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33">
        <f t="shared" si="1"/>
        <v>0</v>
      </c>
      <c r="W139" s="27"/>
      <c r="X139" s="27"/>
      <c r="Y139" s="27"/>
      <c r="Z139" s="27"/>
      <c r="AA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33">
        <f t="shared" si="1"/>
        <v>0</v>
      </c>
      <c r="W140" s="27"/>
      <c r="X140" s="27"/>
      <c r="Y140" s="27"/>
      <c r="Z140" s="27"/>
      <c r="AA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33">
        <f t="shared" si="1"/>
        <v>0</v>
      </c>
      <c r="W141" s="27"/>
      <c r="X141" s="27"/>
      <c r="Y141" s="27"/>
      <c r="Z141" s="27"/>
      <c r="AA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33">
        <f t="shared" si="1"/>
        <v>0</v>
      </c>
      <c r="W142" s="27"/>
      <c r="X142" s="27"/>
      <c r="Y142" s="27"/>
      <c r="Z142" s="27"/>
      <c r="AA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33">
        <f t="shared" si="1"/>
        <v>0</v>
      </c>
      <c r="W143" s="27"/>
      <c r="X143" s="27"/>
      <c r="Y143" s="27"/>
      <c r="Z143" s="27"/>
      <c r="AA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33">
        <f t="shared" si="1"/>
        <v>0</v>
      </c>
      <c r="W144" s="27"/>
      <c r="X144" s="27"/>
      <c r="Y144" s="27"/>
      <c r="Z144" s="27"/>
      <c r="AA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33">
        <f t="shared" si="1"/>
        <v>0</v>
      </c>
      <c r="W145" s="27"/>
      <c r="X145" s="27"/>
      <c r="Y145" s="27"/>
      <c r="Z145" s="27"/>
      <c r="AA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33">
        <f t="shared" si="1"/>
        <v>0</v>
      </c>
      <c r="W146" s="27"/>
      <c r="X146" s="27"/>
      <c r="Y146" s="27"/>
      <c r="Z146" s="27"/>
      <c r="AA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33">
        <f t="shared" si="1"/>
        <v>0</v>
      </c>
      <c r="W147" s="27"/>
      <c r="X147" s="27"/>
      <c r="Y147" s="27"/>
      <c r="Z147" s="27"/>
      <c r="AA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33">
        <f t="shared" si="1"/>
        <v>0</v>
      </c>
      <c r="W148" s="27"/>
      <c r="X148" s="27"/>
      <c r="Y148" s="27"/>
      <c r="Z148" s="27"/>
      <c r="AA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33">
        <f t="shared" si="1"/>
        <v>0</v>
      </c>
      <c r="W149" s="27"/>
      <c r="X149" s="27"/>
      <c r="Y149" s="27"/>
      <c r="Z149" s="27"/>
      <c r="AA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33">
        <f t="shared" si="1"/>
        <v>0</v>
      </c>
      <c r="W150" s="27"/>
      <c r="X150" s="27"/>
      <c r="Y150" s="27"/>
      <c r="Z150" s="27"/>
      <c r="AA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33">
        <f t="shared" si="1"/>
        <v>0</v>
      </c>
      <c r="W151" s="27"/>
      <c r="X151" s="27"/>
      <c r="Y151" s="27"/>
      <c r="Z151" s="27"/>
      <c r="AA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33">
        <f t="shared" si="1"/>
        <v>0</v>
      </c>
      <c r="W152" s="27"/>
      <c r="X152" s="27"/>
      <c r="Y152" s="27"/>
      <c r="Z152" s="27"/>
      <c r="AA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33">
        <f t="shared" si="1"/>
        <v>0</v>
      </c>
      <c r="W153" s="27"/>
      <c r="X153" s="27"/>
      <c r="Y153" s="27"/>
      <c r="Z153" s="27"/>
      <c r="AA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33">
        <f t="shared" si="1"/>
        <v>0</v>
      </c>
      <c r="W154" s="27"/>
      <c r="X154" s="27"/>
      <c r="Y154" s="27"/>
      <c r="Z154" s="27"/>
      <c r="AA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33">
        <f t="shared" si="1"/>
        <v>0</v>
      </c>
      <c r="W155" s="27"/>
      <c r="X155" s="27"/>
      <c r="Y155" s="27"/>
      <c r="Z155" s="27"/>
      <c r="AA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33">
        <f t="shared" si="1"/>
        <v>0</v>
      </c>
      <c r="W156" s="27"/>
      <c r="X156" s="27"/>
      <c r="Y156" s="27"/>
      <c r="Z156" s="27"/>
      <c r="AA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33">
        <f t="shared" si="1"/>
        <v>0</v>
      </c>
      <c r="W157" s="27"/>
      <c r="X157" s="27"/>
      <c r="Y157" s="27"/>
      <c r="Z157" s="27"/>
      <c r="AA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33">
        <f t="shared" si="1"/>
        <v>0</v>
      </c>
      <c r="W158" s="27"/>
      <c r="X158" s="27"/>
      <c r="Y158" s="27"/>
      <c r="Z158" s="27"/>
      <c r="AA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33">
        <f t="shared" si="1"/>
        <v>0</v>
      </c>
      <c r="W159" s="27"/>
      <c r="X159" s="27"/>
      <c r="Y159" s="27"/>
      <c r="Z159" s="27"/>
      <c r="AA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33">
        <f t="shared" si="1"/>
        <v>0</v>
      </c>
      <c r="W160" s="27"/>
      <c r="X160" s="27"/>
      <c r="Y160" s="27"/>
      <c r="Z160" s="27"/>
      <c r="AA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33">
        <f t="shared" si="1"/>
        <v>0</v>
      </c>
      <c r="W161" s="27"/>
      <c r="X161" s="27"/>
      <c r="Y161" s="27"/>
      <c r="Z161" s="27"/>
      <c r="AA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33">
        <f t="shared" si="1"/>
        <v>0</v>
      </c>
      <c r="W162" s="27"/>
      <c r="X162" s="27"/>
      <c r="Y162" s="27"/>
      <c r="Z162" s="27"/>
      <c r="AA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33">
        <f t="shared" si="1"/>
        <v>0</v>
      </c>
      <c r="W163" s="27"/>
      <c r="X163" s="27"/>
      <c r="Y163" s="27"/>
      <c r="Z163" s="27"/>
      <c r="AA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33">
        <f t="shared" si="1"/>
        <v>0</v>
      </c>
      <c r="W164" s="27"/>
      <c r="X164" s="27"/>
      <c r="Y164" s="27"/>
      <c r="Z164" s="27"/>
      <c r="AA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33">
        <f t="shared" si="1"/>
        <v>0</v>
      </c>
      <c r="W165" s="27"/>
      <c r="X165" s="27"/>
      <c r="Y165" s="27"/>
      <c r="Z165" s="27"/>
      <c r="AA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33">
        <f t="shared" si="1"/>
        <v>0</v>
      </c>
      <c r="W166" s="27"/>
      <c r="X166" s="27"/>
      <c r="Y166" s="27"/>
      <c r="Z166" s="27"/>
      <c r="AA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33">
        <f t="shared" si="1"/>
        <v>0</v>
      </c>
      <c r="W167" s="27"/>
      <c r="X167" s="27"/>
      <c r="Y167" s="27"/>
      <c r="Z167" s="27"/>
      <c r="AA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33">
        <f t="shared" si="1"/>
        <v>0</v>
      </c>
      <c r="W168" s="27"/>
      <c r="X168" s="27"/>
      <c r="Y168" s="27"/>
      <c r="Z168" s="27"/>
      <c r="AA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33">
        <f t="shared" si="1"/>
        <v>0</v>
      </c>
      <c r="W169" s="27"/>
      <c r="X169" s="27"/>
      <c r="Y169" s="27"/>
      <c r="Z169" s="27"/>
      <c r="AA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33">
        <f t="shared" si="1"/>
        <v>0</v>
      </c>
      <c r="W170" s="27"/>
      <c r="X170" s="27"/>
      <c r="Y170" s="27"/>
      <c r="Z170" s="27"/>
      <c r="AA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33">
        <f t="shared" si="1"/>
        <v>0</v>
      </c>
      <c r="W171" s="27"/>
      <c r="X171" s="27"/>
      <c r="Y171" s="27"/>
      <c r="Z171" s="27"/>
      <c r="AA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33">
        <f t="shared" si="1"/>
        <v>0</v>
      </c>
      <c r="W172" s="27"/>
      <c r="X172" s="27"/>
      <c r="Y172" s="27"/>
      <c r="Z172" s="27"/>
      <c r="AA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33">
        <f t="shared" si="1"/>
        <v>0</v>
      </c>
      <c r="W173" s="27"/>
      <c r="X173" s="27"/>
      <c r="Y173" s="27"/>
      <c r="Z173" s="27"/>
      <c r="AA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33">
        <f t="shared" si="1"/>
        <v>0</v>
      </c>
      <c r="W174" s="27"/>
      <c r="X174" s="27"/>
      <c r="Y174" s="27"/>
      <c r="Z174" s="27"/>
      <c r="AA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33">
        <f t="shared" si="1"/>
        <v>0</v>
      </c>
      <c r="W175" s="27"/>
      <c r="X175" s="27"/>
      <c r="Y175" s="27"/>
      <c r="Z175" s="27"/>
      <c r="AA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33">
        <f t="shared" si="1"/>
        <v>0</v>
      </c>
      <c r="W176" s="27"/>
      <c r="X176" s="27"/>
      <c r="Y176" s="27"/>
      <c r="Z176" s="27"/>
      <c r="AA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33">
        <f t="shared" si="1"/>
        <v>0</v>
      </c>
      <c r="W177" s="27"/>
      <c r="X177" s="27"/>
      <c r="Y177" s="27"/>
      <c r="Z177" s="27"/>
      <c r="AA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33">
        <f t="shared" si="1"/>
        <v>0</v>
      </c>
      <c r="W178" s="27"/>
      <c r="X178" s="27"/>
      <c r="Y178" s="27"/>
      <c r="Z178" s="27"/>
      <c r="AA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33">
        <f t="shared" si="1"/>
        <v>0</v>
      </c>
      <c r="W179" s="27"/>
      <c r="X179" s="27"/>
      <c r="Y179" s="27"/>
      <c r="Z179" s="27"/>
      <c r="AA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33">
        <f t="shared" si="1"/>
        <v>0</v>
      </c>
      <c r="W180" s="27"/>
      <c r="X180" s="27"/>
      <c r="Y180" s="27"/>
      <c r="Z180" s="27"/>
      <c r="AA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33">
        <f t="shared" si="1"/>
        <v>0</v>
      </c>
      <c r="W181" s="27"/>
      <c r="X181" s="27"/>
      <c r="Y181" s="27"/>
      <c r="Z181" s="27"/>
      <c r="AA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33">
        <f t="shared" si="1"/>
        <v>0</v>
      </c>
      <c r="W182" s="27"/>
      <c r="X182" s="27"/>
      <c r="Y182" s="27"/>
      <c r="Z182" s="27"/>
      <c r="AA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33">
        <f t="shared" si="1"/>
        <v>0</v>
      </c>
      <c r="W183" s="27"/>
      <c r="X183" s="27"/>
      <c r="Y183" s="27"/>
      <c r="Z183" s="27"/>
      <c r="AA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33">
        <f t="shared" si="1"/>
        <v>0</v>
      </c>
      <c r="W184" s="27"/>
      <c r="X184" s="27"/>
      <c r="Y184" s="27"/>
      <c r="Z184" s="27"/>
      <c r="AA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33">
        <f t="shared" si="1"/>
        <v>0</v>
      </c>
      <c r="W185" s="27"/>
      <c r="X185" s="27"/>
      <c r="Y185" s="27"/>
      <c r="Z185" s="27"/>
      <c r="AA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33">
        <f t="shared" si="1"/>
        <v>0</v>
      </c>
      <c r="W186" s="27"/>
      <c r="X186" s="27"/>
      <c r="Y186" s="27"/>
      <c r="Z186" s="27"/>
      <c r="AA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33">
        <f t="shared" si="1"/>
        <v>0</v>
      </c>
      <c r="W187" s="27"/>
      <c r="X187" s="27"/>
      <c r="Y187" s="27"/>
      <c r="Z187" s="27"/>
      <c r="AA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33">
        <f t="shared" si="1"/>
        <v>0</v>
      </c>
      <c r="W188" s="27"/>
      <c r="X188" s="27"/>
      <c r="Y188" s="27"/>
      <c r="Z188" s="27"/>
      <c r="AA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33">
        <f t="shared" si="1"/>
        <v>0</v>
      </c>
      <c r="W189" s="27"/>
      <c r="X189" s="27"/>
      <c r="Y189" s="27"/>
      <c r="Z189" s="27"/>
      <c r="AA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33">
        <f t="shared" si="1"/>
        <v>0</v>
      </c>
      <c r="W190" s="27"/>
      <c r="X190" s="27"/>
      <c r="Y190" s="27"/>
      <c r="Z190" s="27"/>
      <c r="AA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33">
        <f t="shared" si="1"/>
        <v>0</v>
      </c>
      <c r="W191" s="27"/>
      <c r="X191" s="27"/>
      <c r="Y191" s="27"/>
      <c r="Z191" s="27"/>
      <c r="AA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33">
        <f t="shared" si="1"/>
        <v>0</v>
      </c>
      <c r="W192" s="27"/>
      <c r="X192" s="27"/>
      <c r="Y192" s="27"/>
      <c r="Z192" s="27"/>
      <c r="AA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33">
        <f t="shared" si="1"/>
        <v>0</v>
      </c>
      <c r="W193" s="27"/>
      <c r="X193" s="27"/>
      <c r="Y193" s="27"/>
      <c r="Z193" s="27"/>
      <c r="AA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33">
        <f t="shared" si="1"/>
        <v>0</v>
      </c>
      <c r="W194" s="27"/>
      <c r="X194" s="27"/>
      <c r="Y194" s="27"/>
      <c r="Z194" s="27"/>
      <c r="AA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33">
        <f t="shared" si="1"/>
        <v>0</v>
      </c>
      <c r="W195" s="27"/>
      <c r="X195" s="27"/>
      <c r="Y195" s="27"/>
      <c r="Z195" s="27"/>
      <c r="AA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33">
        <f t="shared" si="1"/>
        <v>0</v>
      </c>
      <c r="W196" s="27"/>
      <c r="X196" s="27"/>
      <c r="Y196" s="27"/>
      <c r="Z196" s="27"/>
      <c r="AA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33">
        <f t="shared" si="1"/>
        <v>0</v>
      </c>
      <c r="W197" s="27"/>
      <c r="X197" s="27"/>
      <c r="Y197" s="27"/>
      <c r="Z197" s="27"/>
      <c r="AA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33">
        <f t="shared" si="1"/>
        <v>0</v>
      </c>
      <c r="W198" s="27"/>
      <c r="X198" s="27"/>
      <c r="Y198" s="27"/>
      <c r="Z198" s="27"/>
      <c r="AA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33">
        <f t="shared" si="1"/>
        <v>0</v>
      </c>
      <c r="W199" s="27"/>
      <c r="X199" s="27"/>
      <c r="Y199" s="27"/>
      <c r="Z199" s="27"/>
      <c r="AA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33">
        <f t="shared" si="1"/>
        <v>0</v>
      </c>
      <c r="W200" s="27"/>
      <c r="X200" s="27"/>
      <c r="Y200" s="27"/>
      <c r="Z200" s="27"/>
      <c r="AA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33">
        <f t="shared" si="1"/>
        <v>0</v>
      </c>
      <c r="W201" s="27"/>
      <c r="X201" s="27"/>
      <c r="Y201" s="27"/>
      <c r="Z201" s="27"/>
      <c r="AA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33">
        <f t="shared" si="1"/>
        <v>0</v>
      </c>
      <c r="W202" s="27"/>
      <c r="X202" s="27"/>
      <c r="Y202" s="27"/>
      <c r="Z202" s="27"/>
      <c r="AA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33">
        <f t="shared" si="1"/>
        <v>0</v>
      </c>
      <c r="W203" s="27"/>
      <c r="X203" s="27"/>
      <c r="Y203" s="27"/>
      <c r="Z203" s="27"/>
      <c r="AA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33">
        <f t="shared" si="1"/>
        <v>0</v>
      </c>
      <c r="W204" s="27"/>
      <c r="X204" s="27"/>
      <c r="Y204" s="27"/>
      <c r="Z204" s="27"/>
      <c r="AA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33">
        <f t="shared" si="1"/>
        <v>0</v>
      </c>
      <c r="W205" s="27"/>
      <c r="X205" s="27"/>
      <c r="Y205" s="27"/>
      <c r="Z205" s="27"/>
      <c r="AA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33">
        <f t="shared" si="1"/>
        <v>0</v>
      </c>
      <c r="W206" s="27"/>
      <c r="X206" s="27"/>
      <c r="Y206" s="27"/>
      <c r="Z206" s="27"/>
      <c r="AA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33">
        <f t="shared" si="1"/>
        <v>0</v>
      </c>
      <c r="W207" s="27"/>
      <c r="X207" s="27"/>
      <c r="Y207" s="27"/>
      <c r="Z207" s="27"/>
      <c r="AA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33">
        <f t="shared" si="1"/>
        <v>0</v>
      </c>
      <c r="W208" s="27"/>
      <c r="X208" s="27"/>
      <c r="Y208" s="27"/>
      <c r="Z208" s="27"/>
      <c r="AA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33">
        <f t="shared" si="1"/>
        <v>0</v>
      </c>
      <c r="W209" s="27"/>
      <c r="X209" s="27"/>
      <c r="Y209" s="27"/>
      <c r="Z209" s="27"/>
      <c r="AA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33">
        <f t="shared" si="1"/>
        <v>0</v>
      </c>
      <c r="W210" s="27"/>
      <c r="X210" s="27"/>
      <c r="Y210" s="27"/>
      <c r="Z210" s="27"/>
      <c r="AA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33">
        <f t="shared" si="1"/>
        <v>0</v>
      </c>
      <c r="W211" s="27"/>
      <c r="X211" s="27"/>
      <c r="Y211" s="27"/>
      <c r="Z211" s="27"/>
      <c r="AA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33">
        <f t="shared" si="1"/>
        <v>0</v>
      </c>
      <c r="W212" s="27"/>
      <c r="X212" s="27"/>
      <c r="Y212" s="27"/>
      <c r="Z212" s="27"/>
      <c r="AA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33">
        <f t="shared" si="1"/>
        <v>0</v>
      </c>
      <c r="W213" s="27"/>
      <c r="X213" s="27"/>
      <c r="Y213" s="27"/>
      <c r="Z213" s="27"/>
      <c r="AA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33">
        <f t="shared" si="1"/>
        <v>0</v>
      </c>
      <c r="W214" s="27"/>
      <c r="X214" s="27"/>
      <c r="Y214" s="27"/>
      <c r="Z214" s="27"/>
      <c r="AA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33">
        <f t="shared" si="1"/>
        <v>0</v>
      </c>
      <c r="W215" s="27"/>
      <c r="X215" s="27"/>
      <c r="Y215" s="27"/>
      <c r="Z215" s="27"/>
      <c r="AA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33">
        <f t="shared" si="1"/>
        <v>0</v>
      </c>
      <c r="W216" s="27"/>
      <c r="X216" s="27"/>
      <c r="Y216" s="27"/>
      <c r="Z216" s="27"/>
      <c r="AA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33">
        <f t="shared" si="1"/>
        <v>0</v>
      </c>
      <c r="W217" s="27"/>
      <c r="X217" s="27"/>
      <c r="Y217" s="27"/>
      <c r="Z217" s="27"/>
      <c r="AA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33">
        <f t="shared" si="1"/>
        <v>0</v>
      </c>
      <c r="W218" s="27"/>
      <c r="X218" s="27"/>
      <c r="Y218" s="27"/>
      <c r="Z218" s="27"/>
      <c r="AA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33">
        <f t="shared" si="1"/>
        <v>0</v>
      </c>
      <c r="W219" s="27"/>
      <c r="X219" s="27"/>
      <c r="Y219" s="27"/>
      <c r="Z219" s="27"/>
      <c r="AA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33">
        <f t="shared" si="1"/>
        <v>0</v>
      </c>
      <c r="W220" s="27"/>
      <c r="X220" s="27"/>
      <c r="Y220" s="27"/>
      <c r="Z220" s="27"/>
      <c r="AA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33">
        <f t="shared" si="1"/>
        <v>0</v>
      </c>
      <c r="W221" s="27"/>
      <c r="X221" s="27"/>
      <c r="Y221" s="27"/>
      <c r="Z221" s="27"/>
      <c r="AA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33">
        <f t="shared" si="1"/>
        <v>0</v>
      </c>
      <c r="W222" s="27"/>
      <c r="X222" s="27"/>
      <c r="Y222" s="27"/>
      <c r="Z222" s="27"/>
      <c r="AA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33">
        <f t="shared" si="1"/>
        <v>0</v>
      </c>
      <c r="W223" s="27"/>
      <c r="X223" s="27"/>
      <c r="Y223" s="27"/>
      <c r="Z223" s="27"/>
      <c r="AA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33">
        <f t="shared" si="1"/>
        <v>0</v>
      </c>
      <c r="W224" s="27"/>
      <c r="X224" s="27"/>
      <c r="Y224" s="27"/>
      <c r="Z224" s="27"/>
      <c r="AA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33">
        <f t="shared" si="1"/>
        <v>0</v>
      </c>
      <c r="W225" s="27"/>
      <c r="X225" s="27"/>
      <c r="Y225" s="27"/>
      <c r="Z225" s="27"/>
      <c r="AA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33">
        <f t="shared" si="1"/>
        <v>0</v>
      </c>
      <c r="W226" s="27"/>
      <c r="X226" s="27"/>
      <c r="Y226" s="27"/>
      <c r="Z226" s="27"/>
      <c r="AA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33">
        <f t="shared" si="1"/>
        <v>0</v>
      </c>
      <c r="W227" s="27"/>
      <c r="X227" s="27"/>
      <c r="Y227" s="27"/>
      <c r="Z227" s="27"/>
      <c r="AA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33">
        <f t="shared" si="1"/>
        <v>0</v>
      </c>
      <c r="W228" s="27"/>
      <c r="X228" s="27"/>
      <c r="Y228" s="27"/>
      <c r="Z228" s="27"/>
      <c r="AA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33">
        <f t="shared" si="1"/>
        <v>0</v>
      </c>
      <c r="W229" s="27"/>
      <c r="X229" s="27"/>
      <c r="Y229" s="27"/>
      <c r="Z229" s="27"/>
      <c r="AA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33">
        <f t="shared" si="1"/>
        <v>0</v>
      </c>
      <c r="W230" s="27"/>
      <c r="X230" s="27"/>
      <c r="Y230" s="27"/>
      <c r="Z230" s="27"/>
      <c r="AA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33">
        <f t="shared" si="1"/>
        <v>0</v>
      </c>
      <c r="W231" s="27"/>
      <c r="X231" s="27"/>
      <c r="Y231" s="27"/>
      <c r="Z231" s="27"/>
      <c r="AA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33">
        <f t="shared" si="1"/>
        <v>0</v>
      </c>
      <c r="W232" s="27"/>
      <c r="X232" s="27"/>
      <c r="Y232" s="27"/>
      <c r="Z232" s="27"/>
      <c r="AA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33">
        <f t="shared" si="1"/>
        <v>0</v>
      </c>
      <c r="W233" s="27"/>
      <c r="X233" s="27"/>
      <c r="Y233" s="27"/>
      <c r="Z233" s="27"/>
      <c r="AA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33">
        <f t="shared" si="1"/>
        <v>0</v>
      </c>
      <c r="W234" s="27"/>
      <c r="X234" s="27"/>
      <c r="Y234" s="27"/>
      <c r="Z234" s="27"/>
      <c r="AA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33">
        <f t="shared" si="1"/>
        <v>0</v>
      </c>
      <c r="W235" s="27"/>
      <c r="X235" s="27"/>
      <c r="Y235" s="27"/>
      <c r="Z235" s="27"/>
      <c r="AA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33">
        <f t="shared" si="1"/>
        <v>0</v>
      </c>
      <c r="W236" s="27"/>
      <c r="X236" s="27"/>
      <c r="Y236" s="27"/>
      <c r="Z236" s="27"/>
      <c r="AA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33">
        <f t="shared" si="1"/>
        <v>0</v>
      </c>
      <c r="W237" s="27"/>
      <c r="X237" s="27"/>
      <c r="Y237" s="27"/>
      <c r="Z237" s="27"/>
      <c r="AA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33">
        <f t="shared" si="1"/>
        <v>0</v>
      </c>
      <c r="W238" s="27"/>
      <c r="X238" s="27"/>
      <c r="Y238" s="27"/>
      <c r="Z238" s="27"/>
      <c r="AA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33">
        <f t="shared" si="1"/>
        <v>0</v>
      </c>
      <c r="W239" s="27"/>
      <c r="X239" s="27"/>
      <c r="Y239" s="27"/>
      <c r="Z239" s="27"/>
      <c r="AA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33">
        <f t="shared" si="1"/>
        <v>0</v>
      </c>
      <c r="W240" s="27"/>
      <c r="X240" s="27"/>
      <c r="Y240" s="27"/>
      <c r="Z240" s="27"/>
      <c r="AA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33">
        <f t="shared" si="1"/>
        <v>0</v>
      </c>
      <c r="W241" s="27"/>
      <c r="X241" s="27"/>
      <c r="Y241" s="27"/>
      <c r="Z241" s="27"/>
      <c r="AA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33">
        <f t="shared" si="1"/>
        <v>0</v>
      </c>
      <c r="W242" s="27"/>
      <c r="X242" s="27"/>
      <c r="Y242" s="27"/>
      <c r="Z242" s="27"/>
      <c r="AA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33">
        <f t="shared" si="1"/>
        <v>0</v>
      </c>
      <c r="W243" s="27"/>
      <c r="X243" s="27"/>
      <c r="Y243" s="27"/>
      <c r="Z243" s="27"/>
      <c r="AA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33">
        <f t="shared" si="1"/>
        <v>0</v>
      </c>
      <c r="W244" s="27"/>
      <c r="X244" s="27"/>
      <c r="Y244" s="27"/>
      <c r="Z244" s="27"/>
      <c r="AA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33">
        <f t="shared" si="1"/>
        <v>0</v>
      </c>
      <c r="W245" s="27"/>
      <c r="X245" s="27"/>
      <c r="Y245" s="27"/>
      <c r="Z245" s="27"/>
      <c r="AA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33">
        <f t="shared" si="1"/>
        <v>0</v>
      </c>
      <c r="W246" s="27"/>
      <c r="X246" s="27"/>
      <c r="Y246" s="27"/>
      <c r="Z246" s="27"/>
      <c r="AA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33">
        <f t="shared" si="1"/>
        <v>0</v>
      </c>
      <c r="W247" s="27"/>
      <c r="X247" s="27"/>
      <c r="Y247" s="27"/>
      <c r="Z247" s="27"/>
      <c r="AA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33">
        <f t="shared" si="1"/>
        <v>0</v>
      </c>
      <c r="W248" s="27"/>
      <c r="X248" s="27"/>
      <c r="Y248" s="27"/>
      <c r="Z248" s="27"/>
      <c r="AA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33">
        <f t="shared" si="1"/>
        <v>0</v>
      </c>
      <c r="W249" s="27"/>
      <c r="X249" s="27"/>
      <c r="Y249" s="27"/>
      <c r="Z249" s="27"/>
      <c r="AA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33">
        <f t="shared" si="1"/>
        <v>0</v>
      </c>
      <c r="W250" s="27"/>
      <c r="X250" s="27"/>
      <c r="Y250" s="27"/>
      <c r="Z250" s="27"/>
      <c r="AA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33">
        <f t="shared" si="1"/>
        <v>0</v>
      </c>
      <c r="W251" s="27"/>
      <c r="X251" s="27"/>
      <c r="Y251" s="27"/>
      <c r="Z251" s="27"/>
      <c r="AA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33">
        <f t="shared" si="1"/>
        <v>0</v>
      </c>
      <c r="W252" s="27"/>
      <c r="X252" s="27"/>
      <c r="Y252" s="27"/>
      <c r="Z252" s="27"/>
      <c r="AA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33">
        <f t="shared" si="1"/>
        <v>0</v>
      </c>
      <c r="W253" s="27"/>
      <c r="X253" s="27"/>
      <c r="Y253" s="27"/>
      <c r="Z253" s="27"/>
      <c r="AA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33">
        <f t="shared" si="1"/>
        <v>0</v>
      </c>
      <c r="W254" s="27"/>
      <c r="X254" s="27"/>
      <c r="Y254" s="27"/>
      <c r="Z254" s="27"/>
      <c r="AA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33">
        <f t="shared" si="1"/>
        <v>0</v>
      </c>
      <c r="W255" s="27"/>
      <c r="X255" s="27"/>
      <c r="Y255" s="27"/>
      <c r="Z255" s="27"/>
      <c r="AA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33">
        <f t="shared" si="1"/>
        <v>0</v>
      </c>
      <c r="W256" s="27"/>
      <c r="X256" s="27"/>
      <c r="Y256" s="27"/>
      <c r="Z256" s="27"/>
      <c r="AA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33">
        <f t="shared" si="1"/>
        <v>0</v>
      </c>
      <c r="W257" s="27"/>
      <c r="X257" s="27"/>
      <c r="Y257" s="27"/>
      <c r="Z257" s="27"/>
      <c r="AA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33">
        <f t="shared" si="1"/>
        <v>0</v>
      </c>
      <c r="W258" s="27"/>
      <c r="X258" s="27"/>
      <c r="Y258" s="27"/>
      <c r="Z258" s="27"/>
      <c r="AA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33">
        <f t="shared" si="1"/>
        <v>0</v>
      </c>
      <c r="W259" s="27"/>
      <c r="X259" s="27"/>
      <c r="Y259" s="27"/>
      <c r="Z259" s="27"/>
      <c r="AA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33">
        <f t="shared" si="1"/>
        <v>0</v>
      </c>
      <c r="W260" s="27"/>
      <c r="X260" s="27"/>
      <c r="Y260" s="27"/>
      <c r="Z260" s="27"/>
      <c r="AA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33">
        <f t="shared" si="1"/>
        <v>0</v>
      </c>
      <c r="W261" s="27"/>
      <c r="X261" s="27"/>
      <c r="Y261" s="27"/>
      <c r="Z261" s="27"/>
      <c r="AA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33">
        <f t="shared" si="1"/>
        <v>0</v>
      </c>
      <c r="W262" s="27"/>
      <c r="X262" s="27"/>
      <c r="Y262" s="27"/>
      <c r="Z262" s="27"/>
      <c r="AA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33">
        <f t="shared" si="1"/>
        <v>0</v>
      </c>
      <c r="W263" s="27"/>
      <c r="X263" s="27"/>
      <c r="Y263" s="27"/>
      <c r="Z263" s="27"/>
      <c r="AA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33">
        <f t="shared" si="1"/>
        <v>0</v>
      </c>
      <c r="W264" s="27"/>
      <c r="X264" s="27"/>
      <c r="Y264" s="27"/>
      <c r="Z264" s="27"/>
      <c r="AA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33">
        <f t="shared" si="1"/>
        <v>0</v>
      </c>
      <c r="W265" s="27"/>
      <c r="X265" s="27"/>
      <c r="Y265" s="27"/>
      <c r="Z265" s="27"/>
      <c r="AA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33">
        <f t="shared" si="1"/>
        <v>0</v>
      </c>
      <c r="W266" s="27"/>
      <c r="X266" s="27"/>
      <c r="Y266" s="27"/>
      <c r="Z266" s="27"/>
      <c r="AA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33">
        <f t="shared" si="1"/>
        <v>0</v>
      </c>
      <c r="W267" s="27"/>
      <c r="X267" s="27"/>
      <c r="Y267" s="27"/>
      <c r="Z267" s="27"/>
      <c r="AA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33">
        <f t="shared" si="1"/>
        <v>0</v>
      </c>
      <c r="W268" s="27"/>
      <c r="X268" s="27"/>
      <c r="Y268" s="27"/>
      <c r="Z268" s="27"/>
      <c r="AA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33">
        <f t="shared" si="1"/>
        <v>0</v>
      </c>
      <c r="W269" s="27"/>
      <c r="X269" s="27"/>
      <c r="Y269" s="27"/>
      <c r="Z269" s="27"/>
      <c r="AA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33">
        <f t="shared" si="1"/>
        <v>0</v>
      </c>
      <c r="W270" s="27"/>
      <c r="X270" s="27"/>
      <c r="Y270" s="27"/>
      <c r="Z270" s="27"/>
      <c r="AA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33">
        <f t="shared" si="1"/>
        <v>0</v>
      </c>
      <c r="W271" s="27"/>
      <c r="X271" s="27"/>
      <c r="Y271" s="27"/>
      <c r="Z271" s="27"/>
      <c r="AA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33">
        <f t="shared" si="1"/>
        <v>0</v>
      </c>
      <c r="W272" s="27"/>
      <c r="X272" s="27"/>
      <c r="Y272" s="27"/>
      <c r="Z272" s="27"/>
      <c r="AA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33">
        <f t="shared" si="1"/>
        <v>0</v>
      </c>
      <c r="W273" s="27"/>
      <c r="X273" s="27"/>
      <c r="Y273" s="27"/>
      <c r="Z273" s="27"/>
      <c r="AA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33">
        <f t="shared" si="1"/>
        <v>0</v>
      </c>
      <c r="W274" s="27"/>
      <c r="X274" s="27"/>
      <c r="Y274" s="27"/>
      <c r="Z274" s="27"/>
      <c r="AA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33">
        <f t="shared" si="1"/>
        <v>0</v>
      </c>
      <c r="W275" s="27"/>
      <c r="X275" s="27"/>
      <c r="Y275" s="27"/>
      <c r="Z275" s="27"/>
      <c r="AA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33">
        <f t="shared" si="1"/>
        <v>0</v>
      </c>
      <c r="W276" s="27"/>
      <c r="X276" s="27"/>
      <c r="Y276" s="27"/>
      <c r="Z276" s="27"/>
      <c r="AA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33">
        <f t="shared" si="1"/>
        <v>0</v>
      </c>
      <c r="W277" s="27"/>
      <c r="X277" s="27"/>
      <c r="Y277" s="27"/>
      <c r="Z277" s="27"/>
      <c r="AA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33">
        <f t="shared" si="1"/>
        <v>0</v>
      </c>
      <c r="W278" s="27"/>
      <c r="X278" s="27"/>
      <c r="Y278" s="27"/>
      <c r="Z278" s="27"/>
      <c r="AA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33">
        <f t="shared" si="1"/>
        <v>0</v>
      </c>
      <c r="W279" s="27"/>
      <c r="X279" s="27"/>
      <c r="Y279" s="27"/>
      <c r="Z279" s="27"/>
      <c r="AA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33">
        <f t="shared" si="1"/>
        <v>0</v>
      </c>
      <c r="W280" s="27"/>
      <c r="X280" s="27"/>
      <c r="Y280" s="27"/>
      <c r="Z280" s="27"/>
      <c r="AA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33">
        <f t="shared" si="1"/>
        <v>0</v>
      </c>
      <c r="W281" s="27"/>
      <c r="X281" s="27"/>
      <c r="Y281" s="27"/>
      <c r="Z281" s="27"/>
      <c r="AA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33">
        <f t="shared" si="1"/>
        <v>0</v>
      </c>
      <c r="W282" s="27"/>
      <c r="X282" s="27"/>
      <c r="Y282" s="27"/>
      <c r="Z282" s="27"/>
      <c r="AA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33">
        <f t="shared" si="1"/>
        <v>0</v>
      </c>
      <c r="W283" s="27"/>
      <c r="X283" s="27"/>
      <c r="Y283" s="27"/>
      <c r="Z283" s="27"/>
      <c r="AA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33">
        <f t="shared" si="1"/>
        <v>0</v>
      </c>
      <c r="W284" s="27"/>
      <c r="X284" s="27"/>
      <c r="Y284" s="27"/>
      <c r="Z284" s="27"/>
      <c r="AA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33">
        <f t="shared" si="1"/>
        <v>0</v>
      </c>
      <c r="W285" s="27"/>
      <c r="X285" s="27"/>
      <c r="Y285" s="27"/>
      <c r="Z285" s="27"/>
      <c r="AA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33">
        <f t="shared" si="1"/>
        <v>0</v>
      </c>
      <c r="W286" s="27"/>
      <c r="X286" s="27"/>
      <c r="Y286" s="27"/>
      <c r="Z286" s="27"/>
      <c r="AA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33">
        <f t="shared" si="1"/>
        <v>0</v>
      </c>
      <c r="W287" s="27"/>
      <c r="X287" s="27"/>
      <c r="Y287" s="27"/>
      <c r="Z287" s="27"/>
      <c r="AA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33">
        <f t="shared" si="1"/>
        <v>0</v>
      </c>
      <c r="W288" s="27"/>
      <c r="X288" s="27"/>
      <c r="Y288" s="27"/>
      <c r="Z288" s="27"/>
      <c r="AA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33">
        <f t="shared" si="1"/>
        <v>0</v>
      </c>
      <c r="W289" s="27"/>
      <c r="X289" s="27"/>
      <c r="Y289" s="27"/>
      <c r="Z289" s="27"/>
      <c r="AA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33">
        <f t="shared" si="1"/>
        <v>0</v>
      </c>
      <c r="W290" s="27"/>
      <c r="X290" s="27"/>
      <c r="Y290" s="27"/>
      <c r="Z290" s="27"/>
      <c r="AA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33">
        <f t="shared" si="1"/>
        <v>0</v>
      </c>
      <c r="W291" s="27"/>
      <c r="X291" s="27"/>
      <c r="Y291" s="27"/>
      <c r="Z291" s="27"/>
      <c r="AA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33">
        <f t="shared" si="1"/>
        <v>0</v>
      </c>
      <c r="W292" s="27"/>
      <c r="X292" s="27"/>
      <c r="Y292" s="27"/>
      <c r="Z292" s="27"/>
      <c r="AA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33">
        <f t="shared" si="1"/>
        <v>0</v>
      </c>
      <c r="W293" s="27"/>
      <c r="X293" s="27"/>
      <c r="Y293" s="27"/>
      <c r="Z293" s="27"/>
      <c r="AA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33">
        <f t="shared" si="1"/>
        <v>0</v>
      </c>
      <c r="W294" s="27"/>
      <c r="X294" s="27"/>
      <c r="Y294" s="27"/>
      <c r="Z294" s="27"/>
      <c r="AA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33">
        <f t="shared" si="1"/>
        <v>0</v>
      </c>
      <c r="W295" s="27"/>
      <c r="X295" s="27"/>
      <c r="Y295" s="27"/>
      <c r="Z295" s="27"/>
      <c r="AA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33">
        <f t="shared" si="1"/>
        <v>0</v>
      </c>
      <c r="W296" s="27"/>
      <c r="X296" s="27"/>
      <c r="Y296" s="27"/>
      <c r="Z296" s="27"/>
      <c r="AA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33">
        <f t="shared" si="1"/>
        <v>0</v>
      </c>
      <c r="W297" s="27"/>
      <c r="X297" s="27"/>
      <c r="Y297" s="27"/>
      <c r="Z297" s="27"/>
      <c r="AA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33">
        <f t="shared" si="1"/>
        <v>0</v>
      </c>
      <c r="W298" s="27"/>
      <c r="X298" s="27"/>
      <c r="Y298" s="27"/>
      <c r="Z298" s="27"/>
      <c r="AA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33">
        <f t="shared" si="1"/>
        <v>0</v>
      </c>
      <c r="W299" s="27"/>
      <c r="X299" s="27"/>
      <c r="Y299" s="27"/>
      <c r="Z299" s="27"/>
      <c r="AA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33">
        <f t="shared" si="1"/>
        <v>0</v>
      </c>
      <c r="W300" s="27"/>
      <c r="X300" s="27"/>
      <c r="Y300" s="27"/>
      <c r="Z300" s="27"/>
      <c r="AA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33">
        <f t="shared" si="1"/>
        <v>0</v>
      </c>
      <c r="W301" s="27"/>
      <c r="X301" s="27"/>
      <c r="Y301" s="27"/>
      <c r="Z301" s="27"/>
      <c r="AA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33">
        <f t="shared" si="1"/>
        <v>0</v>
      </c>
      <c r="W302" s="27"/>
      <c r="X302" s="27"/>
      <c r="Y302" s="27"/>
      <c r="Z302" s="27"/>
      <c r="AA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33">
        <f t="shared" si="1"/>
        <v>0</v>
      </c>
      <c r="W303" s="27"/>
      <c r="X303" s="27"/>
      <c r="Y303" s="27"/>
      <c r="Z303" s="27"/>
      <c r="AA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33">
        <f t="shared" si="1"/>
        <v>0</v>
      </c>
      <c r="W304" s="27"/>
      <c r="X304" s="27"/>
      <c r="Y304" s="27"/>
      <c r="Z304" s="27"/>
      <c r="AA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33">
        <f t="shared" si="1"/>
        <v>0</v>
      </c>
      <c r="W305" s="27"/>
      <c r="X305" s="27"/>
      <c r="Y305" s="27"/>
      <c r="Z305" s="27"/>
      <c r="AA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33">
        <f t="shared" si="1"/>
        <v>0</v>
      </c>
      <c r="W306" s="27"/>
      <c r="X306" s="27"/>
      <c r="Y306" s="27"/>
      <c r="Z306" s="27"/>
      <c r="AA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33">
        <f t="shared" si="1"/>
        <v>0</v>
      </c>
      <c r="W307" s="27"/>
      <c r="X307" s="27"/>
      <c r="Y307" s="27"/>
      <c r="Z307" s="27"/>
      <c r="AA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33">
        <f t="shared" si="1"/>
        <v>0</v>
      </c>
      <c r="W308" s="27"/>
      <c r="X308" s="27"/>
      <c r="Y308" s="27"/>
      <c r="Z308" s="27"/>
      <c r="AA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33">
        <f t="shared" si="1"/>
        <v>0</v>
      </c>
      <c r="W309" s="27"/>
      <c r="X309" s="27"/>
      <c r="Y309" s="27"/>
      <c r="Z309" s="27"/>
      <c r="AA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33">
        <f t="shared" si="1"/>
        <v>0</v>
      </c>
      <c r="W310" s="27"/>
      <c r="X310" s="27"/>
      <c r="Y310" s="27"/>
      <c r="Z310" s="27"/>
      <c r="AA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33">
        <f t="shared" si="1"/>
        <v>0</v>
      </c>
      <c r="W311" s="27"/>
      <c r="X311" s="27"/>
      <c r="Y311" s="27"/>
      <c r="Z311" s="27"/>
      <c r="AA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33">
        <f t="shared" si="1"/>
        <v>0</v>
      </c>
      <c r="W312" s="27"/>
      <c r="X312" s="27"/>
      <c r="Y312" s="27"/>
      <c r="Z312" s="27"/>
      <c r="AA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33">
        <f t="shared" si="1"/>
        <v>0</v>
      </c>
      <c r="W313" s="27"/>
      <c r="X313" s="27"/>
      <c r="Y313" s="27"/>
      <c r="Z313" s="27"/>
      <c r="AA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33">
        <f t="shared" si="1"/>
        <v>0</v>
      </c>
      <c r="W314" s="27"/>
      <c r="X314" s="27"/>
      <c r="Y314" s="27"/>
      <c r="Z314" s="27"/>
      <c r="AA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33">
        <f t="shared" si="1"/>
        <v>0</v>
      </c>
      <c r="W315" s="27"/>
      <c r="X315" s="27"/>
      <c r="Y315" s="27"/>
      <c r="Z315" s="27"/>
      <c r="AA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33">
        <f t="shared" si="1"/>
        <v>0</v>
      </c>
      <c r="W316" s="27"/>
      <c r="X316" s="27"/>
      <c r="Y316" s="27"/>
      <c r="Z316" s="27"/>
      <c r="AA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33">
        <f t="shared" si="1"/>
        <v>0</v>
      </c>
      <c r="W317" s="27"/>
      <c r="X317" s="27"/>
      <c r="Y317" s="27"/>
      <c r="Z317" s="27"/>
      <c r="AA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33">
        <f t="shared" si="1"/>
        <v>0</v>
      </c>
      <c r="W318" s="27"/>
      <c r="X318" s="27"/>
      <c r="Y318" s="27"/>
      <c r="Z318" s="27"/>
      <c r="AA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33">
        <f t="shared" si="1"/>
        <v>0</v>
      </c>
      <c r="W319" s="27"/>
      <c r="X319" s="27"/>
      <c r="Y319" s="27"/>
      <c r="Z319" s="27"/>
      <c r="AA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33">
        <f t="shared" si="1"/>
        <v>0</v>
      </c>
      <c r="W320" s="27"/>
      <c r="X320" s="27"/>
      <c r="Y320" s="27"/>
      <c r="Z320" s="27"/>
      <c r="AA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33">
        <f t="shared" si="1"/>
        <v>0</v>
      </c>
      <c r="W321" s="27"/>
      <c r="X321" s="27"/>
      <c r="Y321" s="27"/>
      <c r="Z321" s="27"/>
      <c r="AA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33">
        <f t="shared" si="1"/>
        <v>0</v>
      </c>
      <c r="W322" s="27"/>
      <c r="X322" s="27"/>
      <c r="Y322" s="27"/>
      <c r="Z322" s="27"/>
      <c r="AA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33">
        <f t="shared" si="1"/>
        <v>0</v>
      </c>
      <c r="W323" s="27"/>
      <c r="X323" s="27"/>
      <c r="Y323" s="27"/>
      <c r="Z323" s="27"/>
      <c r="AA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33">
        <f t="shared" si="1"/>
        <v>0</v>
      </c>
      <c r="W324" s="27"/>
      <c r="X324" s="27"/>
      <c r="Y324" s="27"/>
      <c r="Z324" s="27"/>
      <c r="AA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33">
        <f t="shared" si="1"/>
        <v>0</v>
      </c>
      <c r="W325" s="27"/>
      <c r="X325" s="27"/>
      <c r="Y325" s="27"/>
      <c r="Z325" s="27"/>
      <c r="AA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33">
        <f t="shared" si="1"/>
        <v>0</v>
      </c>
      <c r="W326" s="27"/>
      <c r="X326" s="27"/>
      <c r="Y326" s="27"/>
      <c r="Z326" s="27"/>
      <c r="AA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33">
        <f t="shared" si="1"/>
        <v>0</v>
      </c>
      <c r="W327" s="27"/>
      <c r="X327" s="27"/>
      <c r="Y327" s="27"/>
      <c r="Z327" s="27"/>
      <c r="AA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33">
        <f t="shared" si="1"/>
        <v>0</v>
      </c>
      <c r="W328" s="27"/>
      <c r="X328" s="27"/>
      <c r="Y328" s="27"/>
      <c r="Z328" s="27"/>
      <c r="AA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33">
        <f t="shared" si="1"/>
        <v>0</v>
      </c>
      <c r="W329" s="27"/>
      <c r="X329" s="27"/>
      <c r="Y329" s="27"/>
      <c r="Z329" s="27"/>
      <c r="AA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33">
        <f t="shared" si="1"/>
        <v>0</v>
      </c>
      <c r="W330" s="27"/>
      <c r="X330" s="27"/>
      <c r="Y330" s="27"/>
      <c r="Z330" s="27"/>
      <c r="AA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33">
        <f t="shared" si="1"/>
        <v>0</v>
      </c>
      <c r="W331" s="27"/>
      <c r="X331" s="27"/>
      <c r="Y331" s="27"/>
      <c r="Z331" s="27"/>
      <c r="AA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33">
        <f t="shared" si="1"/>
        <v>0</v>
      </c>
      <c r="W332" s="27"/>
      <c r="X332" s="27"/>
      <c r="Y332" s="27"/>
      <c r="Z332" s="27"/>
      <c r="AA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33">
        <f t="shared" si="1"/>
        <v>0</v>
      </c>
      <c r="W333" s="27"/>
      <c r="X333" s="27"/>
      <c r="Y333" s="27"/>
      <c r="Z333" s="27"/>
      <c r="AA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33">
        <f t="shared" si="1"/>
        <v>0</v>
      </c>
      <c r="W334" s="27"/>
      <c r="X334" s="27"/>
      <c r="Y334" s="27"/>
      <c r="Z334" s="27"/>
      <c r="AA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33">
        <f t="shared" si="1"/>
        <v>0</v>
      </c>
      <c r="W335" s="27"/>
      <c r="X335" s="27"/>
      <c r="Y335" s="27"/>
      <c r="Z335" s="27"/>
      <c r="AA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33">
        <f t="shared" si="1"/>
        <v>0</v>
      </c>
      <c r="W336" s="27"/>
      <c r="X336" s="27"/>
      <c r="Y336" s="27"/>
      <c r="Z336" s="27"/>
      <c r="AA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33">
        <f t="shared" si="1"/>
        <v>0</v>
      </c>
      <c r="W337" s="27"/>
      <c r="X337" s="27"/>
      <c r="Y337" s="27"/>
      <c r="Z337" s="27"/>
      <c r="AA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33">
        <f t="shared" si="1"/>
        <v>0</v>
      </c>
      <c r="W338" s="27"/>
      <c r="X338" s="27"/>
      <c r="Y338" s="27"/>
      <c r="Z338" s="27"/>
      <c r="AA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33">
        <f t="shared" si="1"/>
        <v>0</v>
      </c>
      <c r="W339" s="27"/>
      <c r="X339" s="27"/>
      <c r="Y339" s="27"/>
      <c r="Z339" s="27"/>
      <c r="AA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33">
        <f t="shared" si="1"/>
        <v>0</v>
      </c>
      <c r="W340" s="27"/>
      <c r="X340" s="27"/>
      <c r="Y340" s="27"/>
      <c r="Z340" s="27"/>
      <c r="AA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33">
        <f t="shared" si="1"/>
        <v>0</v>
      </c>
      <c r="W341" s="27"/>
      <c r="X341" s="27"/>
      <c r="Y341" s="27"/>
      <c r="Z341" s="27"/>
      <c r="AA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33">
        <f t="shared" si="1"/>
        <v>0</v>
      </c>
      <c r="W342" s="27"/>
      <c r="X342" s="27"/>
      <c r="Y342" s="27"/>
      <c r="Z342" s="27"/>
      <c r="AA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33">
        <f t="shared" si="1"/>
        <v>0</v>
      </c>
      <c r="W343" s="27"/>
      <c r="X343" s="27"/>
      <c r="Y343" s="27"/>
      <c r="Z343" s="27"/>
      <c r="AA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33">
        <f t="shared" si="1"/>
        <v>0</v>
      </c>
      <c r="W344" s="27"/>
      <c r="X344" s="27"/>
      <c r="Y344" s="27"/>
      <c r="Z344" s="27"/>
      <c r="AA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33">
        <f t="shared" si="1"/>
        <v>0</v>
      </c>
      <c r="W345" s="27"/>
      <c r="X345" s="27"/>
      <c r="Y345" s="27"/>
      <c r="Z345" s="27"/>
      <c r="AA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33">
        <f t="shared" si="1"/>
        <v>0</v>
      </c>
      <c r="W346" s="27"/>
      <c r="X346" s="27"/>
      <c r="Y346" s="27"/>
      <c r="Z346" s="27"/>
      <c r="AA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33">
        <f t="shared" si="1"/>
        <v>0</v>
      </c>
      <c r="W347" s="27"/>
      <c r="X347" s="27"/>
      <c r="Y347" s="27"/>
      <c r="Z347" s="27"/>
      <c r="AA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33">
        <f t="shared" si="1"/>
        <v>0</v>
      </c>
      <c r="W348" s="27"/>
      <c r="X348" s="27"/>
      <c r="Y348" s="27"/>
      <c r="Z348" s="27"/>
      <c r="AA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33">
        <f t="shared" si="1"/>
        <v>0</v>
      </c>
      <c r="W349" s="27"/>
      <c r="X349" s="27"/>
      <c r="Y349" s="27"/>
      <c r="Z349" s="27"/>
      <c r="AA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33">
        <f t="shared" si="1"/>
        <v>0</v>
      </c>
      <c r="W350" s="27"/>
      <c r="X350" s="27"/>
      <c r="Y350" s="27"/>
      <c r="Z350" s="27"/>
      <c r="AA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33">
        <f t="shared" si="1"/>
        <v>0</v>
      </c>
      <c r="W351" s="27"/>
      <c r="X351" s="27"/>
      <c r="Y351" s="27"/>
      <c r="Z351" s="27"/>
      <c r="AA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33">
        <f t="shared" si="1"/>
        <v>0</v>
      </c>
      <c r="W352" s="27"/>
      <c r="X352" s="27"/>
      <c r="Y352" s="27"/>
      <c r="Z352" s="27"/>
      <c r="AA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33">
        <f t="shared" si="1"/>
        <v>0</v>
      </c>
      <c r="W353" s="27"/>
      <c r="X353" s="27"/>
      <c r="Y353" s="27"/>
      <c r="Z353" s="27"/>
      <c r="AA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33">
        <f t="shared" si="1"/>
        <v>0</v>
      </c>
      <c r="W354" s="27"/>
      <c r="X354" s="27"/>
      <c r="Y354" s="27"/>
      <c r="Z354" s="27"/>
      <c r="AA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33">
        <f t="shared" si="1"/>
        <v>0</v>
      </c>
      <c r="W355" s="27"/>
      <c r="X355" s="27"/>
      <c r="Y355" s="27"/>
      <c r="Z355" s="27"/>
      <c r="AA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33">
        <f t="shared" si="1"/>
        <v>0</v>
      </c>
      <c r="W356" s="27"/>
      <c r="X356" s="27"/>
      <c r="Y356" s="27"/>
      <c r="Z356" s="27"/>
      <c r="AA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33">
        <f t="shared" si="1"/>
        <v>0</v>
      </c>
      <c r="W357" s="27"/>
      <c r="X357" s="27"/>
      <c r="Y357" s="27"/>
      <c r="Z357" s="27"/>
      <c r="AA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33">
        <f t="shared" si="1"/>
        <v>0</v>
      </c>
      <c r="W358" s="27"/>
      <c r="X358" s="27"/>
      <c r="Y358" s="27"/>
      <c r="Z358" s="27"/>
      <c r="AA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33">
        <f t="shared" si="1"/>
        <v>0</v>
      </c>
      <c r="W359" s="27"/>
      <c r="X359" s="27"/>
      <c r="Y359" s="27"/>
      <c r="Z359" s="27"/>
      <c r="AA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33">
        <f t="shared" si="1"/>
        <v>0</v>
      </c>
      <c r="W360" s="27"/>
      <c r="X360" s="27"/>
      <c r="Y360" s="27"/>
      <c r="Z360" s="27"/>
      <c r="AA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33">
        <f t="shared" si="1"/>
        <v>0</v>
      </c>
      <c r="W361" s="27"/>
      <c r="X361" s="27"/>
      <c r="Y361" s="27"/>
      <c r="Z361" s="27"/>
      <c r="AA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33">
        <f t="shared" si="1"/>
        <v>0</v>
      </c>
      <c r="W362" s="27"/>
      <c r="X362" s="27"/>
      <c r="Y362" s="27"/>
      <c r="Z362" s="27"/>
      <c r="AA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33">
        <f t="shared" si="1"/>
        <v>0</v>
      </c>
      <c r="W363" s="27"/>
      <c r="X363" s="27"/>
      <c r="Y363" s="27"/>
      <c r="Z363" s="27"/>
      <c r="AA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33">
        <f t="shared" si="1"/>
        <v>0</v>
      </c>
      <c r="W364" s="27"/>
      <c r="X364" s="27"/>
      <c r="Y364" s="27"/>
      <c r="Z364" s="27"/>
      <c r="AA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33">
        <f t="shared" si="1"/>
        <v>0</v>
      </c>
      <c r="W365" s="27"/>
      <c r="X365" s="27"/>
      <c r="Y365" s="27"/>
      <c r="Z365" s="27"/>
      <c r="AA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33">
        <f t="shared" si="1"/>
        <v>0</v>
      </c>
      <c r="W366" s="27"/>
      <c r="X366" s="27"/>
      <c r="Y366" s="27"/>
      <c r="Z366" s="27"/>
      <c r="AA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33">
        <f t="shared" si="1"/>
        <v>0</v>
      </c>
      <c r="W367" s="27"/>
      <c r="X367" s="27"/>
      <c r="Y367" s="27"/>
      <c r="Z367" s="27"/>
      <c r="AA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33">
        <f t="shared" si="1"/>
        <v>0</v>
      </c>
      <c r="W368" s="27"/>
      <c r="X368" s="27"/>
      <c r="Y368" s="27"/>
      <c r="Z368" s="27"/>
      <c r="AA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33">
        <f t="shared" si="1"/>
        <v>0</v>
      </c>
      <c r="W369" s="27"/>
      <c r="X369" s="27"/>
      <c r="Y369" s="27"/>
      <c r="Z369" s="27"/>
      <c r="AA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33">
        <f t="shared" si="1"/>
        <v>0</v>
      </c>
      <c r="W370" s="27"/>
      <c r="X370" s="27"/>
      <c r="Y370" s="27"/>
      <c r="Z370" s="27"/>
      <c r="AA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33">
        <f t="shared" si="1"/>
        <v>0</v>
      </c>
      <c r="W371" s="27"/>
      <c r="X371" s="27"/>
      <c r="Y371" s="27"/>
      <c r="Z371" s="27"/>
      <c r="AA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33">
        <f t="shared" si="1"/>
        <v>0</v>
      </c>
      <c r="W372" s="27"/>
      <c r="X372" s="27"/>
      <c r="Y372" s="27"/>
      <c r="Z372" s="27"/>
      <c r="AA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33">
        <f t="shared" si="1"/>
        <v>0</v>
      </c>
      <c r="W373" s="27"/>
      <c r="X373" s="27"/>
      <c r="Y373" s="27"/>
      <c r="Z373" s="27"/>
      <c r="AA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33">
        <f t="shared" si="1"/>
        <v>0</v>
      </c>
      <c r="W374" s="27"/>
      <c r="X374" s="27"/>
      <c r="Y374" s="27"/>
      <c r="Z374" s="27"/>
      <c r="AA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33">
        <f t="shared" si="1"/>
        <v>0</v>
      </c>
      <c r="W375" s="27"/>
      <c r="X375" s="27"/>
      <c r="Y375" s="27"/>
      <c r="Z375" s="27"/>
      <c r="AA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33">
        <f t="shared" si="1"/>
        <v>0</v>
      </c>
      <c r="W376" s="27"/>
      <c r="X376" s="27"/>
      <c r="Y376" s="27"/>
      <c r="Z376" s="27"/>
      <c r="AA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33">
        <f t="shared" si="1"/>
        <v>0</v>
      </c>
      <c r="W377" s="27"/>
      <c r="X377" s="27"/>
      <c r="Y377" s="27"/>
      <c r="Z377" s="27"/>
      <c r="AA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33">
        <f t="shared" si="1"/>
        <v>0</v>
      </c>
      <c r="W378" s="27"/>
      <c r="X378" s="27"/>
      <c r="Y378" s="27"/>
      <c r="Z378" s="27"/>
      <c r="AA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33">
        <f t="shared" si="1"/>
        <v>0</v>
      </c>
      <c r="W379" s="27"/>
      <c r="X379" s="27"/>
      <c r="Y379" s="27"/>
      <c r="Z379" s="27"/>
      <c r="AA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33">
        <f t="shared" si="1"/>
        <v>0</v>
      </c>
      <c r="W380" s="27"/>
      <c r="X380" s="27"/>
      <c r="Y380" s="27"/>
      <c r="Z380" s="27"/>
      <c r="AA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33">
        <f t="shared" si="1"/>
        <v>0</v>
      </c>
      <c r="W381" s="27"/>
      <c r="X381" s="27"/>
      <c r="Y381" s="27"/>
      <c r="Z381" s="27"/>
      <c r="AA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33">
        <f t="shared" si="1"/>
        <v>0</v>
      </c>
      <c r="W382" s="27"/>
      <c r="X382" s="27"/>
      <c r="Y382" s="27"/>
      <c r="Z382" s="27"/>
      <c r="AA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33">
        <f t="shared" si="1"/>
        <v>0</v>
      </c>
      <c r="W383" s="27"/>
      <c r="X383" s="27"/>
      <c r="Y383" s="27"/>
      <c r="Z383" s="27"/>
      <c r="AA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33">
        <f t="shared" si="1"/>
        <v>0</v>
      </c>
      <c r="W384" s="27"/>
      <c r="X384" s="27"/>
      <c r="Y384" s="27"/>
      <c r="Z384" s="27"/>
      <c r="AA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33">
        <f t="shared" si="1"/>
        <v>0</v>
      </c>
      <c r="W385" s="27"/>
      <c r="X385" s="27"/>
      <c r="Y385" s="27"/>
      <c r="Z385" s="27"/>
      <c r="AA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33">
        <f t="shared" si="1"/>
        <v>0</v>
      </c>
      <c r="W386" s="27"/>
      <c r="X386" s="27"/>
      <c r="Y386" s="27"/>
      <c r="Z386" s="27"/>
      <c r="AA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33">
        <f t="shared" si="1"/>
        <v>0</v>
      </c>
      <c r="W387" s="27"/>
      <c r="X387" s="27"/>
      <c r="Y387" s="27"/>
      <c r="Z387" s="27"/>
      <c r="AA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33">
        <f t="shared" si="1"/>
        <v>0</v>
      </c>
      <c r="W388" s="27"/>
      <c r="X388" s="27"/>
      <c r="Y388" s="27"/>
      <c r="Z388" s="27"/>
      <c r="AA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33">
        <f t="shared" si="1"/>
        <v>0</v>
      </c>
      <c r="W389" s="27"/>
      <c r="X389" s="27"/>
      <c r="Y389" s="27"/>
      <c r="Z389" s="27"/>
      <c r="AA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33">
        <f t="shared" si="1"/>
        <v>0</v>
      </c>
      <c r="W390" s="27"/>
      <c r="X390" s="27"/>
      <c r="Y390" s="27"/>
      <c r="Z390" s="27"/>
      <c r="AA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33">
        <f t="shared" si="1"/>
        <v>0</v>
      </c>
      <c r="W391" s="27"/>
      <c r="X391" s="27"/>
      <c r="Y391" s="27"/>
      <c r="Z391" s="27"/>
      <c r="AA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33">
        <f t="shared" si="1"/>
        <v>0</v>
      </c>
      <c r="W392" s="27"/>
      <c r="X392" s="27"/>
      <c r="Y392" s="27"/>
      <c r="Z392" s="27"/>
      <c r="AA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33">
        <f t="shared" si="1"/>
        <v>0</v>
      </c>
      <c r="W393" s="27"/>
      <c r="X393" s="27"/>
      <c r="Y393" s="27"/>
      <c r="Z393" s="27"/>
      <c r="AA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33">
        <f t="shared" si="1"/>
        <v>0</v>
      </c>
      <c r="W394" s="27"/>
      <c r="X394" s="27"/>
      <c r="Y394" s="27"/>
      <c r="Z394" s="27"/>
      <c r="AA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33">
        <f t="shared" si="1"/>
        <v>0</v>
      </c>
      <c r="W395" s="27"/>
      <c r="X395" s="27"/>
      <c r="Y395" s="27"/>
      <c r="Z395" s="27"/>
      <c r="AA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33">
        <f t="shared" si="1"/>
        <v>0</v>
      </c>
      <c r="W396" s="27"/>
      <c r="X396" s="27"/>
      <c r="Y396" s="27"/>
      <c r="Z396" s="27"/>
      <c r="AA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33">
        <f t="shared" si="1"/>
        <v>0</v>
      </c>
      <c r="W397" s="27"/>
      <c r="X397" s="27"/>
      <c r="Y397" s="27"/>
      <c r="Z397" s="27"/>
      <c r="AA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33">
        <f t="shared" si="1"/>
        <v>0</v>
      </c>
      <c r="W398" s="27"/>
      <c r="X398" s="27"/>
      <c r="Y398" s="27"/>
      <c r="Z398" s="27"/>
      <c r="AA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33">
        <f t="shared" si="1"/>
        <v>0</v>
      </c>
      <c r="W399" s="27"/>
      <c r="X399" s="27"/>
      <c r="Y399" s="27"/>
      <c r="Z399" s="27"/>
      <c r="AA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33">
        <f t="shared" si="1"/>
        <v>0</v>
      </c>
      <c r="W400" s="27"/>
      <c r="X400" s="27"/>
      <c r="Y400" s="27"/>
      <c r="Z400" s="27"/>
      <c r="AA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33">
        <f t="shared" si="1"/>
        <v>0</v>
      </c>
      <c r="W401" s="27"/>
      <c r="X401" s="27"/>
      <c r="Y401" s="27"/>
      <c r="Z401" s="27"/>
      <c r="AA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33">
        <f t="shared" si="1"/>
        <v>0</v>
      </c>
      <c r="W402" s="27"/>
      <c r="X402" s="27"/>
      <c r="Y402" s="27"/>
      <c r="Z402" s="27"/>
      <c r="AA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33">
        <f t="shared" si="1"/>
        <v>0</v>
      </c>
      <c r="W403" s="27"/>
      <c r="X403" s="27"/>
      <c r="Y403" s="27"/>
      <c r="Z403" s="27"/>
      <c r="AA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33">
        <f t="shared" si="1"/>
        <v>0</v>
      </c>
      <c r="W404" s="27"/>
      <c r="X404" s="27"/>
      <c r="Y404" s="27"/>
      <c r="Z404" s="27"/>
      <c r="AA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33">
        <f t="shared" si="1"/>
        <v>0</v>
      </c>
      <c r="W405" s="27"/>
      <c r="X405" s="27"/>
      <c r="Y405" s="27"/>
      <c r="Z405" s="27"/>
      <c r="AA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33">
        <f t="shared" si="1"/>
        <v>0</v>
      </c>
      <c r="W406" s="27"/>
      <c r="X406" s="27"/>
      <c r="Y406" s="27"/>
      <c r="Z406" s="27"/>
      <c r="AA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33">
        <f t="shared" si="1"/>
        <v>0</v>
      </c>
      <c r="W407" s="27"/>
      <c r="X407" s="27"/>
      <c r="Y407" s="27"/>
      <c r="Z407" s="27"/>
      <c r="AA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33">
        <f t="shared" si="1"/>
        <v>0</v>
      </c>
      <c r="W408" s="27"/>
      <c r="X408" s="27"/>
      <c r="Y408" s="27"/>
      <c r="Z408" s="27"/>
      <c r="AA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33">
        <f t="shared" si="1"/>
        <v>0</v>
      </c>
      <c r="W409" s="27"/>
      <c r="X409" s="27"/>
      <c r="Y409" s="27"/>
      <c r="Z409" s="27"/>
      <c r="AA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33">
        <f t="shared" si="1"/>
        <v>0</v>
      </c>
      <c r="W410" s="27"/>
      <c r="X410" s="27"/>
      <c r="Y410" s="27"/>
      <c r="Z410" s="27"/>
      <c r="AA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33">
        <f t="shared" si="1"/>
        <v>0</v>
      </c>
      <c r="W411" s="27"/>
      <c r="X411" s="27"/>
      <c r="Y411" s="27"/>
      <c r="Z411" s="27"/>
      <c r="AA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33">
        <f t="shared" si="1"/>
        <v>0</v>
      </c>
      <c r="W412" s="27"/>
      <c r="X412" s="27"/>
      <c r="Y412" s="27"/>
      <c r="Z412" s="27"/>
      <c r="AA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33">
        <f t="shared" si="1"/>
        <v>0</v>
      </c>
      <c r="W413" s="27"/>
      <c r="X413" s="27"/>
      <c r="Y413" s="27"/>
      <c r="Z413" s="27"/>
      <c r="AA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33">
        <f t="shared" si="1"/>
        <v>0</v>
      </c>
      <c r="W414" s="27"/>
      <c r="X414" s="27"/>
      <c r="Y414" s="27"/>
      <c r="Z414" s="27"/>
      <c r="AA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33">
        <f t="shared" si="1"/>
        <v>0</v>
      </c>
      <c r="W415" s="27"/>
      <c r="X415" s="27"/>
      <c r="Y415" s="27"/>
      <c r="Z415" s="27"/>
      <c r="AA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33">
        <f t="shared" si="1"/>
        <v>0</v>
      </c>
      <c r="W416" s="27"/>
      <c r="X416" s="27"/>
      <c r="Y416" s="27"/>
      <c r="Z416" s="27"/>
      <c r="AA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33">
        <f t="shared" si="1"/>
        <v>0</v>
      </c>
      <c r="W417" s="27"/>
      <c r="X417" s="27"/>
      <c r="Y417" s="27"/>
      <c r="Z417" s="27"/>
      <c r="AA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33">
        <f t="shared" si="1"/>
        <v>0</v>
      </c>
      <c r="W418" s="27"/>
      <c r="X418" s="27"/>
      <c r="Y418" s="27"/>
      <c r="Z418" s="27"/>
      <c r="AA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33">
        <f t="shared" si="1"/>
        <v>0</v>
      </c>
      <c r="W419" s="27"/>
      <c r="X419" s="27"/>
      <c r="Y419" s="27"/>
      <c r="Z419" s="27"/>
      <c r="AA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33">
        <f t="shared" si="1"/>
        <v>0</v>
      </c>
      <c r="W420" s="27"/>
      <c r="X420" s="27"/>
      <c r="Y420" s="27"/>
      <c r="Z420" s="27"/>
      <c r="AA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33">
        <f t="shared" si="1"/>
        <v>0</v>
      </c>
      <c r="W421" s="27"/>
      <c r="X421" s="27"/>
      <c r="Y421" s="27"/>
      <c r="Z421" s="27"/>
      <c r="AA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33">
        <f t="shared" si="1"/>
        <v>0</v>
      </c>
      <c r="W422" s="27"/>
      <c r="X422" s="27"/>
      <c r="Y422" s="27"/>
      <c r="Z422" s="27"/>
      <c r="AA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33">
        <f t="shared" si="1"/>
        <v>0</v>
      </c>
      <c r="W423" s="27"/>
      <c r="X423" s="27"/>
      <c r="Y423" s="27"/>
      <c r="Z423" s="27"/>
      <c r="AA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33">
        <f t="shared" si="1"/>
        <v>0</v>
      </c>
      <c r="W424" s="27"/>
      <c r="X424" s="27"/>
      <c r="Y424" s="27"/>
      <c r="Z424" s="27"/>
      <c r="AA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33">
        <f t="shared" si="1"/>
        <v>0</v>
      </c>
      <c r="W425" s="27"/>
      <c r="X425" s="27"/>
      <c r="Y425" s="27"/>
      <c r="Z425" s="27"/>
      <c r="AA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33">
        <f t="shared" si="1"/>
        <v>0</v>
      </c>
      <c r="W426" s="27"/>
      <c r="X426" s="27"/>
      <c r="Y426" s="27"/>
      <c r="Z426" s="27"/>
      <c r="AA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33">
        <f t="shared" si="1"/>
        <v>0</v>
      </c>
      <c r="W427" s="27"/>
      <c r="X427" s="27"/>
      <c r="Y427" s="27"/>
      <c r="Z427" s="27"/>
      <c r="AA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33">
        <f t="shared" si="1"/>
        <v>0</v>
      </c>
      <c r="W428" s="27"/>
      <c r="X428" s="27"/>
      <c r="Y428" s="27"/>
      <c r="Z428" s="27"/>
      <c r="AA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33">
        <f t="shared" si="1"/>
        <v>0</v>
      </c>
      <c r="W429" s="27"/>
      <c r="X429" s="27"/>
      <c r="Y429" s="27"/>
      <c r="Z429" s="27"/>
      <c r="AA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33">
        <f t="shared" si="1"/>
        <v>0</v>
      </c>
      <c r="W430" s="27"/>
      <c r="X430" s="27"/>
      <c r="Y430" s="27"/>
      <c r="Z430" s="27"/>
      <c r="AA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33">
        <f t="shared" si="1"/>
        <v>0</v>
      </c>
      <c r="W431" s="27"/>
      <c r="X431" s="27"/>
      <c r="Y431" s="27"/>
      <c r="Z431" s="27"/>
      <c r="AA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33">
        <f t="shared" si="1"/>
        <v>0</v>
      </c>
      <c r="W432" s="27"/>
      <c r="X432" s="27"/>
      <c r="Y432" s="27"/>
      <c r="Z432" s="27"/>
      <c r="AA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33">
        <f t="shared" si="1"/>
        <v>0</v>
      </c>
      <c r="W433" s="27"/>
      <c r="X433" s="27"/>
      <c r="Y433" s="27"/>
      <c r="Z433" s="27"/>
      <c r="AA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33">
        <f t="shared" si="1"/>
        <v>0</v>
      </c>
      <c r="W434" s="27"/>
      <c r="X434" s="27"/>
      <c r="Y434" s="27"/>
      <c r="Z434" s="27"/>
      <c r="AA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33">
        <f t="shared" si="1"/>
        <v>0</v>
      </c>
      <c r="W435" s="27"/>
      <c r="X435" s="27"/>
      <c r="Y435" s="27"/>
      <c r="Z435" s="27"/>
      <c r="AA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33">
        <f t="shared" si="1"/>
        <v>0</v>
      </c>
      <c r="W436" s="27"/>
      <c r="X436" s="27"/>
      <c r="Y436" s="27"/>
      <c r="Z436" s="27"/>
      <c r="AA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33">
        <f t="shared" si="1"/>
        <v>0</v>
      </c>
      <c r="W437" s="27"/>
      <c r="X437" s="27"/>
      <c r="Y437" s="27"/>
      <c r="Z437" s="27"/>
      <c r="AA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33">
        <f t="shared" si="1"/>
        <v>0</v>
      </c>
      <c r="W438" s="27"/>
      <c r="X438" s="27"/>
      <c r="Y438" s="27"/>
      <c r="Z438" s="27"/>
      <c r="AA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33">
        <f t="shared" si="1"/>
        <v>0</v>
      </c>
      <c r="W439" s="27"/>
      <c r="X439" s="27"/>
      <c r="Y439" s="27"/>
      <c r="Z439" s="27"/>
      <c r="AA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33">
        <f t="shared" si="1"/>
        <v>0</v>
      </c>
      <c r="W440" s="27"/>
      <c r="X440" s="27"/>
      <c r="Y440" s="27"/>
      <c r="Z440" s="27"/>
      <c r="AA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33">
        <f t="shared" si="1"/>
        <v>0</v>
      </c>
      <c r="W441" s="27"/>
      <c r="X441" s="27"/>
      <c r="Y441" s="27"/>
      <c r="Z441" s="27"/>
      <c r="AA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33">
        <f t="shared" si="1"/>
        <v>0</v>
      </c>
      <c r="W442" s="27"/>
      <c r="X442" s="27"/>
      <c r="Y442" s="27"/>
      <c r="Z442" s="27"/>
      <c r="AA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33">
        <f t="shared" si="1"/>
        <v>0</v>
      </c>
      <c r="W443" s="27"/>
      <c r="X443" s="27"/>
      <c r="Y443" s="27"/>
      <c r="Z443" s="27"/>
      <c r="AA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33">
        <f t="shared" si="1"/>
        <v>0</v>
      </c>
      <c r="W444" s="27"/>
      <c r="X444" s="27"/>
      <c r="Y444" s="27"/>
      <c r="Z444" s="27"/>
      <c r="AA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33">
        <f t="shared" si="1"/>
        <v>0</v>
      </c>
      <c r="W445" s="27"/>
      <c r="X445" s="27"/>
      <c r="Y445" s="27"/>
      <c r="Z445" s="27"/>
      <c r="AA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33">
        <f t="shared" si="1"/>
        <v>0</v>
      </c>
      <c r="W446" s="27"/>
      <c r="X446" s="27"/>
      <c r="Y446" s="27"/>
      <c r="Z446" s="27"/>
      <c r="AA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33">
        <f t="shared" si="1"/>
        <v>0</v>
      </c>
      <c r="W447" s="27"/>
      <c r="X447" s="27"/>
      <c r="Y447" s="27"/>
      <c r="Z447" s="27"/>
      <c r="AA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33">
        <f t="shared" si="1"/>
        <v>0</v>
      </c>
      <c r="W448" s="27"/>
      <c r="X448" s="27"/>
      <c r="Y448" s="27"/>
      <c r="Z448" s="27"/>
      <c r="AA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33">
        <f t="shared" si="1"/>
        <v>0</v>
      </c>
      <c r="W449" s="27"/>
      <c r="X449" s="27"/>
      <c r="Y449" s="27"/>
      <c r="Z449" s="27"/>
      <c r="AA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33">
        <f t="shared" si="1"/>
        <v>0</v>
      </c>
      <c r="W450" s="27"/>
      <c r="X450" s="27"/>
      <c r="Y450" s="27"/>
      <c r="Z450" s="27"/>
      <c r="AA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33">
        <f t="shared" si="1"/>
        <v>0</v>
      </c>
      <c r="W451" s="27"/>
      <c r="X451" s="27"/>
      <c r="Y451" s="27"/>
      <c r="Z451" s="27"/>
      <c r="AA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33">
        <f t="shared" si="1"/>
        <v>0</v>
      </c>
      <c r="W452" s="27"/>
      <c r="X452" s="27"/>
      <c r="Y452" s="27"/>
      <c r="Z452" s="27"/>
      <c r="AA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33">
        <f t="shared" si="1"/>
        <v>0</v>
      </c>
      <c r="W453" s="27"/>
      <c r="X453" s="27"/>
      <c r="Y453" s="27"/>
      <c r="Z453" s="27"/>
      <c r="AA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33">
        <f t="shared" si="1"/>
        <v>0</v>
      </c>
      <c r="W454" s="27"/>
      <c r="X454" s="27"/>
      <c r="Y454" s="27"/>
      <c r="Z454" s="27"/>
      <c r="AA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33">
        <f t="shared" si="1"/>
        <v>0</v>
      </c>
      <c r="W455" s="27"/>
      <c r="X455" s="27"/>
      <c r="Y455" s="27"/>
      <c r="Z455" s="27"/>
      <c r="AA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33">
        <f t="shared" si="1"/>
        <v>0</v>
      </c>
      <c r="W456" s="27"/>
      <c r="X456" s="27"/>
      <c r="Y456" s="27"/>
      <c r="Z456" s="27"/>
      <c r="AA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33">
        <f t="shared" si="1"/>
        <v>0</v>
      </c>
      <c r="W457" s="27"/>
      <c r="X457" s="27"/>
      <c r="Y457" s="27"/>
      <c r="Z457" s="27"/>
      <c r="AA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33">
        <f t="shared" si="1"/>
        <v>0</v>
      </c>
      <c r="W458" s="27"/>
      <c r="X458" s="27"/>
      <c r="Y458" s="27"/>
      <c r="Z458" s="27"/>
      <c r="AA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33">
        <f t="shared" si="1"/>
        <v>0</v>
      </c>
      <c r="W459" s="27"/>
      <c r="X459" s="27"/>
      <c r="Y459" s="27"/>
      <c r="Z459" s="27"/>
      <c r="AA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33">
        <f t="shared" si="1"/>
        <v>0</v>
      </c>
      <c r="W460" s="27"/>
      <c r="X460" s="27"/>
      <c r="Y460" s="27"/>
      <c r="Z460" s="27"/>
      <c r="AA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33">
        <f t="shared" si="1"/>
        <v>0</v>
      </c>
      <c r="W461" s="27"/>
      <c r="X461" s="27"/>
      <c r="Y461" s="27"/>
      <c r="Z461" s="27"/>
      <c r="AA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33">
        <f t="shared" si="1"/>
        <v>0</v>
      </c>
      <c r="W462" s="27"/>
      <c r="X462" s="27"/>
      <c r="Y462" s="27"/>
      <c r="Z462" s="27"/>
      <c r="AA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33">
        <f t="shared" si="1"/>
        <v>0</v>
      </c>
      <c r="W463" s="27"/>
      <c r="X463" s="27"/>
      <c r="Y463" s="27"/>
      <c r="Z463" s="27"/>
      <c r="AA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33">
        <f t="shared" si="1"/>
        <v>0</v>
      </c>
      <c r="W464" s="27"/>
      <c r="X464" s="27"/>
      <c r="Y464" s="27"/>
      <c r="Z464" s="27"/>
      <c r="AA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33">
        <f t="shared" si="1"/>
        <v>0</v>
      </c>
      <c r="W465" s="27"/>
      <c r="X465" s="27"/>
      <c r="Y465" s="27"/>
      <c r="Z465" s="27"/>
      <c r="AA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33">
        <f t="shared" si="1"/>
        <v>0</v>
      </c>
      <c r="W466" s="27"/>
      <c r="X466" s="27"/>
      <c r="Y466" s="27"/>
      <c r="Z466" s="27"/>
      <c r="AA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33">
        <f t="shared" si="1"/>
        <v>0</v>
      </c>
      <c r="W467" s="27"/>
      <c r="X467" s="27"/>
      <c r="Y467" s="27"/>
      <c r="Z467" s="27"/>
      <c r="AA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33">
        <f t="shared" si="1"/>
        <v>0</v>
      </c>
      <c r="W468" s="27"/>
      <c r="X468" s="27"/>
      <c r="Y468" s="27"/>
      <c r="Z468" s="27"/>
      <c r="AA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33">
        <f t="shared" si="1"/>
        <v>0</v>
      </c>
      <c r="W469" s="27"/>
      <c r="X469" s="27"/>
      <c r="Y469" s="27"/>
      <c r="Z469" s="27"/>
      <c r="AA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33">
        <f t="shared" si="1"/>
        <v>0</v>
      </c>
      <c r="W470" s="27"/>
      <c r="X470" s="27"/>
      <c r="Y470" s="27"/>
      <c r="Z470" s="27"/>
      <c r="AA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33">
        <f t="shared" si="1"/>
        <v>0</v>
      </c>
      <c r="W471" s="27"/>
      <c r="X471" s="27"/>
      <c r="Y471" s="27"/>
      <c r="Z471" s="27"/>
      <c r="AA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33">
        <f t="shared" si="1"/>
        <v>0</v>
      </c>
      <c r="W472" s="27"/>
      <c r="X472" s="27"/>
      <c r="Y472" s="27"/>
      <c r="Z472" s="27"/>
      <c r="AA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33">
        <f t="shared" si="1"/>
        <v>0</v>
      </c>
      <c r="W473" s="27"/>
      <c r="X473" s="27"/>
      <c r="Y473" s="27"/>
      <c r="Z473" s="27"/>
      <c r="AA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33">
        <f t="shared" si="1"/>
        <v>0</v>
      </c>
      <c r="W474" s="27"/>
      <c r="X474" s="27"/>
      <c r="Y474" s="27"/>
      <c r="Z474" s="27"/>
      <c r="AA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33">
        <f t="shared" si="1"/>
        <v>0</v>
      </c>
      <c r="W475" s="27"/>
      <c r="X475" s="27"/>
      <c r="Y475" s="27"/>
      <c r="Z475" s="27"/>
      <c r="AA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33">
        <f t="shared" si="1"/>
        <v>0</v>
      </c>
      <c r="W476" s="27"/>
      <c r="X476" s="27"/>
      <c r="Y476" s="27"/>
      <c r="Z476" s="27"/>
      <c r="AA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33">
        <f t="shared" si="1"/>
        <v>0</v>
      </c>
      <c r="W477" s="27"/>
      <c r="X477" s="27"/>
      <c r="Y477" s="27"/>
      <c r="Z477" s="27"/>
      <c r="AA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33">
        <f t="shared" si="1"/>
        <v>0</v>
      </c>
      <c r="W478" s="27"/>
      <c r="X478" s="27"/>
      <c r="Y478" s="27"/>
      <c r="Z478" s="27"/>
      <c r="AA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33">
        <f t="shared" si="1"/>
        <v>0</v>
      </c>
      <c r="W479" s="27"/>
      <c r="X479" s="27"/>
      <c r="Y479" s="27"/>
      <c r="Z479" s="27"/>
      <c r="AA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33">
        <f t="shared" si="1"/>
        <v>0</v>
      </c>
      <c r="W480" s="27"/>
      <c r="X480" s="27"/>
      <c r="Y480" s="27"/>
      <c r="Z480" s="27"/>
      <c r="AA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33">
        <f t="shared" si="1"/>
        <v>0</v>
      </c>
      <c r="W481" s="27"/>
      <c r="X481" s="27"/>
      <c r="Y481" s="27"/>
      <c r="Z481" s="27"/>
      <c r="AA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33">
        <f t="shared" si="1"/>
        <v>0</v>
      </c>
      <c r="W482" s="27"/>
      <c r="X482" s="27"/>
      <c r="Y482" s="27"/>
      <c r="Z482" s="27"/>
      <c r="AA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33">
        <f t="shared" si="1"/>
        <v>0</v>
      </c>
      <c r="W483" s="27"/>
      <c r="X483" s="27"/>
      <c r="Y483" s="27"/>
      <c r="Z483" s="27"/>
      <c r="AA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33">
        <f t="shared" si="1"/>
        <v>0</v>
      </c>
      <c r="W484" s="27"/>
      <c r="X484" s="27"/>
      <c r="Y484" s="27"/>
      <c r="Z484" s="27"/>
      <c r="AA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33">
        <f t="shared" si="1"/>
        <v>0</v>
      </c>
      <c r="W485" s="27"/>
      <c r="X485" s="27"/>
      <c r="Y485" s="27"/>
      <c r="Z485" s="27"/>
      <c r="AA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33">
        <f t="shared" si="1"/>
        <v>0</v>
      </c>
      <c r="W486" s="27"/>
      <c r="X486" s="27"/>
      <c r="Y486" s="27"/>
      <c r="Z486" s="27"/>
      <c r="AA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33">
        <f t="shared" si="1"/>
        <v>0</v>
      </c>
      <c r="W487" s="27"/>
      <c r="X487" s="27"/>
      <c r="Y487" s="27"/>
      <c r="Z487" s="27"/>
      <c r="AA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33">
        <f t="shared" si="1"/>
        <v>0</v>
      </c>
      <c r="W488" s="27"/>
      <c r="X488" s="27"/>
      <c r="Y488" s="27"/>
      <c r="Z488" s="27"/>
      <c r="AA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33">
        <f t="shared" si="1"/>
        <v>0</v>
      </c>
      <c r="W489" s="27"/>
      <c r="X489" s="27"/>
      <c r="Y489" s="27"/>
      <c r="Z489" s="27"/>
      <c r="AA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33">
        <f t="shared" si="1"/>
        <v>0</v>
      </c>
      <c r="W490" s="27"/>
      <c r="X490" s="27"/>
      <c r="Y490" s="27"/>
      <c r="Z490" s="27"/>
      <c r="AA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33">
        <f t="shared" si="1"/>
        <v>0</v>
      </c>
      <c r="W491" s="27"/>
      <c r="X491" s="27"/>
      <c r="Y491" s="27"/>
      <c r="Z491" s="27"/>
      <c r="AA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33">
        <f t="shared" si="1"/>
        <v>0</v>
      </c>
      <c r="W492" s="27"/>
      <c r="X492" s="27"/>
      <c r="Y492" s="27"/>
      <c r="Z492" s="27"/>
      <c r="AA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33">
        <f t="shared" si="1"/>
        <v>0</v>
      </c>
      <c r="W493" s="27"/>
      <c r="X493" s="27"/>
      <c r="Y493" s="27"/>
      <c r="Z493" s="27"/>
      <c r="AA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33">
        <f t="shared" si="1"/>
        <v>0</v>
      </c>
      <c r="W494" s="27"/>
      <c r="X494" s="27"/>
      <c r="Y494" s="27"/>
      <c r="Z494" s="27"/>
      <c r="AA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33">
        <f t="shared" si="1"/>
        <v>0</v>
      </c>
      <c r="W495" s="27"/>
      <c r="X495" s="27"/>
      <c r="Y495" s="27"/>
      <c r="Z495" s="27"/>
      <c r="AA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33">
        <f t="shared" si="1"/>
        <v>0</v>
      </c>
      <c r="W496" s="27"/>
      <c r="X496" s="27"/>
      <c r="Y496" s="27"/>
      <c r="Z496" s="27"/>
      <c r="AA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33">
        <f t="shared" si="1"/>
        <v>0</v>
      </c>
      <c r="W497" s="27"/>
      <c r="X497" s="27"/>
      <c r="Y497" s="27"/>
      <c r="Z497" s="27"/>
      <c r="AA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33">
        <f t="shared" si="1"/>
        <v>0</v>
      </c>
      <c r="W498" s="27"/>
      <c r="X498" s="27"/>
      <c r="Y498" s="27"/>
      <c r="Z498" s="27"/>
      <c r="AA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33">
        <f t="shared" si="1"/>
        <v>0</v>
      </c>
      <c r="W499" s="27"/>
      <c r="X499" s="27"/>
      <c r="Y499" s="27"/>
      <c r="Z499" s="27"/>
      <c r="AA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33">
        <f t="shared" si="1"/>
        <v>0</v>
      </c>
      <c r="W500" s="27"/>
      <c r="X500" s="27"/>
      <c r="Y500" s="27"/>
      <c r="Z500" s="27"/>
      <c r="AA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33">
        <f t="shared" si="1"/>
        <v>0</v>
      </c>
      <c r="W501" s="27"/>
      <c r="X501" s="27"/>
      <c r="Y501" s="27"/>
      <c r="Z501" s="27"/>
      <c r="AA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33">
        <f t="shared" si="1"/>
        <v>0</v>
      </c>
      <c r="W502" s="27"/>
      <c r="X502" s="27"/>
      <c r="Y502" s="27"/>
      <c r="Z502" s="27"/>
      <c r="AA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33">
        <f t="shared" si="1"/>
        <v>0</v>
      </c>
      <c r="W503" s="27"/>
      <c r="X503" s="27"/>
      <c r="Y503" s="27"/>
      <c r="Z503" s="27"/>
      <c r="AA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33">
        <f t="shared" si="1"/>
        <v>0</v>
      </c>
      <c r="W504" s="27"/>
      <c r="X504" s="27"/>
      <c r="Y504" s="27"/>
      <c r="Z504" s="27"/>
      <c r="AA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33">
        <f t="shared" si="1"/>
        <v>0</v>
      </c>
      <c r="W505" s="27"/>
      <c r="X505" s="27"/>
      <c r="Y505" s="27"/>
      <c r="Z505" s="27"/>
      <c r="AA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33">
        <f t="shared" si="1"/>
        <v>0</v>
      </c>
      <c r="W506" s="27"/>
      <c r="X506" s="27"/>
      <c r="Y506" s="27"/>
      <c r="Z506" s="27"/>
      <c r="AA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33">
        <f t="shared" si="1"/>
        <v>0</v>
      </c>
      <c r="W507" s="27"/>
      <c r="X507" s="27"/>
      <c r="Y507" s="27"/>
      <c r="Z507" s="27"/>
      <c r="AA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33">
        <f t="shared" si="1"/>
        <v>0</v>
      </c>
      <c r="W508" s="27"/>
      <c r="X508" s="27"/>
      <c r="Y508" s="27"/>
      <c r="Z508" s="27"/>
      <c r="AA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33">
        <f t="shared" si="1"/>
        <v>0</v>
      </c>
      <c r="W509" s="27"/>
      <c r="X509" s="27"/>
      <c r="Y509" s="27"/>
      <c r="Z509" s="27"/>
      <c r="AA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33">
        <f t="shared" si="1"/>
        <v>0</v>
      </c>
      <c r="W510" s="27"/>
      <c r="X510" s="27"/>
      <c r="Y510" s="27"/>
      <c r="Z510" s="27"/>
      <c r="AA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33">
        <f t="shared" si="1"/>
        <v>0</v>
      </c>
      <c r="W511" s="27"/>
      <c r="X511" s="27"/>
      <c r="Y511" s="27"/>
      <c r="Z511" s="27"/>
      <c r="AA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33">
        <f t="shared" si="1"/>
        <v>0</v>
      </c>
      <c r="W512" s="27"/>
      <c r="X512" s="27"/>
      <c r="Y512" s="27"/>
      <c r="Z512" s="27"/>
      <c r="AA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33">
        <f t="shared" si="1"/>
        <v>0</v>
      </c>
      <c r="W513" s="27"/>
      <c r="X513" s="27"/>
      <c r="Y513" s="27"/>
      <c r="Z513" s="27"/>
      <c r="AA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33">
        <f t="shared" si="1"/>
        <v>0</v>
      </c>
      <c r="W514" s="27"/>
      <c r="X514" s="27"/>
      <c r="Y514" s="27"/>
      <c r="Z514" s="27"/>
      <c r="AA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33">
        <f t="shared" si="1"/>
        <v>0</v>
      </c>
      <c r="W515" s="27"/>
      <c r="X515" s="27"/>
      <c r="Y515" s="27"/>
      <c r="Z515" s="27"/>
      <c r="AA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33">
        <f t="shared" si="1"/>
        <v>0</v>
      </c>
      <c r="W516" s="27"/>
      <c r="X516" s="27"/>
      <c r="Y516" s="27"/>
      <c r="Z516" s="27"/>
      <c r="AA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33">
        <f t="shared" si="1"/>
        <v>0</v>
      </c>
      <c r="W517" s="27"/>
      <c r="X517" s="27"/>
      <c r="Y517" s="27"/>
      <c r="Z517" s="27"/>
      <c r="AA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33">
        <f t="shared" si="1"/>
        <v>0</v>
      </c>
      <c r="W518" s="27"/>
      <c r="X518" s="27"/>
      <c r="Y518" s="27"/>
      <c r="Z518" s="27"/>
      <c r="AA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33">
        <f t="shared" si="1"/>
        <v>0</v>
      </c>
      <c r="W519" s="27"/>
      <c r="X519" s="27"/>
      <c r="Y519" s="27"/>
      <c r="Z519" s="27"/>
      <c r="AA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33">
        <f t="shared" si="1"/>
        <v>0</v>
      </c>
      <c r="W520" s="27"/>
      <c r="X520" s="27"/>
      <c r="Y520" s="27"/>
      <c r="Z520" s="27"/>
      <c r="AA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33">
        <f t="shared" si="1"/>
        <v>0</v>
      </c>
      <c r="W521" s="27"/>
      <c r="X521" s="27"/>
      <c r="Y521" s="27"/>
      <c r="Z521" s="27"/>
      <c r="AA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33">
        <f t="shared" si="1"/>
        <v>0</v>
      </c>
      <c r="W522" s="27"/>
      <c r="X522" s="27"/>
      <c r="Y522" s="27"/>
      <c r="Z522" s="27"/>
      <c r="AA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33">
        <f t="shared" si="1"/>
        <v>0</v>
      </c>
      <c r="W523" s="27"/>
      <c r="X523" s="27"/>
      <c r="Y523" s="27"/>
      <c r="Z523" s="27"/>
      <c r="AA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33">
        <f t="shared" si="1"/>
        <v>0</v>
      </c>
      <c r="W524" s="27"/>
      <c r="X524" s="27"/>
      <c r="Y524" s="27"/>
      <c r="Z524" s="27"/>
      <c r="AA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33">
        <f t="shared" si="1"/>
        <v>0</v>
      </c>
      <c r="W525" s="27"/>
      <c r="X525" s="27"/>
      <c r="Y525" s="27"/>
      <c r="Z525" s="27"/>
      <c r="AA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33">
        <f t="shared" si="1"/>
        <v>0</v>
      </c>
      <c r="W526" s="27"/>
      <c r="X526" s="27"/>
      <c r="Y526" s="27"/>
      <c r="Z526" s="27"/>
      <c r="AA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33">
        <f t="shared" si="1"/>
        <v>0</v>
      </c>
      <c r="W527" s="27"/>
      <c r="X527" s="27"/>
      <c r="Y527" s="27"/>
      <c r="Z527" s="27"/>
      <c r="AA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33">
        <f t="shared" si="1"/>
        <v>0</v>
      </c>
      <c r="W528" s="27"/>
      <c r="X528" s="27"/>
      <c r="Y528" s="27"/>
      <c r="Z528" s="27"/>
      <c r="AA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33">
        <f t="shared" si="1"/>
        <v>0</v>
      </c>
      <c r="W529" s="27"/>
      <c r="X529" s="27"/>
      <c r="Y529" s="27"/>
      <c r="Z529" s="27"/>
      <c r="AA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33">
        <f t="shared" si="1"/>
        <v>0</v>
      </c>
      <c r="W530" s="27"/>
      <c r="X530" s="27"/>
      <c r="Y530" s="27"/>
      <c r="Z530" s="27"/>
      <c r="AA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33">
        <f t="shared" si="1"/>
        <v>0</v>
      </c>
      <c r="W531" s="27"/>
      <c r="X531" s="27"/>
      <c r="Y531" s="27"/>
      <c r="Z531" s="27"/>
      <c r="AA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33">
        <f t="shared" si="1"/>
        <v>0</v>
      </c>
      <c r="W532" s="27"/>
      <c r="X532" s="27"/>
      <c r="Y532" s="27"/>
      <c r="Z532" s="27"/>
      <c r="AA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33">
        <f t="shared" si="1"/>
        <v>0</v>
      </c>
      <c r="W533" s="27"/>
      <c r="X533" s="27"/>
      <c r="Y533" s="27"/>
      <c r="Z533" s="27"/>
      <c r="AA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33">
        <f t="shared" si="1"/>
        <v>0</v>
      </c>
      <c r="W534" s="27"/>
      <c r="X534" s="27"/>
      <c r="Y534" s="27"/>
      <c r="Z534" s="27"/>
      <c r="AA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33">
        <f t="shared" si="1"/>
        <v>0</v>
      </c>
      <c r="W535" s="27"/>
      <c r="X535" s="27"/>
      <c r="Y535" s="27"/>
      <c r="Z535" s="27"/>
      <c r="AA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33">
        <f t="shared" si="1"/>
        <v>0</v>
      </c>
      <c r="W536" s="27"/>
      <c r="X536" s="27"/>
      <c r="Y536" s="27"/>
      <c r="Z536" s="27"/>
      <c r="AA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33">
        <f t="shared" si="1"/>
        <v>0</v>
      </c>
      <c r="W537" s="27"/>
      <c r="X537" s="27"/>
      <c r="Y537" s="27"/>
      <c r="Z537" s="27"/>
      <c r="AA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33">
        <f t="shared" si="1"/>
        <v>0</v>
      </c>
      <c r="W538" s="27"/>
      <c r="X538" s="27"/>
      <c r="Y538" s="27"/>
      <c r="Z538" s="27"/>
      <c r="AA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33">
        <f t="shared" si="1"/>
        <v>0</v>
      </c>
      <c r="W539" s="27"/>
      <c r="X539" s="27"/>
      <c r="Y539" s="27"/>
      <c r="Z539" s="27"/>
      <c r="AA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33">
        <f t="shared" si="1"/>
        <v>0</v>
      </c>
      <c r="W540" s="27"/>
      <c r="X540" s="27"/>
      <c r="Y540" s="27"/>
      <c r="Z540" s="27"/>
      <c r="AA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33">
        <f t="shared" si="1"/>
        <v>0</v>
      </c>
      <c r="W541" s="27"/>
      <c r="X541" s="27"/>
      <c r="Y541" s="27"/>
      <c r="Z541" s="27"/>
      <c r="AA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33">
        <f t="shared" si="1"/>
        <v>0</v>
      </c>
      <c r="W542" s="27"/>
      <c r="X542" s="27"/>
      <c r="Y542" s="27"/>
      <c r="Z542" s="27"/>
      <c r="AA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33">
        <f t="shared" si="1"/>
        <v>0</v>
      </c>
      <c r="W543" s="27"/>
      <c r="X543" s="27"/>
      <c r="Y543" s="27"/>
      <c r="Z543" s="27"/>
      <c r="AA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33">
        <f t="shared" si="1"/>
        <v>0</v>
      </c>
      <c r="W544" s="27"/>
      <c r="X544" s="27"/>
      <c r="Y544" s="27"/>
      <c r="Z544" s="27"/>
      <c r="AA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33">
        <f t="shared" si="1"/>
        <v>0</v>
      </c>
      <c r="W545" s="27"/>
      <c r="X545" s="27"/>
      <c r="Y545" s="27"/>
      <c r="Z545" s="27"/>
      <c r="AA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33">
        <f t="shared" si="1"/>
        <v>0</v>
      </c>
      <c r="W546" s="27"/>
      <c r="X546" s="27"/>
      <c r="Y546" s="27"/>
      <c r="Z546" s="27"/>
      <c r="AA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33">
        <f t="shared" si="1"/>
        <v>0</v>
      </c>
      <c r="W547" s="27"/>
      <c r="X547" s="27"/>
      <c r="Y547" s="27"/>
      <c r="Z547" s="27"/>
      <c r="AA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33">
        <f t="shared" si="1"/>
        <v>0</v>
      </c>
      <c r="W548" s="27"/>
      <c r="X548" s="27"/>
      <c r="Y548" s="27"/>
      <c r="Z548" s="27"/>
      <c r="AA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33">
        <f t="shared" si="1"/>
        <v>0</v>
      </c>
      <c r="W549" s="27"/>
      <c r="X549" s="27"/>
      <c r="Y549" s="27"/>
      <c r="Z549" s="27"/>
      <c r="AA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33">
        <f t="shared" si="1"/>
        <v>0</v>
      </c>
      <c r="W550" s="27"/>
      <c r="X550" s="27"/>
      <c r="Y550" s="27"/>
      <c r="Z550" s="27"/>
      <c r="AA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33">
        <f t="shared" si="1"/>
        <v>0</v>
      </c>
      <c r="W551" s="27"/>
      <c r="X551" s="27"/>
      <c r="Y551" s="27"/>
      <c r="Z551" s="27"/>
      <c r="AA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33">
        <f t="shared" si="1"/>
        <v>0</v>
      </c>
      <c r="W552" s="27"/>
      <c r="X552" s="27"/>
      <c r="Y552" s="27"/>
      <c r="Z552" s="27"/>
      <c r="AA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33">
        <f t="shared" si="1"/>
        <v>0</v>
      </c>
      <c r="W553" s="27"/>
      <c r="X553" s="27"/>
      <c r="Y553" s="27"/>
      <c r="Z553" s="27"/>
      <c r="AA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33">
        <f t="shared" si="1"/>
        <v>0</v>
      </c>
      <c r="W554" s="27"/>
      <c r="X554" s="27"/>
      <c r="Y554" s="27"/>
      <c r="Z554" s="27"/>
      <c r="AA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33">
        <f t="shared" si="1"/>
        <v>0</v>
      </c>
      <c r="W555" s="27"/>
      <c r="X555" s="27"/>
      <c r="Y555" s="27"/>
      <c r="Z555" s="27"/>
      <c r="AA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33">
        <f t="shared" si="1"/>
        <v>0</v>
      </c>
      <c r="W556" s="27"/>
      <c r="X556" s="27"/>
      <c r="Y556" s="27"/>
      <c r="Z556" s="27"/>
      <c r="AA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33">
        <f t="shared" si="1"/>
        <v>0</v>
      </c>
      <c r="W557" s="27"/>
      <c r="X557" s="27"/>
      <c r="Y557" s="27"/>
      <c r="Z557" s="27"/>
      <c r="AA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33">
        <f t="shared" si="1"/>
        <v>0</v>
      </c>
      <c r="W558" s="27"/>
      <c r="X558" s="27"/>
      <c r="Y558" s="27"/>
      <c r="Z558" s="27"/>
      <c r="AA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33">
        <f t="shared" si="1"/>
        <v>0</v>
      </c>
      <c r="W559" s="27"/>
      <c r="X559" s="27"/>
      <c r="Y559" s="27"/>
      <c r="Z559" s="27"/>
      <c r="AA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33">
        <f t="shared" si="1"/>
        <v>0</v>
      </c>
      <c r="W560" s="27"/>
      <c r="X560" s="27"/>
      <c r="Y560" s="27"/>
      <c r="Z560" s="27"/>
      <c r="AA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33">
        <f t="shared" si="1"/>
        <v>0</v>
      </c>
      <c r="W561" s="27"/>
      <c r="X561" s="27"/>
      <c r="Y561" s="27"/>
      <c r="Z561" s="27"/>
      <c r="AA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33">
        <f t="shared" si="1"/>
        <v>0</v>
      </c>
      <c r="W562" s="27"/>
      <c r="X562" s="27"/>
      <c r="Y562" s="27"/>
      <c r="Z562" s="27"/>
      <c r="AA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33">
        <f t="shared" si="1"/>
        <v>0</v>
      </c>
      <c r="W563" s="27"/>
      <c r="X563" s="27"/>
      <c r="Y563" s="27"/>
      <c r="Z563" s="27"/>
      <c r="AA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33">
        <f t="shared" si="1"/>
        <v>0</v>
      </c>
      <c r="W564" s="27"/>
      <c r="X564" s="27"/>
      <c r="Y564" s="27"/>
      <c r="Z564" s="27"/>
      <c r="AA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33">
        <f t="shared" si="1"/>
        <v>0</v>
      </c>
      <c r="W565" s="27"/>
      <c r="X565" s="27"/>
      <c r="Y565" s="27"/>
      <c r="Z565" s="27"/>
      <c r="AA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33">
        <f t="shared" si="1"/>
        <v>0</v>
      </c>
      <c r="W566" s="27"/>
      <c r="X566" s="27"/>
      <c r="Y566" s="27"/>
      <c r="Z566" s="27"/>
      <c r="AA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33">
        <f t="shared" si="1"/>
        <v>0</v>
      </c>
      <c r="W567" s="27"/>
      <c r="X567" s="27"/>
      <c r="Y567" s="27"/>
      <c r="Z567" s="27"/>
      <c r="AA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33">
        <f t="shared" si="1"/>
        <v>0</v>
      </c>
      <c r="W568" s="27"/>
      <c r="X568" s="27"/>
      <c r="Y568" s="27"/>
      <c r="Z568" s="27"/>
      <c r="AA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33">
        <f t="shared" si="1"/>
        <v>0</v>
      </c>
      <c r="W569" s="27"/>
      <c r="X569" s="27"/>
      <c r="Y569" s="27"/>
      <c r="Z569" s="27"/>
      <c r="AA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33">
        <f t="shared" si="1"/>
        <v>0</v>
      </c>
      <c r="W570" s="27"/>
      <c r="X570" s="27"/>
      <c r="Y570" s="27"/>
      <c r="Z570" s="27"/>
      <c r="AA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33">
        <f t="shared" si="1"/>
        <v>0</v>
      </c>
      <c r="W571" s="27"/>
      <c r="X571" s="27"/>
      <c r="Y571" s="27"/>
      <c r="Z571" s="27"/>
      <c r="AA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33">
        <f t="shared" si="1"/>
        <v>0</v>
      </c>
      <c r="W572" s="27"/>
      <c r="X572" s="27"/>
      <c r="Y572" s="27"/>
      <c r="Z572" s="27"/>
      <c r="AA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33">
        <f t="shared" si="1"/>
        <v>0</v>
      </c>
      <c r="W573" s="27"/>
      <c r="X573" s="27"/>
      <c r="Y573" s="27"/>
      <c r="Z573" s="27"/>
      <c r="AA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33">
        <f t="shared" si="1"/>
        <v>0</v>
      </c>
      <c r="W574" s="27"/>
      <c r="X574" s="27"/>
      <c r="Y574" s="27"/>
      <c r="Z574" s="27"/>
      <c r="AA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33">
        <f t="shared" si="1"/>
        <v>0</v>
      </c>
      <c r="W575" s="27"/>
      <c r="X575" s="27"/>
      <c r="Y575" s="27"/>
      <c r="Z575" s="27"/>
      <c r="AA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33">
        <f t="shared" si="1"/>
        <v>0</v>
      </c>
      <c r="W576" s="27"/>
      <c r="X576" s="27"/>
      <c r="Y576" s="27"/>
      <c r="Z576" s="27"/>
      <c r="AA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33">
        <f t="shared" si="1"/>
        <v>0</v>
      </c>
      <c r="W577" s="27"/>
      <c r="X577" s="27"/>
      <c r="Y577" s="27"/>
      <c r="Z577" s="27"/>
      <c r="AA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33">
        <f t="shared" si="1"/>
        <v>0</v>
      </c>
      <c r="W578" s="27"/>
      <c r="X578" s="27"/>
      <c r="Y578" s="27"/>
      <c r="Z578" s="27"/>
      <c r="AA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33">
        <f t="shared" si="1"/>
        <v>0</v>
      </c>
      <c r="W579" s="27"/>
      <c r="X579" s="27"/>
      <c r="Y579" s="27"/>
      <c r="Z579" s="27"/>
      <c r="AA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33">
        <f t="shared" si="1"/>
        <v>0</v>
      </c>
      <c r="W580" s="27"/>
      <c r="X580" s="27"/>
      <c r="Y580" s="27"/>
      <c r="Z580" s="27"/>
      <c r="AA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33">
        <f t="shared" si="1"/>
        <v>0</v>
      </c>
      <c r="W581" s="27"/>
      <c r="X581" s="27"/>
      <c r="Y581" s="27"/>
      <c r="Z581" s="27"/>
      <c r="AA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33">
        <f t="shared" si="1"/>
        <v>0</v>
      </c>
      <c r="W582" s="27"/>
      <c r="X582" s="27"/>
      <c r="Y582" s="27"/>
      <c r="Z582" s="27"/>
      <c r="AA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33">
        <f t="shared" si="1"/>
        <v>0</v>
      </c>
      <c r="W583" s="27"/>
      <c r="X583" s="27"/>
      <c r="Y583" s="27"/>
      <c r="Z583" s="27"/>
      <c r="AA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33">
        <f t="shared" si="1"/>
        <v>0</v>
      </c>
      <c r="W584" s="27"/>
      <c r="X584" s="27"/>
      <c r="Y584" s="27"/>
      <c r="Z584" s="27"/>
      <c r="AA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33">
        <f t="shared" si="1"/>
        <v>0</v>
      </c>
      <c r="W585" s="27"/>
      <c r="X585" s="27"/>
      <c r="Y585" s="27"/>
      <c r="Z585" s="27"/>
      <c r="AA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33">
        <f t="shared" si="1"/>
        <v>0</v>
      </c>
      <c r="W586" s="27"/>
      <c r="X586" s="27"/>
      <c r="Y586" s="27"/>
      <c r="Z586" s="27"/>
      <c r="AA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33">
        <f t="shared" si="1"/>
        <v>0</v>
      </c>
      <c r="W587" s="27"/>
      <c r="X587" s="27"/>
      <c r="Y587" s="27"/>
      <c r="Z587" s="27"/>
      <c r="AA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33">
        <f t="shared" si="1"/>
        <v>0</v>
      </c>
      <c r="W588" s="27"/>
      <c r="X588" s="27"/>
      <c r="Y588" s="27"/>
      <c r="Z588" s="27"/>
      <c r="AA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33">
        <f t="shared" si="1"/>
        <v>0</v>
      </c>
      <c r="W589" s="27"/>
      <c r="X589" s="27"/>
      <c r="Y589" s="27"/>
      <c r="Z589" s="27"/>
      <c r="AA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33">
        <f t="shared" si="1"/>
        <v>0</v>
      </c>
      <c r="W590" s="27"/>
      <c r="X590" s="27"/>
      <c r="Y590" s="27"/>
      <c r="Z590" s="27"/>
      <c r="AA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33">
        <f t="shared" si="1"/>
        <v>0</v>
      </c>
      <c r="W591" s="27"/>
      <c r="X591" s="27"/>
      <c r="Y591" s="27"/>
      <c r="Z591" s="27"/>
      <c r="AA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33">
        <f t="shared" si="1"/>
        <v>0</v>
      </c>
      <c r="W592" s="27"/>
      <c r="X592" s="27"/>
      <c r="Y592" s="27"/>
      <c r="Z592" s="27"/>
      <c r="AA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33">
        <f t="shared" si="1"/>
        <v>0</v>
      </c>
      <c r="W593" s="27"/>
      <c r="X593" s="27"/>
      <c r="Y593" s="27"/>
      <c r="Z593" s="27"/>
      <c r="AA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33">
        <f t="shared" si="1"/>
        <v>0</v>
      </c>
      <c r="W594" s="27"/>
      <c r="X594" s="27"/>
      <c r="Y594" s="27"/>
      <c r="Z594" s="27"/>
      <c r="AA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33">
        <f t="shared" si="1"/>
        <v>0</v>
      </c>
      <c r="W595" s="27"/>
      <c r="X595" s="27"/>
      <c r="Y595" s="27"/>
      <c r="Z595" s="27"/>
      <c r="AA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33">
        <f t="shared" si="1"/>
        <v>0</v>
      </c>
      <c r="W596" s="27"/>
      <c r="X596" s="27"/>
      <c r="Y596" s="27"/>
      <c r="Z596" s="27"/>
      <c r="AA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33">
        <f t="shared" si="1"/>
        <v>0</v>
      </c>
      <c r="W597" s="27"/>
      <c r="X597" s="27"/>
      <c r="Y597" s="27"/>
      <c r="Z597" s="27"/>
      <c r="AA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33">
        <f t="shared" si="1"/>
        <v>0</v>
      </c>
      <c r="W598" s="27"/>
      <c r="X598" s="27"/>
      <c r="Y598" s="27"/>
      <c r="Z598" s="27"/>
      <c r="AA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33">
        <f t="shared" si="1"/>
        <v>0</v>
      </c>
      <c r="W599" s="27"/>
      <c r="X599" s="27"/>
      <c r="Y599" s="27"/>
      <c r="Z599" s="27"/>
      <c r="AA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33">
        <f t="shared" si="1"/>
        <v>0</v>
      </c>
      <c r="W600" s="27"/>
      <c r="X600" s="27"/>
      <c r="Y600" s="27"/>
      <c r="Z600" s="27"/>
      <c r="AA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33">
        <f t="shared" si="1"/>
        <v>0</v>
      </c>
      <c r="W601" s="27"/>
      <c r="X601" s="27"/>
      <c r="Y601" s="27"/>
      <c r="Z601" s="27"/>
      <c r="AA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33">
        <f t="shared" si="1"/>
        <v>0</v>
      </c>
      <c r="W602" s="27"/>
      <c r="X602" s="27"/>
      <c r="Y602" s="27"/>
      <c r="Z602" s="27"/>
      <c r="AA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33">
        <f t="shared" si="1"/>
        <v>0</v>
      </c>
      <c r="W603" s="27"/>
      <c r="X603" s="27"/>
      <c r="Y603" s="27"/>
      <c r="Z603" s="27"/>
      <c r="AA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33">
        <f t="shared" si="1"/>
        <v>0</v>
      </c>
      <c r="W604" s="27"/>
      <c r="X604" s="27"/>
      <c r="Y604" s="27"/>
      <c r="Z604" s="27"/>
      <c r="AA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33">
        <f t="shared" si="1"/>
        <v>0</v>
      </c>
      <c r="W605" s="27"/>
      <c r="X605" s="27"/>
      <c r="Y605" s="27"/>
      <c r="Z605" s="27"/>
      <c r="AA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33">
        <f t="shared" si="1"/>
        <v>0</v>
      </c>
      <c r="W606" s="27"/>
      <c r="X606" s="27"/>
      <c r="Y606" s="27"/>
      <c r="Z606" s="27"/>
      <c r="AA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33">
        <f t="shared" si="1"/>
        <v>0</v>
      </c>
      <c r="W607" s="27"/>
      <c r="X607" s="27"/>
      <c r="Y607" s="27"/>
      <c r="Z607" s="27"/>
      <c r="AA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33">
        <f t="shared" si="1"/>
        <v>0</v>
      </c>
      <c r="W608" s="27"/>
      <c r="X608" s="27"/>
      <c r="Y608" s="27"/>
      <c r="Z608" s="27"/>
      <c r="AA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33">
        <f t="shared" si="1"/>
        <v>0</v>
      </c>
      <c r="W609" s="27"/>
      <c r="X609" s="27"/>
      <c r="Y609" s="27"/>
      <c r="Z609" s="27"/>
      <c r="AA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33">
        <f t="shared" si="1"/>
        <v>0</v>
      </c>
      <c r="W610" s="27"/>
      <c r="X610" s="27"/>
      <c r="Y610" s="27"/>
      <c r="Z610" s="27"/>
      <c r="AA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33">
        <f t="shared" si="1"/>
        <v>0</v>
      </c>
      <c r="W611" s="27"/>
      <c r="X611" s="27"/>
      <c r="Y611" s="27"/>
      <c r="Z611" s="27"/>
      <c r="AA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33">
        <f t="shared" si="1"/>
        <v>0</v>
      </c>
      <c r="W612" s="27"/>
      <c r="X612" s="27"/>
      <c r="Y612" s="27"/>
      <c r="Z612" s="27"/>
      <c r="AA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33">
        <f t="shared" si="1"/>
        <v>0</v>
      </c>
      <c r="W613" s="27"/>
      <c r="X613" s="27"/>
      <c r="Y613" s="27"/>
      <c r="Z613" s="27"/>
      <c r="AA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33">
        <f t="shared" si="1"/>
        <v>0</v>
      </c>
      <c r="W614" s="27"/>
      <c r="X614" s="27"/>
      <c r="Y614" s="27"/>
      <c r="Z614" s="27"/>
      <c r="AA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33">
        <f t="shared" si="1"/>
        <v>0</v>
      </c>
      <c r="W615" s="27"/>
      <c r="X615" s="27"/>
      <c r="Y615" s="27"/>
      <c r="Z615" s="27"/>
      <c r="AA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33">
        <f t="shared" si="1"/>
        <v>0</v>
      </c>
      <c r="W616" s="27"/>
      <c r="X616" s="27"/>
      <c r="Y616" s="27"/>
      <c r="Z616" s="27"/>
      <c r="AA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33">
        <f t="shared" si="1"/>
        <v>0</v>
      </c>
      <c r="W617" s="27"/>
      <c r="X617" s="27"/>
      <c r="Y617" s="27"/>
      <c r="Z617" s="27"/>
      <c r="AA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33">
        <f t="shared" si="1"/>
        <v>0</v>
      </c>
      <c r="W618" s="27"/>
      <c r="X618" s="27"/>
      <c r="Y618" s="27"/>
      <c r="Z618" s="27"/>
      <c r="AA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33">
        <f t="shared" si="1"/>
        <v>0</v>
      </c>
      <c r="W619" s="27"/>
      <c r="X619" s="27"/>
      <c r="Y619" s="27"/>
      <c r="Z619" s="27"/>
      <c r="AA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33">
        <f t="shared" si="1"/>
        <v>0</v>
      </c>
      <c r="W620" s="27"/>
      <c r="X620" s="27"/>
      <c r="Y620" s="27"/>
      <c r="Z620" s="27"/>
      <c r="AA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33">
        <f t="shared" si="1"/>
        <v>0</v>
      </c>
      <c r="W621" s="27"/>
      <c r="X621" s="27"/>
      <c r="Y621" s="27"/>
      <c r="Z621" s="27"/>
      <c r="AA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33">
        <f t="shared" si="1"/>
        <v>0</v>
      </c>
      <c r="W622" s="27"/>
      <c r="X622" s="27"/>
      <c r="Y622" s="27"/>
      <c r="Z622" s="27"/>
      <c r="AA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33">
        <f t="shared" si="1"/>
        <v>0</v>
      </c>
      <c r="W623" s="27"/>
      <c r="X623" s="27"/>
      <c r="Y623" s="27"/>
      <c r="Z623" s="27"/>
      <c r="AA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33">
        <f t="shared" si="1"/>
        <v>0</v>
      </c>
      <c r="W624" s="27"/>
      <c r="X624" s="27"/>
      <c r="Y624" s="27"/>
      <c r="Z624" s="27"/>
      <c r="AA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33">
        <f t="shared" si="1"/>
        <v>0</v>
      </c>
      <c r="W625" s="27"/>
      <c r="X625" s="27"/>
      <c r="Y625" s="27"/>
      <c r="Z625" s="27"/>
      <c r="AA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33">
        <f t="shared" si="1"/>
        <v>0</v>
      </c>
      <c r="W626" s="27"/>
      <c r="X626" s="27"/>
      <c r="Y626" s="27"/>
      <c r="Z626" s="27"/>
      <c r="AA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33">
        <f t="shared" si="1"/>
        <v>0</v>
      </c>
      <c r="W627" s="27"/>
      <c r="X627" s="27"/>
      <c r="Y627" s="27"/>
      <c r="Z627" s="27"/>
      <c r="AA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33">
        <f t="shared" si="1"/>
        <v>0</v>
      </c>
      <c r="W628" s="27"/>
      <c r="X628" s="27"/>
      <c r="Y628" s="27"/>
      <c r="Z628" s="27"/>
      <c r="AA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33">
        <f t="shared" si="1"/>
        <v>0</v>
      </c>
      <c r="W629" s="27"/>
      <c r="X629" s="27"/>
      <c r="Y629" s="27"/>
      <c r="Z629" s="27"/>
      <c r="AA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33">
        <f t="shared" si="1"/>
        <v>0</v>
      </c>
      <c r="W630" s="27"/>
      <c r="X630" s="27"/>
      <c r="Y630" s="27"/>
      <c r="Z630" s="27"/>
      <c r="AA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33">
        <f t="shared" si="1"/>
        <v>0</v>
      </c>
      <c r="W631" s="27"/>
      <c r="X631" s="27"/>
      <c r="Y631" s="27"/>
      <c r="Z631" s="27"/>
      <c r="AA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33">
        <f t="shared" si="1"/>
        <v>0</v>
      </c>
      <c r="W632" s="27"/>
      <c r="X632" s="27"/>
      <c r="Y632" s="27"/>
      <c r="Z632" s="27"/>
      <c r="AA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33">
        <f t="shared" si="1"/>
        <v>0</v>
      </c>
      <c r="W633" s="27"/>
      <c r="X633" s="27"/>
      <c r="Y633" s="27"/>
      <c r="Z633" s="27"/>
      <c r="AA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33">
        <f t="shared" si="1"/>
        <v>0</v>
      </c>
      <c r="W634" s="27"/>
      <c r="X634" s="27"/>
      <c r="Y634" s="27"/>
      <c r="Z634" s="27"/>
      <c r="AA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33">
        <f t="shared" si="1"/>
        <v>0</v>
      </c>
      <c r="W635" s="27"/>
      <c r="X635" s="27"/>
      <c r="Y635" s="27"/>
      <c r="Z635" s="27"/>
      <c r="AA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33">
        <f t="shared" si="1"/>
        <v>0</v>
      </c>
      <c r="W636" s="27"/>
      <c r="X636" s="27"/>
      <c r="Y636" s="27"/>
      <c r="Z636" s="27"/>
      <c r="AA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33">
        <f t="shared" si="1"/>
        <v>0</v>
      </c>
      <c r="W637" s="27"/>
      <c r="X637" s="27"/>
      <c r="Y637" s="27"/>
      <c r="Z637" s="27"/>
      <c r="AA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33">
        <f t="shared" si="1"/>
        <v>0</v>
      </c>
      <c r="W638" s="27"/>
      <c r="X638" s="27"/>
      <c r="Y638" s="27"/>
      <c r="Z638" s="27"/>
      <c r="AA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33">
        <f t="shared" si="1"/>
        <v>0</v>
      </c>
      <c r="W639" s="27"/>
      <c r="X639" s="27"/>
      <c r="Y639" s="27"/>
      <c r="Z639" s="27"/>
      <c r="AA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33">
        <f t="shared" si="1"/>
        <v>0</v>
      </c>
      <c r="W640" s="27"/>
      <c r="X640" s="27"/>
      <c r="Y640" s="27"/>
      <c r="Z640" s="27"/>
      <c r="AA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33">
        <f t="shared" si="1"/>
        <v>0</v>
      </c>
      <c r="W641" s="27"/>
      <c r="X641" s="27"/>
      <c r="Y641" s="27"/>
      <c r="Z641" s="27"/>
      <c r="AA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33">
        <f t="shared" si="1"/>
        <v>0</v>
      </c>
      <c r="W642" s="27"/>
      <c r="X642" s="27"/>
      <c r="Y642" s="27"/>
      <c r="Z642" s="27"/>
      <c r="AA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33">
        <f t="shared" si="1"/>
        <v>0</v>
      </c>
      <c r="W643" s="27"/>
      <c r="X643" s="27"/>
      <c r="Y643" s="27"/>
      <c r="Z643" s="27"/>
      <c r="AA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33">
        <f t="shared" si="1"/>
        <v>0</v>
      </c>
      <c r="W644" s="27"/>
      <c r="X644" s="27"/>
      <c r="Y644" s="27"/>
      <c r="Z644" s="27"/>
      <c r="AA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33">
        <f t="shared" si="1"/>
        <v>0</v>
      </c>
      <c r="W645" s="27"/>
      <c r="X645" s="27"/>
      <c r="Y645" s="27"/>
      <c r="Z645" s="27"/>
      <c r="AA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33">
        <f t="shared" si="1"/>
        <v>0</v>
      </c>
      <c r="W646" s="27"/>
      <c r="X646" s="27"/>
      <c r="Y646" s="27"/>
      <c r="Z646" s="27"/>
      <c r="AA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33">
        <f t="shared" si="1"/>
        <v>0</v>
      </c>
      <c r="W647" s="27"/>
      <c r="X647" s="27"/>
      <c r="Y647" s="27"/>
      <c r="Z647" s="27"/>
      <c r="AA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33">
        <f t="shared" si="1"/>
        <v>0</v>
      </c>
      <c r="W648" s="27"/>
      <c r="X648" s="27"/>
      <c r="Y648" s="27"/>
      <c r="Z648" s="27"/>
      <c r="AA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33">
        <f t="shared" si="1"/>
        <v>0</v>
      </c>
      <c r="W649" s="27"/>
      <c r="X649" s="27"/>
      <c r="Y649" s="27"/>
      <c r="Z649" s="27"/>
      <c r="AA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33">
        <f t="shared" si="1"/>
        <v>0</v>
      </c>
      <c r="W650" s="27"/>
      <c r="X650" s="27"/>
      <c r="Y650" s="27"/>
      <c r="Z650" s="27"/>
      <c r="AA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33">
        <f t="shared" si="1"/>
        <v>0</v>
      </c>
      <c r="W651" s="27"/>
      <c r="X651" s="27"/>
      <c r="Y651" s="27"/>
      <c r="Z651" s="27"/>
      <c r="AA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33">
        <f t="shared" si="1"/>
        <v>0</v>
      </c>
      <c r="W652" s="27"/>
      <c r="X652" s="27"/>
      <c r="Y652" s="27"/>
      <c r="Z652" s="27"/>
      <c r="AA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33">
        <f t="shared" si="1"/>
        <v>0</v>
      </c>
      <c r="W653" s="27"/>
      <c r="X653" s="27"/>
      <c r="Y653" s="27"/>
      <c r="Z653" s="27"/>
      <c r="AA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33">
        <f t="shared" si="1"/>
        <v>0</v>
      </c>
      <c r="W654" s="27"/>
      <c r="X654" s="27"/>
      <c r="Y654" s="27"/>
      <c r="Z654" s="27"/>
      <c r="AA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33">
        <f t="shared" si="1"/>
        <v>0</v>
      </c>
      <c r="W655" s="27"/>
      <c r="X655" s="27"/>
      <c r="Y655" s="27"/>
      <c r="Z655" s="27"/>
      <c r="AA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33">
        <f t="shared" si="1"/>
        <v>0</v>
      </c>
      <c r="W656" s="27"/>
      <c r="X656" s="27"/>
      <c r="Y656" s="27"/>
      <c r="Z656" s="27"/>
      <c r="AA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33">
        <f t="shared" si="1"/>
        <v>0</v>
      </c>
      <c r="W657" s="27"/>
      <c r="X657" s="27"/>
      <c r="Y657" s="27"/>
      <c r="Z657" s="27"/>
      <c r="AA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33">
        <f t="shared" si="1"/>
        <v>0</v>
      </c>
      <c r="W658" s="27"/>
      <c r="X658" s="27"/>
      <c r="Y658" s="27"/>
      <c r="Z658" s="27"/>
      <c r="AA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33">
        <f t="shared" si="1"/>
        <v>0</v>
      </c>
      <c r="W659" s="27"/>
      <c r="X659" s="27"/>
      <c r="Y659" s="27"/>
      <c r="Z659" s="27"/>
      <c r="AA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33">
        <f t="shared" si="1"/>
        <v>0</v>
      </c>
      <c r="W660" s="27"/>
      <c r="X660" s="27"/>
      <c r="Y660" s="27"/>
      <c r="Z660" s="27"/>
      <c r="AA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33">
        <f t="shared" si="1"/>
        <v>0</v>
      </c>
      <c r="W661" s="27"/>
      <c r="X661" s="27"/>
      <c r="Y661" s="27"/>
      <c r="Z661" s="27"/>
      <c r="AA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33">
        <f t="shared" si="1"/>
        <v>0</v>
      </c>
      <c r="W662" s="27"/>
      <c r="X662" s="27"/>
      <c r="Y662" s="27"/>
      <c r="Z662" s="27"/>
      <c r="AA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33">
        <f t="shared" si="1"/>
        <v>0</v>
      </c>
      <c r="W663" s="27"/>
      <c r="X663" s="27"/>
      <c r="Y663" s="27"/>
      <c r="Z663" s="27"/>
      <c r="AA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33">
        <f t="shared" si="1"/>
        <v>0</v>
      </c>
      <c r="W664" s="27"/>
      <c r="X664" s="27"/>
      <c r="Y664" s="27"/>
      <c r="Z664" s="27"/>
      <c r="AA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33">
        <f t="shared" si="1"/>
        <v>0</v>
      </c>
      <c r="W665" s="27"/>
      <c r="X665" s="27"/>
      <c r="Y665" s="27"/>
      <c r="Z665" s="27"/>
      <c r="AA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33">
        <f t="shared" si="1"/>
        <v>0</v>
      </c>
      <c r="W666" s="27"/>
      <c r="X666" s="27"/>
      <c r="Y666" s="27"/>
      <c r="Z666" s="27"/>
      <c r="AA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33">
        <f t="shared" si="1"/>
        <v>0</v>
      </c>
      <c r="W667" s="27"/>
      <c r="X667" s="27"/>
      <c r="Y667" s="27"/>
      <c r="Z667" s="27"/>
      <c r="AA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33">
        <f t="shared" si="1"/>
        <v>0</v>
      </c>
      <c r="W668" s="27"/>
      <c r="X668" s="27"/>
      <c r="Y668" s="27"/>
      <c r="Z668" s="27"/>
      <c r="AA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33">
        <f t="shared" si="1"/>
        <v>0</v>
      </c>
      <c r="W669" s="27"/>
      <c r="X669" s="27"/>
      <c r="Y669" s="27"/>
      <c r="Z669" s="27"/>
      <c r="AA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33">
        <f t="shared" si="1"/>
        <v>0</v>
      </c>
      <c r="W670" s="27"/>
      <c r="X670" s="27"/>
      <c r="Y670" s="27"/>
      <c r="Z670" s="27"/>
      <c r="AA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33">
        <f t="shared" si="1"/>
        <v>0</v>
      </c>
      <c r="W671" s="27"/>
      <c r="X671" s="27"/>
      <c r="Y671" s="27"/>
      <c r="Z671" s="27"/>
      <c r="AA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33">
        <f t="shared" si="1"/>
        <v>0</v>
      </c>
      <c r="W672" s="27"/>
      <c r="X672" s="27"/>
      <c r="Y672" s="27"/>
      <c r="Z672" s="27"/>
      <c r="AA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33">
        <f t="shared" si="1"/>
        <v>0</v>
      </c>
      <c r="W673" s="27"/>
      <c r="X673" s="27"/>
      <c r="Y673" s="27"/>
      <c r="Z673" s="27"/>
      <c r="AA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33">
        <f t="shared" si="1"/>
        <v>0</v>
      </c>
      <c r="W674" s="27"/>
      <c r="X674" s="27"/>
      <c r="Y674" s="27"/>
      <c r="Z674" s="27"/>
      <c r="AA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33">
        <f t="shared" si="1"/>
        <v>0</v>
      </c>
      <c r="W675" s="27"/>
      <c r="X675" s="27"/>
      <c r="Y675" s="27"/>
      <c r="Z675" s="27"/>
      <c r="AA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33">
        <f t="shared" si="1"/>
        <v>0</v>
      </c>
      <c r="W676" s="27"/>
      <c r="X676" s="27"/>
      <c r="Y676" s="27"/>
      <c r="Z676" s="27"/>
      <c r="AA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33">
        <f t="shared" si="1"/>
        <v>0</v>
      </c>
      <c r="W677" s="27"/>
      <c r="X677" s="27"/>
      <c r="Y677" s="27"/>
      <c r="Z677" s="27"/>
      <c r="AA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33">
        <f t="shared" si="1"/>
        <v>0</v>
      </c>
      <c r="W678" s="27"/>
      <c r="X678" s="27"/>
      <c r="Y678" s="27"/>
      <c r="Z678" s="27"/>
      <c r="AA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33">
        <f t="shared" si="1"/>
        <v>0</v>
      </c>
      <c r="W679" s="27"/>
      <c r="X679" s="27"/>
      <c r="Y679" s="27"/>
      <c r="Z679" s="27"/>
      <c r="AA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33">
        <f t="shared" si="1"/>
        <v>0</v>
      </c>
      <c r="W680" s="27"/>
      <c r="X680" s="27"/>
      <c r="Y680" s="27"/>
      <c r="Z680" s="27"/>
      <c r="AA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33">
        <f t="shared" si="1"/>
        <v>0</v>
      </c>
      <c r="W681" s="27"/>
      <c r="X681" s="27"/>
      <c r="Y681" s="27"/>
      <c r="Z681" s="27"/>
      <c r="AA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33">
        <f t="shared" si="1"/>
        <v>0</v>
      </c>
      <c r="W682" s="27"/>
      <c r="X682" s="27"/>
      <c r="Y682" s="27"/>
      <c r="Z682" s="27"/>
      <c r="AA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33">
        <f t="shared" si="1"/>
        <v>0</v>
      </c>
      <c r="W683" s="27"/>
      <c r="X683" s="27"/>
      <c r="Y683" s="27"/>
      <c r="Z683" s="27"/>
      <c r="AA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33">
        <f t="shared" si="1"/>
        <v>0</v>
      </c>
      <c r="W684" s="27"/>
      <c r="X684" s="27"/>
      <c r="Y684" s="27"/>
      <c r="Z684" s="27"/>
      <c r="AA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33">
        <f t="shared" si="1"/>
        <v>0</v>
      </c>
      <c r="W685" s="27"/>
      <c r="X685" s="27"/>
      <c r="Y685" s="27"/>
      <c r="Z685" s="27"/>
      <c r="AA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33">
        <f t="shared" si="1"/>
        <v>0</v>
      </c>
      <c r="W686" s="27"/>
      <c r="X686" s="27"/>
      <c r="Y686" s="27"/>
      <c r="Z686" s="27"/>
      <c r="AA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33">
        <f t="shared" si="1"/>
        <v>0</v>
      </c>
      <c r="W687" s="27"/>
      <c r="X687" s="27"/>
      <c r="Y687" s="27"/>
      <c r="Z687" s="27"/>
      <c r="AA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33">
        <f t="shared" si="1"/>
        <v>0</v>
      </c>
      <c r="W688" s="27"/>
      <c r="X688" s="27"/>
      <c r="Y688" s="27"/>
      <c r="Z688" s="27"/>
      <c r="AA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33">
        <f t="shared" si="1"/>
        <v>0</v>
      </c>
      <c r="W689" s="27"/>
      <c r="X689" s="27"/>
      <c r="Y689" s="27"/>
      <c r="Z689" s="27"/>
      <c r="AA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33">
        <f t="shared" si="1"/>
        <v>0</v>
      </c>
      <c r="W690" s="27"/>
      <c r="X690" s="27"/>
      <c r="Y690" s="27"/>
      <c r="Z690" s="27"/>
      <c r="AA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33">
        <f t="shared" si="1"/>
        <v>0</v>
      </c>
      <c r="W691" s="27"/>
      <c r="X691" s="27"/>
      <c r="Y691" s="27"/>
      <c r="Z691" s="27"/>
      <c r="AA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33">
        <f t="shared" si="1"/>
        <v>0</v>
      </c>
      <c r="W692" s="27"/>
      <c r="X692" s="27"/>
      <c r="Y692" s="27"/>
      <c r="Z692" s="27"/>
      <c r="AA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33">
        <f t="shared" si="1"/>
        <v>0</v>
      </c>
      <c r="W693" s="27"/>
      <c r="X693" s="27"/>
      <c r="Y693" s="27"/>
      <c r="Z693" s="27"/>
      <c r="AA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33">
        <f t="shared" si="1"/>
        <v>0</v>
      </c>
      <c r="W694" s="27"/>
      <c r="X694" s="27"/>
      <c r="Y694" s="27"/>
      <c r="Z694" s="27"/>
      <c r="AA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33">
        <f t="shared" si="1"/>
        <v>0</v>
      </c>
      <c r="W695" s="27"/>
      <c r="X695" s="27"/>
      <c r="Y695" s="27"/>
      <c r="Z695" s="27"/>
      <c r="AA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33">
        <f t="shared" si="1"/>
        <v>0</v>
      </c>
      <c r="W696" s="27"/>
      <c r="X696" s="27"/>
      <c r="Y696" s="27"/>
      <c r="Z696" s="27"/>
      <c r="AA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33">
        <f t="shared" si="1"/>
        <v>0</v>
      </c>
      <c r="W697" s="27"/>
      <c r="X697" s="27"/>
      <c r="Y697" s="27"/>
      <c r="Z697" s="27"/>
      <c r="AA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33">
        <f t="shared" si="1"/>
        <v>0</v>
      </c>
      <c r="W698" s="27"/>
      <c r="X698" s="27"/>
      <c r="Y698" s="27"/>
      <c r="Z698" s="27"/>
      <c r="AA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33">
        <f t="shared" si="1"/>
        <v>0</v>
      </c>
      <c r="W699" s="27"/>
      <c r="X699" s="27"/>
      <c r="Y699" s="27"/>
      <c r="Z699" s="27"/>
      <c r="AA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33">
        <f t="shared" si="1"/>
        <v>0</v>
      </c>
      <c r="W700" s="27"/>
      <c r="X700" s="27"/>
      <c r="Y700" s="27"/>
      <c r="Z700" s="27"/>
      <c r="AA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33">
        <f t="shared" si="1"/>
        <v>0</v>
      </c>
      <c r="W701" s="27"/>
      <c r="X701" s="27"/>
      <c r="Y701" s="27"/>
      <c r="Z701" s="27"/>
      <c r="AA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33">
        <f t="shared" si="1"/>
        <v>0</v>
      </c>
      <c r="W702" s="27"/>
      <c r="X702" s="27"/>
      <c r="Y702" s="27"/>
      <c r="Z702" s="27"/>
      <c r="AA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33">
        <f t="shared" si="1"/>
        <v>0</v>
      </c>
      <c r="W703" s="27"/>
      <c r="X703" s="27"/>
      <c r="Y703" s="27"/>
      <c r="Z703" s="27"/>
      <c r="AA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33">
        <f t="shared" si="1"/>
        <v>0</v>
      </c>
      <c r="W704" s="27"/>
      <c r="X704" s="27"/>
      <c r="Y704" s="27"/>
      <c r="Z704" s="27"/>
      <c r="AA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33">
        <f t="shared" si="1"/>
        <v>0</v>
      </c>
      <c r="W705" s="27"/>
      <c r="X705" s="27"/>
      <c r="Y705" s="27"/>
      <c r="Z705" s="27"/>
      <c r="AA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33">
        <f t="shared" si="1"/>
        <v>0</v>
      </c>
      <c r="W706" s="27"/>
      <c r="X706" s="27"/>
      <c r="Y706" s="27"/>
      <c r="Z706" s="27"/>
      <c r="AA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33">
        <f t="shared" si="1"/>
        <v>0</v>
      </c>
      <c r="W707" s="27"/>
      <c r="X707" s="27"/>
      <c r="Y707" s="27"/>
      <c r="Z707" s="27"/>
      <c r="AA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33">
        <f t="shared" si="1"/>
        <v>0</v>
      </c>
      <c r="W708" s="27"/>
      <c r="X708" s="27"/>
      <c r="Y708" s="27"/>
      <c r="Z708" s="27"/>
      <c r="AA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33">
        <f t="shared" si="1"/>
        <v>0</v>
      </c>
      <c r="W709" s="27"/>
      <c r="X709" s="27"/>
      <c r="Y709" s="27"/>
      <c r="Z709" s="27"/>
      <c r="AA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33">
        <f t="shared" si="1"/>
        <v>0</v>
      </c>
      <c r="W710" s="27"/>
      <c r="X710" s="27"/>
      <c r="Y710" s="27"/>
      <c r="Z710" s="27"/>
      <c r="AA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33">
        <f t="shared" si="1"/>
        <v>0</v>
      </c>
      <c r="W711" s="27"/>
      <c r="X711" s="27"/>
      <c r="Y711" s="27"/>
      <c r="Z711" s="27"/>
      <c r="AA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33">
        <f t="shared" si="1"/>
        <v>0</v>
      </c>
      <c r="W712" s="27"/>
      <c r="X712" s="27"/>
      <c r="Y712" s="27"/>
      <c r="Z712" s="27"/>
      <c r="AA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33">
        <f t="shared" si="1"/>
        <v>0</v>
      </c>
      <c r="W713" s="27"/>
      <c r="X713" s="27"/>
      <c r="Y713" s="27"/>
      <c r="Z713" s="27"/>
      <c r="AA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33">
        <f t="shared" si="1"/>
        <v>0</v>
      </c>
      <c r="W714" s="27"/>
      <c r="X714" s="27"/>
      <c r="Y714" s="27"/>
      <c r="Z714" s="27"/>
      <c r="AA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33">
        <f t="shared" si="1"/>
        <v>0</v>
      </c>
      <c r="W715" s="27"/>
      <c r="X715" s="27"/>
      <c r="Y715" s="27"/>
      <c r="Z715" s="27"/>
      <c r="AA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33">
        <f t="shared" si="1"/>
        <v>0</v>
      </c>
      <c r="W716" s="27"/>
      <c r="X716" s="27"/>
      <c r="Y716" s="27"/>
      <c r="Z716" s="27"/>
      <c r="AA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33">
        <f t="shared" si="1"/>
        <v>0</v>
      </c>
      <c r="W717" s="27"/>
      <c r="X717" s="27"/>
      <c r="Y717" s="27"/>
      <c r="Z717" s="27"/>
      <c r="AA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33">
        <f t="shared" si="1"/>
        <v>0</v>
      </c>
      <c r="W718" s="27"/>
      <c r="X718" s="27"/>
      <c r="Y718" s="27"/>
      <c r="Z718" s="27"/>
      <c r="AA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33">
        <f t="shared" si="1"/>
        <v>0</v>
      </c>
      <c r="W719" s="27"/>
      <c r="X719" s="27"/>
      <c r="Y719" s="27"/>
      <c r="Z719" s="27"/>
      <c r="AA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33">
        <f t="shared" si="1"/>
        <v>0</v>
      </c>
      <c r="W720" s="27"/>
      <c r="X720" s="27"/>
      <c r="Y720" s="27"/>
      <c r="Z720" s="27"/>
      <c r="AA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33">
        <f t="shared" si="1"/>
        <v>0</v>
      </c>
      <c r="W721" s="27"/>
      <c r="X721" s="27"/>
      <c r="Y721" s="27"/>
      <c r="Z721" s="27"/>
      <c r="AA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33">
        <f t="shared" si="1"/>
        <v>0</v>
      </c>
      <c r="W722" s="27"/>
      <c r="X722" s="27"/>
      <c r="Y722" s="27"/>
      <c r="Z722" s="27"/>
      <c r="AA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33">
        <f t="shared" si="1"/>
        <v>0</v>
      </c>
      <c r="W723" s="27"/>
      <c r="X723" s="27"/>
      <c r="Y723" s="27"/>
      <c r="Z723" s="27"/>
      <c r="AA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33">
        <f t="shared" si="1"/>
        <v>0</v>
      </c>
      <c r="W724" s="27"/>
      <c r="X724" s="27"/>
      <c r="Y724" s="27"/>
      <c r="Z724" s="27"/>
      <c r="AA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33">
        <f t="shared" si="1"/>
        <v>0</v>
      </c>
      <c r="W725" s="27"/>
      <c r="X725" s="27"/>
      <c r="Y725" s="27"/>
      <c r="Z725" s="27"/>
      <c r="AA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33">
        <f t="shared" si="1"/>
        <v>0</v>
      </c>
      <c r="W726" s="27"/>
      <c r="X726" s="27"/>
      <c r="Y726" s="27"/>
      <c r="Z726" s="27"/>
      <c r="AA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33">
        <f t="shared" si="1"/>
        <v>0</v>
      </c>
      <c r="W727" s="27"/>
      <c r="X727" s="27"/>
      <c r="Y727" s="27"/>
      <c r="Z727" s="27"/>
      <c r="AA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33">
        <f t="shared" si="1"/>
        <v>0</v>
      </c>
      <c r="W728" s="27"/>
      <c r="X728" s="27"/>
      <c r="Y728" s="27"/>
      <c r="Z728" s="27"/>
      <c r="AA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33">
        <f t="shared" si="1"/>
        <v>0</v>
      </c>
      <c r="W729" s="27"/>
      <c r="X729" s="27"/>
      <c r="Y729" s="27"/>
      <c r="Z729" s="27"/>
      <c r="AA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33">
        <f t="shared" si="1"/>
        <v>0</v>
      </c>
      <c r="W730" s="27"/>
      <c r="X730" s="27"/>
      <c r="Y730" s="27"/>
      <c r="Z730" s="27"/>
      <c r="AA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33">
        <f t="shared" si="1"/>
        <v>0</v>
      </c>
      <c r="W731" s="27"/>
      <c r="X731" s="27"/>
      <c r="Y731" s="27"/>
      <c r="Z731" s="27"/>
      <c r="AA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33">
        <f t="shared" si="1"/>
        <v>0</v>
      </c>
      <c r="W732" s="27"/>
      <c r="X732" s="27"/>
      <c r="Y732" s="27"/>
      <c r="Z732" s="27"/>
      <c r="AA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33">
        <f t="shared" si="1"/>
        <v>0</v>
      </c>
      <c r="W733" s="27"/>
      <c r="X733" s="27"/>
      <c r="Y733" s="27"/>
      <c r="Z733" s="27"/>
      <c r="AA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33">
        <f t="shared" si="1"/>
        <v>0</v>
      </c>
      <c r="W734" s="27"/>
      <c r="X734" s="27"/>
      <c r="Y734" s="27"/>
      <c r="Z734" s="27"/>
      <c r="AA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33">
        <f t="shared" si="1"/>
        <v>0</v>
      </c>
      <c r="W735" s="27"/>
      <c r="X735" s="27"/>
      <c r="Y735" s="27"/>
      <c r="Z735" s="27"/>
      <c r="AA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33">
        <f t="shared" si="1"/>
        <v>0</v>
      </c>
      <c r="W736" s="27"/>
      <c r="X736" s="27"/>
      <c r="Y736" s="27"/>
      <c r="Z736" s="27"/>
      <c r="AA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33">
        <f t="shared" si="1"/>
        <v>0</v>
      </c>
      <c r="W737" s="27"/>
      <c r="X737" s="27"/>
      <c r="Y737" s="27"/>
      <c r="Z737" s="27"/>
      <c r="AA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33">
        <f t="shared" si="1"/>
        <v>0</v>
      </c>
      <c r="W738" s="27"/>
      <c r="X738" s="27"/>
      <c r="Y738" s="27"/>
      <c r="Z738" s="27"/>
      <c r="AA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33">
        <f t="shared" si="1"/>
        <v>0</v>
      </c>
      <c r="W739" s="27"/>
      <c r="X739" s="27"/>
      <c r="Y739" s="27"/>
      <c r="Z739" s="27"/>
      <c r="AA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33">
        <f t="shared" si="1"/>
        <v>0</v>
      </c>
      <c r="W740" s="27"/>
      <c r="X740" s="27"/>
      <c r="Y740" s="27"/>
      <c r="Z740" s="27"/>
      <c r="AA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33">
        <f t="shared" si="1"/>
        <v>0</v>
      </c>
      <c r="W741" s="27"/>
      <c r="X741" s="27"/>
      <c r="Y741" s="27"/>
      <c r="Z741" s="27"/>
      <c r="AA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33">
        <f t="shared" si="1"/>
        <v>0</v>
      </c>
      <c r="W742" s="27"/>
      <c r="X742" s="27"/>
      <c r="Y742" s="27"/>
      <c r="Z742" s="27"/>
      <c r="AA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33">
        <f t="shared" si="1"/>
        <v>0</v>
      </c>
      <c r="W743" s="27"/>
      <c r="X743" s="27"/>
      <c r="Y743" s="27"/>
      <c r="Z743" s="27"/>
      <c r="AA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33">
        <f t="shared" si="1"/>
        <v>0</v>
      </c>
      <c r="W744" s="27"/>
      <c r="X744" s="27"/>
      <c r="Y744" s="27"/>
      <c r="Z744" s="27"/>
      <c r="AA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33">
        <f t="shared" si="1"/>
        <v>0</v>
      </c>
      <c r="W745" s="27"/>
      <c r="X745" s="27"/>
      <c r="Y745" s="27"/>
      <c r="Z745" s="27"/>
      <c r="AA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33">
        <f t="shared" si="1"/>
        <v>0</v>
      </c>
      <c r="W746" s="27"/>
      <c r="X746" s="27"/>
      <c r="Y746" s="27"/>
      <c r="Z746" s="27"/>
      <c r="AA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33">
        <f t="shared" si="1"/>
        <v>0</v>
      </c>
      <c r="W747" s="27"/>
      <c r="X747" s="27"/>
      <c r="Y747" s="27"/>
      <c r="Z747" s="27"/>
      <c r="AA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33">
        <f t="shared" si="1"/>
        <v>0</v>
      </c>
      <c r="W748" s="27"/>
      <c r="X748" s="27"/>
      <c r="Y748" s="27"/>
      <c r="Z748" s="27"/>
      <c r="AA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33">
        <f t="shared" si="1"/>
        <v>0</v>
      </c>
      <c r="W749" s="27"/>
      <c r="X749" s="27"/>
      <c r="Y749" s="27"/>
      <c r="Z749" s="27"/>
      <c r="AA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33">
        <f t="shared" si="1"/>
        <v>0</v>
      </c>
      <c r="W750" s="27"/>
      <c r="X750" s="27"/>
      <c r="Y750" s="27"/>
      <c r="Z750" s="27"/>
      <c r="AA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33">
        <f t="shared" si="1"/>
        <v>0</v>
      </c>
      <c r="W751" s="27"/>
      <c r="X751" s="27"/>
      <c r="Y751" s="27"/>
      <c r="Z751" s="27"/>
      <c r="AA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33">
        <f t="shared" si="1"/>
        <v>0</v>
      </c>
      <c r="W752" s="27"/>
      <c r="X752" s="27"/>
      <c r="Y752" s="27"/>
      <c r="Z752" s="27"/>
      <c r="AA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33">
        <f t="shared" si="1"/>
        <v>0</v>
      </c>
      <c r="W753" s="27"/>
      <c r="X753" s="27"/>
      <c r="Y753" s="27"/>
      <c r="Z753" s="27"/>
      <c r="AA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33">
        <f t="shared" si="1"/>
        <v>0</v>
      </c>
      <c r="W754" s="27"/>
      <c r="X754" s="27"/>
      <c r="Y754" s="27"/>
      <c r="Z754" s="27"/>
      <c r="AA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33">
        <f t="shared" si="1"/>
        <v>0</v>
      </c>
      <c r="W755" s="27"/>
      <c r="X755" s="27"/>
      <c r="Y755" s="27"/>
      <c r="Z755" s="27"/>
      <c r="AA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33">
        <f t="shared" si="1"/>
        <v>0</v>
      </c>
      <c r="W756" s="27"/>
      <c r="X756" s="27"/>
      <c r="Y756" s="27"/>
      <c r="Z756" s="27"/>
      <c r="AA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33">
        <f t="shared" si="1"/>
        <v>0</v>
      </c>
      <c r="W757" s="27"/>
      <c r="X757" s="27"/>
      <c r="Y757" s="27"/>
      <c r="Z757" s="27"/>
      <c r="AA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33">
        <f t="shared" si="1"/>
        <v>0</v>
      </c>
      <c r="W758" s="27"/>
      <c r="X758" s="27"/>
      <c r="Y758" s="27"/>
      <c r="Z758" s="27"/>
      <c r="AA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33">
        <f t="shared" si="1"/>
        <v>0</v>
      </c>
      <c r="W759" s="27"/>
      <c r="X759" s="27"/>
      <c r="Y759" s="27"/>
      <c r="Z759" s="27"/>
      <c r="AA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33">
        <f t="shared" si="1"/>
        <v>0</v>
      </c>
      <c r="W760" s="27"/>
      <c r="X760" s="27"/>
      <c r="Y760" s="27"/>
      <c r="Z760" s="27"/>
      <c r="AA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33">
        <f t="shared" si="1"/>
        <v>0</v>
      </c>
      <c r="W761" s="27"/>
      <c r="X761" s="27"/>
      <c r="Y761" s="27"/>
      <c r="Z761" s="27"/>
      <c r="AA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33">
        <f t="shared" si="1"/>
        <v>0</v>
      </c>
      <c r="W762" s="27"/>
      <c r="X762" s="27"/>
      <c r="Y762" s="27"/>
      <c r="Z762" s="27"/>
      <c r="AA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33">
        <f t="shared" si="1"/>
        <v>0</v>
      </c>
      <c r="W763" s="27"/>
      <c r="X763" s="27"/>
      <c r="Y763" s="27"/>
      <c r="Z763" s="27"/>
      <c r="AA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33">
        <f t="shared" si="1"/>
        <v>0</v>
      </c>
      <c r="W764" s="27"/>
      <c r="X764" s="27"/>
      <c r="Y764" s="27"/>
      <c r="Z764" s="27"/>
      <c r="AA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33">
        <f t="shared" si="1"/>
        <v>0</v>
      </c>
      <c r="W765" s="27"/>
      <c r="X765" s="27"/>
      <c r="Y765" s="27"/>
      <c r="Z765" s="27"/>
      <c r="AA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33">
        <f t="shared" si="1"/>
        <v>0</v>
      </c>
      <c r="W766" s="27"/>
      <c r="X766" s="27"/>
      <c r="Y766" s="27"/>
      <c r="Z766" s="27"/>
      <c r="AA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33">
        <f t="shared" si="1"/>
        <v>0</v>
      </c>
      <c r="W767" s="27"/>
      <c r="X767" s="27"/>
      <c r="Y767" s="27"/>
      <c r="Z767" s="27"/>
      <c r="AA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33">
        <f t="shared" si="1"/>
        <v>0</v>
      </c>
      <c r="W768" s="27"/>
      <c r="X768" s="27"/>
      <c r="Y768" s="27"/>
      <c r="Z768" s="27"/>
      <c r="AA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33">
        <f t="shared" si="1"/>
        <v>0</v>
      </c>
      <c r="W769" s="27"/>
      <c r="X769" s="27"/>
      <c r="Y769" s="27"/>
      <c r="Z769" s="27"/>
      <c r="AA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33">
        <f t="shared" si="1"/>
        <v>0</v>
      </c>
      <c r="W770" s="27"/>
      <c r="X770" s="27"/>
      <c r="Y770" s="27"/>
      <c r="Z770" s="27"/>
      <c r="AA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33">
        <f t="shared" si="1"/>
        <v>0</v>
      </c>
      <c r="W771" s="27"/>
      <c r="X771" s="27"/>
      <c r="Y771" s="27"/>
      <c r="Z771" s="27"/>
      <c r="AA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33">
        <f t="shared" si="1"/>
        <v>0</v>
      </c>
      <c r="W772" s="27"/>
      <c r="X772" s="27"/>
      <c r="Y772" s="27"/>
      <c r="Z772" s="27"/>
      <c r="AA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33">
        <f t="shared" si="1"/>
        <v>0</v>
      </c>
      <c r="W773" s="27"/>
      <c r="X773" s="27"/>
      <c r="Y773" s="27"/>
      <c r="Z773" s="27"/>
      <c r="AA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33">
        <f t="shared" si="1"/>
        <v>0</v>
      </c>
      <c r="W774" s="27"/>
      <c r="X774" s="27"/>
      <c r="Y774" s="27"/>
      <c r="Z774" s="27"/>
      <c r="AA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33">
        <f t="shared" si="1"/>
        <v>0</v>
      </c>
      <c r="W775" s="27"/>
      <c r="X775" s="27"/>
      <c r="Y775" s="27"/>
      <c r="Z775" s="27"/>
      <c r="AA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33">
        <f t="shared" si="1"/>
        <v>0</v>
      </c>
      <c r="W776" s="27"/>
      <c r="X776" s="27"/>
      <c r="Y776" s="27"/>
      <c r="Z776" s="27"/>
      <c r="AA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33">
        <f t="shared" si="1"/>
        <v>0</v>
      </c>
      <c r="W777" s="27"/>
      <c r="X777" s="27"/>
      <c r="Y777" s="27"/>
      <c r="Z777" s="27"/>
      <c r="AA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33">
        <f t="shared" si="1"/>
        <v>0</v>
      </c>
      <c r="W778" s="27"/>
      <c r="X778" s="27"/>
      <c r="Y778" s="27"/>
      <c r="Z778" s="27"/>
      <c r="AA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33">
        <f t="shared" si="1"/>
        <v>0</v>
      </c>
      <c r="W779" s="27"/>
      <c r="X779" s="27"/>
      <c r="Y779" s="27"/>
      <c r="Z779" s="27"/>
      <c r="AA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33">
        <f t="shared" si="1"/>
        <v>0</v>
      </c>
      <c r="W780" s="27"/>
      <c r="X780" s="27"/>
      <c r="Y780" s="27"/>
      <c r="Z780" s="27"/>
      <c r="AA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33">
        <f t="shared" si="1"/>
        <v>0</v>
      </c>
      <c r="W781" s="27"/>
      <c r="X781" s="27"/>
      <c r="Y781" s="27"/>
      <c r="Z781" s="27"/>
      <c r="AA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33">
        <f t="shared" si="1"/>
        <v>0</v>
      </c>
      <c r="W782" s="27"/>
      <c r="X782" s="27"/>
      <c r="Y782" s="27"/>
      <c r="Z782" s="27"/>
      <c r="AA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33">
        <f t="shared" si="1"/>
        <v>0</v>
      </c>
      <c r="W783" s="27"/>
      <c r="X783" s="27"/>
      <c r="Y783" s="27"/>
      <c r="Z783" s="27"/>
      <c r="AA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33">
        <f t="shared" si="1"/>
        <v>0</v>
      </c>
      <c r="W784" s="27"/>
      <c r="X784" s="27"/>
      <c r="Y784" s="27"/>
      <c r="Z784" s="27"/>
      <c r="AA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33">
        <f t="shared" si="1"/>
        <v>0</v>
      </c>
      <c r="W785" s="27"/>
      <c r="X785" s="27"/>
      <c r="Y785" s="27"/>
      <c r="Z785" s="27"/>
      <c r="AA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33">
        <f t="shared" si="1"/>
        <v>0</v>
      </c>
      <c r="W786" s="27"/>
      <c r="X786" s="27"/>
      <c r="Y786" s="27"/>
      <c r="Z786" s="27"/>
      <c r="AA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33">
        <f t="shared" si="1"/>
        <v>0</v>
      </c>
      <c r="W787" s="27"/>
      <c r="X787" s="27"/>
      <c r="Y787" s="27"/>
      <c r="Z787" s="27"/>
      <c r="AA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33">
        <f t="shared" si="1"/>
        <v>0</v>
      </c>
      <c r="W788" s="27"/>
      <c r="X788" s="27"/>
      <c r="Y788" s="27"/>
      <c r="Z788" s="27"/>
      <c r="AA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33">
        <f t="shared" si="1"/>
        <v>0</v>
      </c>
      <c r="W789" s="27"/>
      <c r="X789" s="27"/>
      <c r="Y789" s="27"/>
      <c r="Z789" s="27"/>
      <c r="AA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33">
        <f t="shared" si="1"/>
        <v>0</v>
      </c>
      <c r="W790" s="27"/>
      <c r="X790" s="27"/>
      <c r="Y790" s="27"/>
      <c r="Z790" s="27"/>
      <c r="AA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33">
        <f t="shared" si="1"/>
        <v>0</v>
      </c>
      <c r="W791" s="27"/>
      <c r="X791" s="27"/>
      <c r="Y791" s="27"/>
      <c r="Z791" s="27"/>
      <c r="AA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33">
        <f t="shared" si="1"/>
        <v>0</v>
      </c>
      <c r="W792" s="27"/>
      <c r="X792" s="27"/>
      <c r="Y792" s="27"/>
      <c r="Z792" s="27"/>
      <c r="AA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33">
        <f t="shared" si="1"/>
        <v>0</v>
      </c>
      <c r="W793" s="27"/>
      <c r="X793" s="27"/>
      <c r="Y793" s="27"/>
      <c r="Z793" s="27"/>
      <c r="AA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33">
        <f t="shared" si="1"/>
        <v>0</v>
      </c>
      <c r="W794" s="27"/>
      <c r="X794" s="27"/>
      <c r="Y794" s="27"/>
      <c r="Z794" s="27"/>
      <c r="AA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33">
        <f t="shared" si="1"/>
        <v>0</v>
      </c>
      <c r="W795" s="27"/>
      <c r="X795" s="27"/>
      <c r="Y795" s="27"/>
      <c r="Z795" s="27"/>
      <c r="AA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33">
        <f t="shared" si="1"/>
        <v>0</v>
      </c>
      <c r="W796" s="27"/>
      <c r="X796" s="27"/>
      <c r="Y796" s="27"/>
      <c r="Z796" s="27"/>
      <c r="AA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33">
        <f t="shared" si="1"/>
        <v>0</v>
      </c>
      <c r="W797" s="27"/>
      <c r="X797" s="27"/>
      <c r="Y797" s="27"/>
      <c r="Z797" s="27"/>
      <c r="AA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33">
        <f t="shared" si="1"/>
        <v>0</v>
      </c>
      <c r="W798" s="27"/>
      <c r="X798" s="27"/>
      <c r="Y798" s="27"/>
      <c r="Z798" s="27"/>
      <c r="AA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33">
        <f t="shared" si="1"/>
        <v>0</v>
      </c>
      <c r="W799" s="27"/>
      <c r="X799" s="27"/>
      <c r="Y799" s="27"/>
      <c r="Z799" s="27"/>
      <c r="AA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33">
        <f t="shared" si="1"/>
        <v>0</v>
      </c>
      <c r="W800" s="27"/>
      <c r="X800" s="27"/>
      <c r="Y800" s="27"/>
      <c r="Z800" s="27"/>
      <c r="AA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33">
        <f t="shared" si="1"/>
        <v>0</v>
      </c>
      <c r="W801" s="27"/>
      <c r="X801" s="27"/>
      <c r="Y801" s="27"/>
      <c r="Z801" s="27"/>
      <c r="AA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33">
        <f t="shared" si="1"/>
        <v>0</v>
      </c>
      <c r="W802" s="27"/>
      <c r="X802" s="27"/>
      <c r="Y802" s="27"/>
      <c r="Z802" s="27"/>
      <c r="AA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33">
        <f t="shared" si="1"/>
        <v>0</v>
      </c>
      <c r="W803" s="27"/>
      <c r="X803" s="27"/>
      <c r="Y803" s="27"/>
      <c r="Z803" s="27"/>
      <c r="AA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33">
        <f t="shared" si="1"/>
        <v>0</v>
      </c>
      <c r="W804" s="27"/>
      <c r="X804" s="27"/>
      <c r="Y804" s="27"/>
      <c r="Z804" s="27"/>
      <c r="AA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33">
        <f t="shared" si="1"/>
        <v>0</v>
      </c>
      <c r="W805" s="27"/>
      <c r="X805" s="27"/>
      <c r="Y805" s="27"/>
      <c r="Z805" s="27"/>
      <c r="AA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33">
        <f t="shared" si="1"/>
        <v>0</v>
      </c>
      <c r="W806" s="27"/>
      <c r="X806" s="27"/>
      <c r="Y806" s="27"/>
      <c r="Z806" s="27"/>
      <c r="AA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33">
        <f t="shared" si="1"/>
        <v>0</v>
      </c>
      <c r="W807" s="27"/>
      <c r="X807" s="27"/>
      <c r="Y807" s="27"/>
      <c r="Z807" s="27"/>
      <c r="AA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33">
        <f t="shared" si="1"/>
        <v>0</v>
      </c>
      <c r="W808" s="27"/>
      <c r="X808" s="27"/>
      <c r="Y808" s="27"/>
      <c r="Z808" s="27"/>
      <c r="AA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33">
        <f t="shared" si="1"/>
        <v>0</v>
      </c>
      <c r="W809" s="27"/>
      <c r="X809" s="27"/>
      <c r="Y809" s="27"/>
      <c r="Z809" s="27"/>
      <c r="AA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33">
        <f t="shared" si="1"/>
        <v>0</v>
      </c>
      <c r="W810" s="27"/>
      <c r="X810" s="27"/>
      <c r="Y810" s="27"/>
      <c r="Z810" s="27"/>
      <c r="AA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33">
        <f t="shared" si="1"/>
        <v>0</v>
      </c>
      <c r="W811" s="27"/>
      <c r="X811" s="27"/>
      <c r="Y811" s="27"/>
      <c r="Z811" s="27"/>
      <c r="AA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33">
        <f t="shared" si="1"/>
        <v>0</v>
      </c>
      <c r="W812" s="27"/>
      <c r="X812" s="27"/>
      <c r="Y812" s="27"/>
      <c r="Z812" s="27"/>
      <c r="AA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33">
        <f t="shared" si="1"/>
        <v>0</v>
      </c>
      <c r="W813" s="27"/>
      <c r="X813" s="27"/>
      <c r="Y813" s="27"/>
      <c r="Z813" s="27"/>
      <c r="AA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33">
        <f t="shared" si="1"/>
        <v>0</v>
      </c>
      <c r="W814" s="27"/>
      <c r="X814" s="27"/>
      <c r="Y814" s="27"/>
      <c r="Z814" s="27"/>
      <c r="AA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33">
        <f t="shared" si="1"/>
        <v>0</v>
      </c>
      <c r="W815" s="27"/>
      <c r="X815" s="27"/>
      <c r="Y815" s="27"/>
      <c r="Z815" s="27"/>
      <c r="AA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33">
        <f t="shared" si="1"/>
        <v>0</v>
      </c>
      <c r="W816" s="27"/>
      <c r="X816" s="27"/>
      <c r="Y816" s="27"/>
      <c r="Z816" s="27"/>
      <c r="AA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33">
        <f t="shared" si="1"/>
        <v>0</v>
      </c>
      <c r="W817" s="27"/>
      <c r="X817" s="27"/>
      <c r="Y817" s="27"/>
      <c r="Z817" s="27"/>
      <c r="AA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33">
        <f t="shared" si="1"/>
        <v>0</v>
      </c>
      <c r="W818" s="27"/>
      <c r="X818" s="27"/>
      <c r="Y818" s="27"/>
      <c r="Z818" s="27"/>
      <c r="AA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33">
        <f t="shared" si="1"/>
        <v>0</v>
      </c>
      <c r="W819" s="27"/>
      <c r="X819" s="27"/>
      <c r="Y819" s="27"/>
      <c r="Z819" s="27"/>
      <c r="AA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33">
        <f t="shared" si="1"/>
        <v>0</v>
      </c>
      <c r="W820" s="27"/>
      <c r="X820" s="27"/>
      <c r="Y820" s="27"/>
      <c r="Z820" s="27"/>
      <c r="AA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33">
        <f t="shared" si="1"/>
        <v>0</v>
      </c>
      <c r="W821" s="27"/>
      <c r="X821" s="27"/>
      <c r="Y821" s="27"/>
      <c r="Z821" s="27"/>
      <c r="AA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33">
        <f t="shared" si="1"/>
        <v>0</v>
      </c>
      <c r="W822" s="27"/>
      <c r="X822" s="27"/>
      <c r="Y822" s="27"/>
      <c r="Z822" s="27"/>
      <c r="AA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33">
        <f t="shared" si="1"/>
        <v>0</v>
      </c>
      <c r="W823" s="27"/>
      <c r="X823" s="27"/>
      <c r="Y823" s="27"/>
      <c r="Z823" s="27"/>
      <c r="AA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33">
        <f t="shared" si="1"/>
        <v>0</v>
      </c>
      <c r="W824" s="27"/>
      <c r="X824" s="27"/>
      <c r="Y824" s="27"/>
      <c r="Z824" s="27"/>
      <c r="AA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33">
        <f t="shared" si="1"/>
        <v>0</v>
      </c>
      <c r="W825" s="27"/>
      <c r="X825" s="27"/>
      <c r="Y825" s="27"/>
      <c r="Z825" s="27"/>
      <c r="AA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33">
        <f t="shared" si="1"/>
        <v>0</v>
      </c>
      <c r="W826" s="27"/>
      <c r="X826" s="27"/>
      <c r="Y826" s="27"/>
      <c r="Z826" s="27"/>
      <c r="AA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33">
        <f t="shared" si="1"/>
        <v>0</v>
      </c>
      <c r="W827" s="27"/>
      <c r="X827" s="27"/>
      <c r="Y827" s="27"/>
      <c r="Z827" s="27"/>
      <c r="AA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33">
        <f t="shared" si="1"/>
        <v>0</v>
      </c>
      <c r="W828" s="27"/>
      <c r="X828" s="27"/>
      <c r="Y828" s="27"/>
      <c r="Z828" s="27"/>
      <c r="AA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33">
        <f t="shared" si="1"/>
        <v>0</v>
      </c>
      <c r="W829" s="27"/>
      <c r="X829" s="27"/>
      <c r="Y829" s="27"/>
      <c r="Z829" s="27"/>
      <c r="AA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33">
        <f t="shared" si="1"/>
        <v>0</v>
      </c>
      <c r="W830" s="27"/>
      <c r="X830" s="27"/>
      <c r="Y830" s="27"/>
      <c r="Z830" s="27"/>
      <c r="AA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33">
        <f t="shared" si="1"/>
        <v>0</v>
      </c>
      <c r="W831" s="27"/>
      <c r="X831" s="27"/>
      <c r="Y831" s="27"/>
      <c r="Z831" s="27"/>
      <c r="AA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33">
        <f t="shared" si="1"/>
        <v>0</v>
      </c>
      <c r="W832" s="27"/>
      <c r="X832" s="27"/>
      <c r="Y832" s="27"/>
      <c r="Z832" s="27"/>
      <c r="AA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33">
        <f t="shared" si="1"/>
        <v>0</v>
      </c>
      <c r="W833" s="27"/>
      <c r="X833" s="27"/>
      <c r="Y833" s="27"/>
      <c r="Z833" s="27"/>
      <c r="AA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33">
        <f t="shared" si="1"/>
        <v>0</v>
      </c>
      <c r="W834" s="27"/>
      <c r="X834" s="27"/>
      <c r="Y834" s="27"/>
      <c r="Z834" s="27"/>
      <c r="AA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33">
        <f t="shared" si="1"/>
        <v>0</v>
      </c>
      <c r="W835" s="27"/>
      <c r="X835" s="27"/>
      <c r="Y835" s="27"/>
      <c r="Z835" s="27"/>
      <c r="AA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33">
        <f t="shared" si="1"/>
        <v>0</v>
      </c>
      <c r="W836" s="27"/>
      <c r="X836" s="27"/>
      <c r="Y836" s="27"/>
      <c r="Z836" s="27"/>
      <c r="AA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33">
        <f t="shared" si="1"/>
        <v>0</v>
      </c>
      <c r="W837" s="27"/>
      <c r="X837" s="27"/>
      <c r="Y837" s="27"/>
      <c r="Z837" s="27"/>
      <c r="AA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33">
        <f t="shared" si="1"/>
        <v>0</v>
      </c>
      <c r="W838" s="27"/>
      <c r="X838" s="27"/>
      <c r="Y838" s="27"/>
      <c r="Z838" s="27"/>
      <c r="AA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33">
        <f t="shared" si="1"/>
        <v>0</v>
      </c>
      <c r="W839" s="27"/>
      <c r="X839" s="27"/>
      <c r="Y839" s="27"/>
      <c r="Z839" s="27"/>
      <c r="AA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33">
        <f t="shared" si="1"/>
        <v>0</v>
      </c>
      <c r="W840" s="27"/>
      <c r="X840" s="27"/>
      <c r="Y840" s="27"/>
      <c r="Z840" s="27"/>
      <c r="AA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33">
        <f t="shared" si="1"/>
        <v>0</v>
      </c>
      <c r="W841" s="27"/>
      <c r="X841" s="27"/>
      <c r="Y841" s="27"/>
      <c r="Z841" s="27"/>
      <c r="AA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33">
        <f t="shared" si="1"/>
        <v>0</v>
      </c>
      <c r="W842" s="27"/>
      <c r="X842" s="27"/>
      <c r="Y842" s="27"/>
      <c r="Z842" s="27"/>
      <c r="AA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33">
        <f t="shared" si="1"/>
        <v>0</v>
      </c>
      <c r="W843" s="27"/>
      <c r="X843" s="27"/>
      <c r="Y843" s="27"/>
      <c r="Z843" s="27"/>
      <c r="AA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33">
        <f t="shared" si="1"/>
        <v>0</v>
      </c>
      <c r="W844" s="27"/>
      <c r="X844" s="27"/>
      <c r="Y844" s="27"/>
      <c r="Z844" s="27"/>
      <c r="AA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33">
        <f t="shared" si="1"/>
        <v>0</v>
      </c>
      <c r="W845" s="27"/>
      <c r="X845" s="27"/>
      <c r="Y845" s="27"/>
      <c r="Z845" s="27"/>
      <c r="AA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33">
        <f t="shared" si="1"/>
        <v>0</v>
      </c>
      <c r="W846" s="27"/>
      <c r="X846" s="27"/>
      <c r="Y846" s="27"/>
      <c r="Z846" s="27"/>
      <c r="AA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33">
        <f t="shared" si="1"/>
        <v>0</v>
      </c>
      <c r="W847" s="27"/>
      <c r="X847" s="27"/>
      <c r="Y847" s="27"/>
      <c r="Z847" s="27"/>
      <c r="AA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33">
        <f t="shared" si="1"/>
        <v>0</v>
      </c>
      <c r="W848" s="27"/>
      <c r="X848" s="27"/>
      <c r="Y848" s="27"/>
      <c r="Z848" s="27"/>
      <c r="AA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33">
        <f t="shared" si="1"/>
        <v>0</v>
      </c>
      <c r="W849" s="27"/>
      <c r="X849" s="27"/>
      <c r="Y849" s="27"/>
      <c r="Z849" s="27"/>
      <c r="AA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33">
        <f t="shared" si="1"/>
        <v>0</v>
      </c>
      <c r="W850" s="27"/>
      <c r="X850" s="27"/>
      <c r="Y850" s="27"/>
      <c r="Z850" s="27"/>
      <c r="AA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33">
        <f t="shared" si="1"/>
        <v>0</v>
      </c>
      <c r="W851" s="27"/>
      <c r="X851" s="27"/>
      <c r="Y851" s="27"/>
      <c r="Z851" s="27"/>
      <c r="AA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33">
        <f t="shared" si="1"/>
        <v>0</v>
      </c>
      <c r="W852" s="27"/>
      <c r="X852" s="27"/>
      <c r="Y852" s="27"/>
      <c r="Z852" s="27"/>
      <c r="AA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33">
        <f t="shared" si="1"/>
        <v>0</v>
      </c>
      <c r="W853" s="27"/>
      <c r="X853" s="27"/>
      <c r="Y853" s="27"/>
      <c r="Z853" s="27"/>
      <c r="AA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33">
        <f t="shared" si="1"/>
        <v>0</v>
      </c>
      <c r="W854" s="27"/>
      <c r="X854" s="27"/>
      <c r="Y854" s="27"/>
      <c r="Z854" s="27"/>
      <c r="AA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33">
        <f t="shared" si="1"/>
        <v>0</v>
      </c>
      <c r="W855" s="27"/>
      <c r="X855" s="27"/>
      <c r="Y855" s="27"/>
      <c r="Z855" s="27"/>
      <c r="AA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33">
        <f t="shared" si="1"/>
        <v>0</v>
      </c>
      <c r="W856" s="27"/>
      <c r="X856" s="27"/>
      <c r="Y856" s="27"/>
      <c r="Z856" s="27"/>
      <c r="AA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33">
        <f t="shared" si="1"/>
        <v>0</v>
      </c>
      <c r="W857" s="27"/>
      <c r="X857" s="27"/>
      <c r="Y857" s="27"/>
      <c r="Z857" s="27"/>
      <c r="AA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33">
        <f t="shared" si="1"/>
        <v>0</v>
      </c>
      <c r="W858" s="27"/>
      <c r="X858" s="27"/>
      <c r="Y858" s="27"/>
      <c r="Z858" s="27"/>
      <c r="AA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33">
        <f t="shared" si="1"/>
        <v>0</v>
      </c>
      <c r="W859" s="27"/>
      <c r="X859" s="27"/>
      <c r="Y859" s="27"/>
      <c r="Z859" s="27"/>
      <c r="AA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33">
        <f t="shared" si="1"/>
        <v>0</v>
      </c>
      <c r="W860" s="27"/>
      <c r="X860" s="27"/>
      <c r="Y860" s="27"/>
      <c r="Z860" s="27"/>
      <c r="AA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33">
        <f t="shared" si="1"/>
        <v>0</v>
      </c>
      <c r="W861" s="27"/>
      <c r="X861" s="27"/>
      <c r="Y861" s="27"/>
      <c r="Z861" s="27"/>
      <c r="AA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33">
        <f t="shared" si="1"/>
        <v>0</v>
      </c>
      <c r="W862" s="27"/>
      <c r="X862" s="27"/>
      <c r="Y862" s="27"/>
      <c r="Z862" s="27"/>
      <c r="AA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33">
        <f t="shared" si="1"/>
        <v>0</v>
      </c>
      <c r="W863" s="27"/>
      <c r="X863" s="27"/>
      <c r="Y863" s="27"/>
      <c r="Z863" s="27"/>
      <c r="AA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33">
        <f t="shared" si="1"/>
        <v>0</v>
      </c>
      <c r="W864" s="27"/>
      <c r="X864" s="27"/>
      <c r="Y864" s="27"/>
      <c r="Z864" s="27"/>
      <c r="AA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33">
        <f t="shared" si="1"/>
        <v>0</v>
      </c>
      <c r="W865" s="27"/>
      <c r="X865" s="27"/>
      <c r="Y865" s="27"/>
      <c r="Z865" s="27"/>
      <c r="AA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33">
        <f t="shared" si="1"/>
        <v>0</v>
      </c>
      <c r="W866" s="27"/>
      <c r="X866" s="27"/>
      <c r="Y866" s="27"/>
      <c r="Z866" s="27"/>
      <c r="AA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33">
        <f t="shared" si="1"/>
        <v>0</v>
      </c>
      <c r="W867" s="27"/>
      <c r="X867" s="27"/>
      <c r="Y867" s="27"/>
      <c r="Z867" s="27"/>
      <c r="AA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33">
        <f t="shared" si="1"/>
        <v>0</v>
      </c>
      <c r="W868" s="27"/>
      <c r="X868" s="27"/>
      <c r="Y868" s="27"/>
      <c r="Z868" s="27"/>
      <c r="AA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33">
        <f t="shared" si="1"/>
        <v>0</v>
      </c>
      <c r="W869" s="27"/>
      <c r="X869" s="27"/>
      <c r="Y869" s="27"/>
      <c r="Z869" s="27"/>
      <c r="AA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33">
        <f t="shared" si="1"/>
        <v>0</v>
      </c>
      <c r="W870" s="27"/>
      <c r="X870" s="27"/>
      <c r="Y870" s="27"/>
      <c r="Z870" s="27"/>
      <c r="AA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33">
        <f t="shared" si="1"/>
        <v>0</v>
      </c>
      <c r="W871" s="27"/>
      <c r="X871" s="27"/>
      <c r="Y871" s="27"/>
      <c r="Z871" s="27"/>
      <c r="AA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33">
        <f t="shared" si="1"/>
        <v>0</v>
      </c>
      <c r="W872" s="27"/>
      <c r="X872" s="27"/>
      <c r="Y872" s="27"/>
      <c r="Z872" s="27"/>
      <c r="AA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33">
        <f t="shared" si="1"/>
        <v>0</v>
      </c>
      <c r="W873" s="27"/>
      <c r="X873" s="27"/>
      <c r="Y873" s="27"/>
      <c r="Z873" s="27"/>
      <c r="AA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33">
        <f t="shared" si="1"/>
        <v>0</v>
      </c>
      <c r="W874" s="27"/>
      <c r="X874" s="27"/>
      <c r="Y874" s="27"/>
      <c r="Z874" s="27"/>
      <c r="AA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33">
        <f t="shared" si="1"/>
        <v>0</v>
      </c>
      <c r="W875" s="27"/>
      <c r="X875" s="27"/>
      <c r="Y875" s="27"/>
      <c r="Z875" s="27"/>
      <c r="AA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33">
        <f t="shared" si="1"/>
        <v>0</v>
      </c>
      <c r="W876" s="27"/>
      <c r="X876" s="27"/>
      <c r="Y876" s="27"/>
      <c r="Z876" s="27"/>
      <c r="AA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33">
        <f t="shared" si="1"/>
        <v>0</v>
      </c>
      <c r="W877" s="27"/>
      <c r="X877" s="27"/>
      <c r="Y877" s="27"/>
      <c r="Z877" s="27"/>
      <c r="AA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33">
        <f t="shared" si="1"/>
        <v>0</v>
      </c>
      <c r="W878" s="27"/>
      <c r="X878" s="27"/>
      <c r="Y878" s="27"/>
      <c r="Z878" s="27"/>
      <c r="AA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33">
        <f t="shared" si="1"/>
        <v>0</v>
      </c>
      <c r="W879" s="27"/>
      <c r="X879" s="27"/>
      <c r="Y879" s="27"/>
      <c r="Z879" s="27"/>
      <c r="AA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33">
        <f t="shared" si="1"/>
        <v>0</v>
      </c>
      <c r="W880" s="27"/>
      <c r="X880" s="27"/>
      <c r="Y880" s="27"/>
      <c r="Z880" s="27"/>
      <c r="AA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33">
        <f t="shared" si="1"/>
        <v>0</v>
      </c>
      <c r="W881" s="27"/>
      <c r="X881" s="27"/>
      <c r="Y881" s="27"/>
      <c r="Z881" s="27"/>
      <c r="AA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33">
        <f t="shared" si="1"/>
        <v>0</v>
      </c>
      <c r="W882" s="27"/>
      <c r="X882" s="27"/>
      <c r="Y882" s="27"/>
      <c r="Z882" s="27"/>
      <c r="AA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33">
        <f t="shared" si="1"/>
        <v>0</v>
      </c>
      <c r="W883" s="27"/>
      <c r="X883" s="27"/>
      <c r="Y883" s="27"/>
      <c r="Z883" s="27"/>
      <c r="AA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33">
        <f t="shared" si="1"/>
        <v>0</v>
      </c>
      <c r="W884" s="27"/>
      <c r="X884" s="27"/>
      <c r="Y884" s="27"/>
      <c r="Z884" s="27"/>
      <c r="AA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33">
        <f t="shared" si="1"/>
        <v>0</v>
      </c>
      <c r="W885" s="27"/>
      <c r="X885" s="27"/>
      <c r="Y885" s="27"/>
      <c r="Z885" s="27"/>
      <c r="AA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33">
        <f t="shared" si="1"/>
        <v>0</v>
      </c>
      <c r="W886" s="27"/>
      <c r="X886" s="27"/>
      <c r="Y886" s="27"/>
      <c r="Z886" s="27"/>
      <c r="AA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33">
        <f t="shared" si="1"/>
        <v>0</v>
      </c>
      <c r="W887" s="27"/>
      <c r="X887" s="27"/>
      <c r="Y887" s="27"/>
      <c r="Z887" s="27"/>
      <c r="AA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33">
        <f t="shared" si="1"/>
        <v>0</v>
      </c>
      <c r="W888" s="27"/>
      <c r="X888" s="27"/>
      <c r="Y888" s="27"/>
      <c r="Z888" s="27"/>
      <c r="AA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33">
        <f t="shared" si="1"/>
        <v>0</v>
      </c>
      <c r="W889" s="27"/>
      <c r="X889" s="27"/>
      <c r="Y889" s="27"/>
      <c r="Z889" s="27"/>
      <c r="AA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33">
        <f t="shared" si="1"/>
        <v>0</v>
      </c>
      <c r="W890" s="27"/>
      <c r="X890" s="27"/>
      <c r="Y890" s="27"/>
      <c r="Z890" s="27"/>
      <c r="AA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33">
        <f t="shared" si="1"/>
        <v>0</v>
      </c>
      <c r="W891" s="27"/>
      <c r="X891" s="27"/>
      <c r="Y891" s="27"/>
      <c r="Z891" s="27"/>
      <c r="AA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33">
        <f t="shared" si="1"/>
        <v>0</v>
      </c>
      <c r="W892" s="27"/>
      <c r="X892" s="27"/>
      <c r="Y892" s="27"/>
      <c r="Z892" s="27"/>
      <c r="AA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33">
        <f t="shared" si="1"/>
        <v>0</v>
      </c>
      <c r="W893" s="27"/>
      <c r="X893" s="27"/>
      <c r="Y893" s="27"/>
      <c r="Z893" s="27"/>
      <c r="AA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33">
        <f t="shared" si="1"/>
        <v>0</v>
      </c>
      <c r="W894" s="27"/>
      <c r="X894" s="27"/>
      <c r="Y894" s="27"/>
      <c r="Z894" s="27"/>
      <c r="AA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33">
        <f t="shared" si="1"/>
        <v>0</v>
      </c>
      <c r="W895" s="27"/>
      <c r="X895" s="27"/>
      <c r="Y895" s="27"/>
      <c r="Z895" s="27"/>
      <c r="AA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33">
        <f t="shared" si="1"/>
        <v>0</v>
      </c>
      <c r="W896" s="27"/>
      <c r="X896" s="27"/>
      <c r="Y896" s="27"/>
      <c r="Z896" s="27"/>
      <c r="AA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33">
        <f t="shared" si="1"/>
        <v>0</v>
      </c>
      <c r="W897" s="27"/>
      <c r="X897" s="27"/>
      <c r="Y897" s="27"/>
      <c r="Z897" s="27"/>
      <c r="AA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33">
        <f t="shared" si="1"/>
        <v>0</v>
      </c>
      <c r="W898" s="27"/>
      <c r="X898" s="27"/>
      <c r="Y898" s="27"/>
      <c r="Z898" s="27"/>
      <c r="AA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33">
        <f t="shared" si="1"/>
        <v>0</v>
      </c>
      <c r="W899" s="27"/>
      <c r="X899" s="27"/>
      <c r="Y899" s="27"/>
      <c r="Z899" s="27"/>
      <c r="AA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33">
        <f t="shared" si="1"/>
        <v>0</v>
      </c>
      <c r="W900" s="27"/>
      <c r="X900" s="27"/>
      <c r="Y900" s="27"/>
      <c r="Z900" s="27"/>
      <c r="AA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33">
        <f t="shared" si="1"/>
        <v>0</v>
      </c>
      <c r="W901" s="27"/>
      <c r="X901" s="27"/>
      <c r="Y901" s="27"/>
      <c r="Z901" s="27"/>
      <c r="AA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33">
        <f t="shared" si="1"/>
        <v>0</v>
      </c>
      <c r="W902" s="27"/>
      <c r="X902" s="27"/>
      <c r="Y902" s="27"/>
      <c r="Z902" s="27"/>
      <c r="AA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33">
        <f t="shared" si="1"/>
        <v>0</v>
      </c>
      <c r="W903" s="27"/>
      <c r="X903" s="27"/>
      <c r="Y903" s="27"/>
      <c r="Z903" s="27"/>
      <c r="AA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33">
        <f t="shared" si="1"/>
        <v>0</v>
      </c>
      <c r="W904" s="27"/>
      <c r="X904" s="27"/>
      <c r="Y904" s="27"/>
      <c r="Z904" s="27"/>
      <c r="AA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33">
        <f t="shared" si="1"/>
        <v>0</v>
      </c>
      <c r="W905" s="27"/>
      <c r="X905" s="27"/>
      <c r="Y905" s="27"/>
      <c r="Z905" s="27"/>
      <c r="AA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33">
        <f t="shared" si="1"/>
        <v>0</v>
      </c>
      <c r="W906" s="27"/>
      <c r="X906" s="27"/>
      <c r="Y906" s="27"/>
      <c r="Z906" s="27"/>
      <c r="AA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33">
        <f t="shared" si="1"/>
        <v>0</v>
      </c>
      <c r="W907" s="27"/>
      <c r="X907" s="27"/>
      <c r="Y907" s="27"/>
      <c r="Z907" s="27"/>
      <c r="AA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33">
        <f t="shared" si="1"/>
        <v>0</v>
      </c>
      <c r="W908" s="27"/>
      <c r="X908" s="27"/>
      <c r="Y908" s="27"/>
      <c r="Z908" s="27"/>
      <c r="AA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33">
        <f t="shared" si="1"/>
        <v>0</v>
      </c>
      <c r="W909" s="27"/>
      <c r="X909" s="27"/>
      <c r="Y909" s="27"/>
      <c r="Z909" s="27"/>
      <c r="AA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33">
        <f t="shared" si="1"/>
        <v>0</v>
      </c>
      <c r="W910" s="27"/>
      <c r="X910" s="27"/>
      <c r="Y910" s="27"/>
      <c r="Z910" s="27"/>
      <c r="AA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33">
        <f t="shared" si="1"/>
        <v>0</v>
      </c>
      <c r="W911" s="27"/>
      <c r="X911" s="27"/>
      <c r="Y911" s="27"/>
      <c r="Z911" s="27"/>
      <c r="AA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33">
        <f t="shared" si="1"/>
        <v>0</v>
      </c>
      <c r="W912" s="27"/>
      <c r="X912" s="27"/>
      <c r="Y912" s="27"/>
      <c r="Z912" s="27"/>
      <c r="AA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33">
        <f t="shared" si="1"/>
        <v>0</v>
      </c>
      <c r="W913" s="27"/>
      <c r="X913" s="27"/>
      <c r="Y913" s="27"/>
      <c r="Z913" s="27"/>
      <c r="AA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33">
        <f t="shared" si="1"/>
        <v>0</v>
      </c>
      <c r="W914" s="27"/>
      <c r="X914" s="27"/>
      <c r="Y914" s="27"/>
      <c r="Z914" s="27"/>
      <c r="AA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33">
        <f t="shared" si="1"/>
        <v>0</v>
      </c>
      <c r="W915" s="27"/>
      <c r="X915" s="27"/>
      <c r="Y915" s="27"/>
      <c r="Z915" s="27"/>
      <c r="AA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33">
        <f t="shared" si="1"/>
        <v>0</v>
      </c>
      <c r="W916" s="27"/>
      <c r="X916" s="27"/>
      <c r="Y916" s="27"/>
      <c r="Z916" s="27"/>
      <c r="AA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33">
        <f t="shared" si="1"/>
        <v>0</v>
      </c>
      <c r="W917" s="27"/>
      <c r="X917" s="27"/>
      <c r="Y917" s="27"/>
      <c r="Z917" s="27"/>
      <c r="AA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33">
        <f t="shared" si="1"/>
        <v>0</v>
      </c>
      <c r="W918" s="27"/>
      <c r="X918" s="27"/>
      <c r="Y918" s="27"/>
      <c r="Z918" s="27"/>
      <c r="AA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33">
        <f t="shared" si="1"/>
        <v>0</v>
      </c>
      <c r="W919" s="27"/>
      <c r="X919" s="27"/>
      <c r="Y919" s="27"/>
      <c r="Z919" s="27"/>
      <c r="AA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33">
        <f t="shared" si="1"/>
        <v>0</v>
      </c>
      <c r="W920" s="27"/>
      <c r="X920" s="27"/>
      <c r="Y920" s="27"/>
      <c r="Z920" s="27"/>
      <c r="AA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33">
        <f t="shared" si="1"/>
        <v>0</v>
      </c>
      <c r="W921" s="27"/>
      <c r="X921" s="27"/>
      <c r="Y921" s="27"/>
      <c r="Z921" s="27"/>
      <c r="AA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33">
        <f t="shared" si="1"/>
        <v>0</v>
      </c>
      <c r="W922" s="27"/>
      <c r="X922" s="27"/>
      <c r="Y922" s="27"/>
      <c r="Z922" s="27"/>
      <c r="AA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33">
        <f t="shared" si="1"/>
        <v>0</v>
      </c>
      <c r="W923" s="27"/>
      <c r="X923" s="27"/>
      <c r="Y923" s="27"/>
      <c r="Z923" s="27"/>
      <c r="AA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33">
        <f t="shared" si="1"/>
        <v>0</v>
      </c>
      <c r="W924" s="27"/>
      <c r="X924" s="27"/>
      <c r="Y924" s="27"/>
      <c r="Z924" s="27"/>
      <c r="AA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33">
        <f t="shared" si="1"/>
        <v>0</v>
      </c>
      <c r="W925" s="27"/>
      <c r="X925" s="27"/>
      <c r="Y925" s="27"/>
      <c r="Z925" s="27"/>
      <c r="AA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33">
        <f t="shared" si="1"/>
        <v>0</v>
      </c>
      <c r="W926" s="27"/>
      <c r="X926" s="27"/>
      <c r="Y926" s="27"/>
      <c r="Z926" s="27"/>
      <c r="AA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33">
        <f t="shared" si="1"/>
        <v>0</v>
      </c>
      <c r="W927" s="27"/>
      <c r="X927" s="27"/>
      <c r="Y927" s="27"/>
      <c r="Z927" s="27"/>
      <c r="AA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33">
        <f t="shared" si="1"/>
        <v>0</v>
      </c>
      <c r="W928" s="27"/>
      <c r="X928" s="27"/>
      <c r="Y928" s="27"/>
      <c r="Z928" s="27"/>
      <c r="AA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33">
        <f t="shared" si="1"/>
        <v>0</v>
      </c>
      <c r="W929" s="27"/>
      <c r="X929" s="27"/>
      <c r="Y929" s="27"/>
      <c r="Z929" s="27"/>
      <c r="AA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33">
        <f t="shared" si="1"/>
        <v>0</v>
      </c>
      <c r="W930" s="27"/>
      <c r="X930" s="27"/>
      <c r="Y930" s="27"/>
      <c r="Z930" s="27"/>
      <c r="AA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33">
        <f t="shared" si="1"/>
        <v>0</v>
      </c>
      <c r="W931" s="27"/>
      <c r="X931" s="27"/>
      <c r="Y931" s="27"/>
      <c r="Z931" s="27"/>
      <c r="AA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33">
        <f t="shared" si="1"/>
        <v>0</v>
      </c>
      <c r="W932" s="27"/>
      <c r="X932" s="27"/>
      <c r="Y932" s="27"/>
      <c r="Z932" s="27"/>
      <c r="AA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33">
        <f t="shared" si="1"/>
        <v>0</v>
      </c>
      <c r="W933" s="27"/>
      <c r="X933" s="27"/>
      <c r="Y933" s="27"/>
      <c r="Z933" s="27"/>
      <c r="AA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33">
        <f t="shared" si="1"/>
        <v>0</v>
      </c>
      <c r="W934" s="27"/>
      <c r="X934" s="27"/>
      <c r="Y934" s="27"/>
      <c r="Z934" s="27"/>
      <c r="AA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33">
        <f t="shared" si="1"/>
        <v>0</v>
      </c>
      <c r="W935" s="27"/>
      <c r="X935" s="27"/>
      <c r="Y935" s="27"/>
      <c r="Z935" s="27"/>
      <c r="AA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33">
        <f t="shared" si="1"/>
        <v>0</v>
      </c>
      <c r="W936" s="27"/>
      <c r="X936" s="27"/>
      <c r="Y936" s="27"/>
      <c r="Z936" s="27"/>
      <c r="AA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33">
        <f t="shared" si="1"/>
        <v>0</v>
      </c>
      <c r="W937" s="27"/>
      <c r="X937" s="27"/>
      <c r="Y937" s="27"/>
      <c r="Z937" s="27"/>
      <c r="AA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33">
        <f t="shared" si="1"/>
        <v>0</v>
      </c>
      <c r="W938" s="27"/>
      <c r="X938" s="27"/>
      <c r="Y938" s="27"/>
      <c r="Z938" s="27"/>
      <c r="AA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33">
        <f t="shared" si="1"/>
        <v>0</v>
      </c>
      <c r="W939" s="27"/>
      <c r="X939" s="27"/>
      <c r="Y939" s="27"/>
      <c r="Z939" s="27"/>
      <c r="AA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33">
        <f t="shared" si="1"/>
        <v>0</v>
      </c>
      <c r="W940" s="27"/>
      <c r="X940" s="27"/>
      <c r="Y940" s="27"/>
      <c r="Z940" s="27"/>
      <c r="AA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33">
        <f t="shared" si="1"/>
        <v>0</v>
      </c>
      <c r="W941" s="27"/>
      <c r="X941" s="27"/>
      <c r="Y941" s="27"/>
      <c r="Z941" s="27"/>
      <c r="AA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33">
        <f t="shared" si="1"/>
        <v>0</v>
      </c>
      <c r="W942" s="27"/>
      <c r="X942" s="27"/>
      <c r="Y942" s="27"/>
      <c r="Z942" s="27"/>
      <c r="AA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33">
        <f t="shared" si="1"/>
        <v>0</v>
      </c>
      <c r="W943" s="27"/>
      <c r="X943" s="27"/>
      <c r="Y943" s="27"/>
      <c r="Z943" s="27"/>
      <c r="AA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33">
        <f t="shared" si="1"/>
        <v>0</v>
      </c>
      <c r="W944" s="27"/>
      <c r="X944" s="27"/>
      <c r="Y944" s="27"/>
      <c r="Z944" s="27"/>
      <c r="AA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33">
        <f t="shared" si="1"/>
        <v>0</v>
      </c>
      <c r="W945" s="27"/>
      <c r="X945" s="27"/>
      <c r="Y945" s="27"/>
      <c r="Z945" s="27"/>
      <c r="AA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33">
        <f t="shared" si="1"/>
        <v>0</v>
      </c>
      <c r="W946" s="27"/>
      <c r="X946" s="27"/>
      <c r="Y946" s="27"/>
      <c r="Z946" s="27"/>
      <c r="AA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33">
        <f t="shared" si="1"/>
        <v>0</v>
      </c>
      <c r="W947" s="27"/>
      <c r="X947" s="27"/>
      <c r="Y947" s="27"/>
      <c r="Z947" s="27"/>
      <c r="AA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33">
        <f t="shared" si="1"/>
        <v>0</v>
      </c>
      <c r="W948" s="27"/>
      <c r="X948" s="27"/>
      <c r="Y948" s="27"/>
      <c r="Z948" s="27"/>
      <c r="AA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33">
        <f t="shared" si="1"/>
        <v>0</v>
      </c>
      <c r="W949" s="27"/>
      <c r="X949" s="27"/>
      <c r="Y949" s="27"/>
      <c r="Z949" s="27"/>
      <c r="AA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33">
        <f t="shared" si="1"/>
        <v>0</v>
      </c>
      <c r="W950" s="27"/>
      <c r="X950" s="27"/>
      <c r="Y950" s="27"/>
      <c r="Z950" s="27"/>
      <c r="AA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33">
        <f t="shared" si="1"/>
        <v>0</v>
      </c>
      <c r="W951" s="27"/>
      <c r="X951" s="27"/>
      <c r="Y951" s="27"/>
      <c r="Z951" s="27"/>
      <c r="AA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33">
        <f t="shared" si="1"/>
        <v>0</v>
      </c>
      <c r="W952" s="27"/>
      <c r="X952" s="27"/>
      <c r="Y952" s="27"/>
      <c r="Z952" s="27"/>
      <c r="AA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33">
        <f t="shared" si="1"/>
        <v>0</v>
      </c>
      <c r="W953" s="27"/>
      <c r="X953" s="27"/>
      <c r="Y953" s="27"/>
      <c r="Z953" s="27"/>
      <c r="AA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33">
        <f t="shared" si="1"/>
        <v>0</v>
      </c>
      <c r="W954" s="27"/>
      <c r="X954" s="27"/>
      <c r="Y954" s="27"/>
      <c r="Z954" s="27"/>
      <c r="AA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33">
        <f t="shared" si="1"/>
        <v>0</v>
      </c>
      <c r="W955" s="27"/>
      <c r="X955" s="27"/>
      <c r="Y955" s="27"/>
      <c r="Z955" s="27"/>
      <c r="AA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33">
        <f t="shared" si="1"/>
        <v>0</v>
      </c>
      <c r="W956" s="27"/>
      <c r="X956" s="27"/>
      <c r="Y956" s="27"/>
      <c r="Z956" s="27"/>
      <c r="AA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33">
        <f t="shared" si="1"/>
        <v>0</v>
      </c>
      <c r="W957" s="27"/>
      <c r="X957" s="27"/>
      <c r="Y957" s="27"/>
      <c r="Z957" s="27"/>
      <c r="AA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33">
        <f t="shared" si="1"/>
        <v>0</v>
      </c>
      <c r="W958" s="27"/>
      <c r="X958" s="27"/>
      <c r="Y958" s="27"/>
      <c r="Z958" s="27"/>
      <c r="AA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33">
        <f t="shared" si="1"/>
        <v>0</v>
      </c>
      <c r="W959" s="27"/>
      <c r="X959" s="27"/>
      <c r="Y959" s="27"/>
      <c r="Z959" s="27"/>
      <c r="AA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33">
        <f t="shared" si="1"/>
        <v>0</v>
      </c>
      <c r="W960" s="27"/>
      <c r="X960" s="27"/>
      <c r="Y960" s="27"/>
      <c r="Z960" s="27"/>
      <c r="AA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33">
        <f t="shared" si="1"/>
        <v>0</v>
      </c>
      <c r="W961" s="27"/>
      <c r="X961" s="27"/>
      <c r="Y961" s="27"/>
      <c r="Z961" s="27"/>
      <c r="AA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33">
        <f t="shared" si="1"/>
        <v>0</v>
      </c>
      <c r="W962" s="27"/>
      <c r="X962" s="27"/>
      <c r="Y962" s="27"/>
      <c r="Z962" s="27"/>
      <c r="AA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33">
        <f t="shared" si="1"/>
        <v>0</v>
      </c>
      <c r="W963" s="27"/>
      <c r="X963" s="27"/>
      <c r="Y963" s="27"/>
      <c r="Z963" s="27"/>
      <c r="AA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33">
        <f t="shared" si="1"/>
        <v>0</v>
      </c>
      <c r="W964" s="27"/>
      <c r="X964" s="27"/>
      <c r="Y964" s="27"/>
      <c r="Z964" s="27"/>
      <c r="AA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33">
        <f t="shared" si="1"/>
        <v>0</v>
      </c>
      <c r="W965" s="27"/>
      <c r="X965" s="27"/>
      <c r="Y965" s="27"/>
      <c r="Z965" s="27"/>
      <c r="AA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33">
        <f t="shared" si="1"/>
        <v>0</v>
      </c>
      <c r="W966" s="27"/>
      <c r="X966" s="27"/>
      <c r="Y966" s="27"/>
      <c r="Z966" s="27"/>
      <c r="AA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33">
        <f t="shared" si="1"/>
        <v>0</v>
      </c>
      <c r="W967" s="27"/>
      <c r="X967" s="27"/>
      <c r="Y967" s="27"/>
      <c r="Z967" s="27"/>
      <c r="AA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33">
        <f t="shared" si="1"/>
        <v>0</v>
      </c>
      <c r="W968" s="27"/>
      <c r="X968" s="27"/>
      <c r="Y968" s="27"/>
      <c r="Z968" s="27"/>
      <c r="AA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33">
        <f t="shared" si="1"/>
        <v>0</v>
      </c>
      <c r="W969" s="27"/>
      <c r="X969" s="27"/>
      <c r="Y969" s="27"/>
      <c r="Z969" s="27"/>
      <c r="AA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33">
        <f t="shared" si="1"/>
        <v>0</v>
      </c>
      <c r="W970" s="27"/>
      <c r="X970" s="27"/>
      <c r="Y970" s="27"/>
      <c r="Z970" s="27"/>
      <c r="AA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33">
        <f t="shared" si="1"/>
        <v>0</v>
      </c>
      <c r="W971" s="27"/>
      <c r="X971" s="27"/>
      <c r="Y971" s="27"/>
      <c r="Z971" s="27"/>
      <c r="AA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33">
        <f t="shared" si="1"/>
        <v>0</v>
      </c>
      <c r="W972" s="27"/>
      <c r="X972" s="27"/>
      <c r="Y972" s="27"/>
      <c r="Z972" s="27"/>
      <c r="AA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33">
        <f t="shared" si="1"/>
        <v>0</v>
      </c>
      <c r="W973" s="27"/>
      <c r="X973" s="27"/>
      <c r="Y973" s="27"/>
      <c r="Z973" s="27"/>
      <c r="AA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33">
        <f t="shared" si="1"/>
        <v>0</v>
      </c>
      <c r="W974" s="27"/>
      <c r="X974" s="27"/>
      <c r="Y974" s="27"/>
      <c r="Z974" s="27"/>
      <c r="AA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33">
        <f t="shared" si="1"/>
        <v>0</v>
      </c>
      <c r="W975" s="27"/>
      <c r="X975" s="27"/>
      <c r="Y975" s="27"/>
      <c r="Z975" s="27"/>
      <c r="AA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33">
        <f t="shared" si="1"/>
        <v>0</v>
      </c>
      <c r="W976" s="27"/>
      <c r="X976" s="27"/>
      <c r="Y976" s="27"/>
      <c r="Z976" s="27"/>
      <c r="AA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33">
        <f t="shared" si="1"/>
        <v>0</v>
      </c>
      <c r="W977" s="27"/>
      <c r="X977" s="27"/>
      <c r="Y977" s="27"/>
      <c r="Z977" s="27"/>
      <c r="AA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33">
        <f t="shared" si="1"/>
        <v>0</v>
      </c>
      <c r="W978" s="27"/>
      <c r="X978" s="27"/>
      <c r="Y978" s="27"/>
      <c r="Z978" s="27"/>
      <c r="AA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33">
        <f t="shared" si="1"/>
        <v>0</v>
      </c>
      <c r="W979" s="27"/>
      <c r="X979" s="27"/>
      <c r="Y979" s="27"/>
      <c r="Z979" s="27"/>
      <c r="AA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33">
        <f t="shared" si="1"/>
        <v>0</v>
      </c>
      <c r="W980" s="27"/>
      <c r="X980" s="27"/>
      <c r="Y980" s="27"/>
      <c r="Z980" s="27"/>
      <c r="AA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33">
        <f t="shared" si="1"/>
        <v>0</v>
      </c>
      <c r="W981" s="27"/>
      <c r="X981" s="27"/>
      <c r="Y981" s="27"/>
      <c r="Z981" s="27"/>
      <c r="AA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33">
        <f t="shared" si="1"/>
        <v>0</v>
      </c>
      <c r="W982" s="27"/>
      <c r="X982" s="27"/>
      <c r="Y982" s="27"/>
      <c r="Z982" s="27"/>
      <c r="AA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33">
        <f t="shared" si="1"/>
        <v>0</v>
      </c>
      <c r="W983" s="27"/>
      <c r="X983" s="27"/>
      <c r="Y983" s="27"/>
      <c r="Z983" s="27"/>
      <c r="AA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33">
        <f t="shared" si="1"/>
        <v>0</v>
      </c>
      <c r="W984" s="27"/>
      <c r="X984" s="27"/>
      <c r="Y984" s="27"/>
      <c r="Z984" s="27"/>
      <c r="AA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33">
        <f t="shared" si="1"/>
        <v>0</v>
      </c>
      <c r="W985" s="27"/>
      <c r="X985" s="27"/>
      <c r="Y985" s="27"/>
      <c r="Z985" s="27"/>
      <c r="AA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33">
        <f t="shared" si="1"/>
        <v>0</v>
      </c>
      <c r="W986" s="27"/>
      <c r="X986" s="27"/>
      <c r="Y986" s="27"/>
      <c r="Z986" s="27"/>
      <c r="AA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33">
        <f t="shared" si="1"/>
        <v>0</v>
      </c>
      <c r="W987" s="27"/>
      <c r="X987" s="27"/>
      <c r="Y987" s="27"/>
      <c r="Z987" s="27"/>
      <c r="AA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33">
        <f t="shared" si="1"/>
        <v>0</v>
      </c>
      <c r="W988" s="27"/>
      <c r="X988" s="27"/>
      <c r="Y988" s="27"/>
      <c r="Z988" s="27"/>
      <c r="AA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33">
        <f t="shared" si="1"/>
        <v>0</v>
      </c>
      <c r="W989" s="27"/>
      <c r="X989" s="27"/>
      <c r="Y989" s="27"/>
      <c r="Z989" s="27"/>
      <c r="AA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33">
        <f t="shared" si="1"/>
        <v>0</v>
      </c>
      <c r="W990" s="27"/>
      <c r="X990" s="27"/>
      <c r="Y990" s="27"/>
      <c r="Z990" s="27"/>
      <c r="AA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33">
        <f t="shared" si="1"/>
        <v>0</v>
      </c>
      <c r="W991" s="27"/>
      <c r="X991" s="27"/>
      <c r="Y991" s="27"/>
      <c r="Z991" s="27"/>
      <c r="AA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33">
        <f t="shared" si="1"/>
        <v>0</v>
      </c>
      <c r="W992" s="27"/>
      <c r="X992" s="27"/>
      <c r="Y992" s="27"/>
      <c r="Z992" s="27"/>
      <c r="AA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33">
        <f t="shared" si="1"/>
        <v>0</v>
      </c>
      <c r="W993" s="27"/>
      <c r="X993" s="27"/>
      <c r="Y993" s="27"/>
      <c r="Z993" s="27"/>
      <c r="AA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33">
        <f t="shared" si="1"/>
        <v>0</v>
      </c>
      <c r="W994" s="27"/>
      <c r="X994" s="27"/>
      <c r="Y994" s="27"/>
      <c r="Z994" s="27"/>
      <c r="AA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33">
        <f t="shared" si="1"/>
        <v>0</v>
      </c>
      <c r="W995" s="27"/>
      <c r="X995" s="27"/>
      <c r="Y995" s="27"/>
      <c r="Z995" s="27"/>
      <c r="AA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33">
        <f t="shared" si="1"/>
        <v>0</v>
      </c>
      <c r="W996" s="27"/>
      <c r="X996" s="27"/>
      <c r="Y996" s="27"/>
      <c r="Z996" s="27"/>
      <c r="AA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33">
        <f t="shared" si="1"/>
        <v>0</v>
      </c>
      <c r="W997" s="27"/>
      <c r="X997" s="27"/>
      <c r="Y997" s="27"/>
      <c r="Z997" s="27"/>
      <c r="AA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33">
        <f t="shared" si="1"/>
        <v>0</v>
      </c>
      <c r="W998" s="27"/>
      <c r="X998" s="27"/>
      <c r="Y998" s="27"/>
      <c r="Z998" s="27"/>
      <c r="AA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33">
        <f t="shared" si="1"/>
        <v>0</v>
      </c>
      <c r="W999" s="27"/>
      <c r="X999" s="27"/>
      <c r="Y999" s="27"/>
      <c r="Z999" s="27"/>
      <c r="AA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33">
        <f t="shared" si="1"/>
        <v>0</v>
      </c>
      <c r="W1000" s="27"/>
      <c r="X1000" s="27"/>
      <c r="Y1000" s="27"/>
      <c r="Z1000" s="27"/>
      <c r="AA1000" s="27"/>
    </row>
  </sheetData>
  <dataValidations>
    <dataValidation type="list" allowBlank="1" showErrorMessage="1" sqref="B2:B1000">
      <formula1>'預算欄位參數表'!$B$2:$B$22</formula1>
    </dataValidation>
    <dataValidation type="list" allowBlank="1" showErrorMessage="1" sqref="D2:D1000">
      <formula1>'預算欄位參數表'!$E$2:E1000</formula1>
    </dataValidation>
    <dataValidation type="list" allowBlank="1" showErrorMessage="1" sqref="G2:G1000">
      <formula1>'預算欄位參數表'!$G$2:G1000</formula1>
    </dataValidation>
    <dataValidation type="list" allowBlank="1" showErrorMessage="1" sqref="C2:C1000">
      <formula1>'預算欄位參數表'!$C$2:C1000</formula1>
    </dataValidation>
    <dataValidation type="list" allowBlank="1" showErrorMessage="1" sqref="A2:A1000">
      <formula1>'預算欄位參數表'!$A$2:$A1000</formula1>
    </dataValidation>
    <dataValidation type="list" allowBlank="1" showErrorMessage="1" sqref="F2:F1000">
      <formula1>'預算欄位參數表'!$H$2:$H1000</formula1>
    </dataValidation>
    <dataValidation type="list" allowBlank="1" showErrorMessage="1" sqref="E2:E1000">
      <formula1>'預算欄位參數表'!$F$13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5" max="5" width="16.0"/>
    <col customWidth="1" min="6" max="6" width="45.0"/>
    <col customWidth="1" min="7" max="7" width="13.13"/>
    <col customWidth="1" min="8" max="9" width="15.5"/>
  </cols>
  <sheetData>
    <row r="1">
      <c r="A1" s="27" t="s">
        <v>0</v>
      </c>
      <c r="B1" s="34" t="s">
        <v>1</v>
      </c>
      <c r="C1" s="34" t="s">
        <v>2</v>
      </c>
      <c r="D1" s="27" t="s">
        <v>3</v>
      </c>
      <c r="E1" s="34" t="s">
        <v>4</v>
      </c>
      <c r="F1" s="27" t="s">
        <v>5</v>
      </c>
      <c r="G1" s="27" t="s">
        <v>6</v>
      </c>
      <c r="H1" s="34" t="s">
        <v>7</v>
      </c>
      <c r="I1" s="34" t="s">
        <v>8</v>
      </c>
      <c r="J1" s="29">
        <v>46023.0</v>
      </c>
      <c r="K1" s="29">
        <v>46054.0</v>
      </c>
      <c r="L1" s="29">
        <v>46082.0</v>
      </c>
      <c r="M1" s="29">
        <v>46113.0</v>
      </c>
      <c r="N1" s="29">
        <v>46143.0</v>
      </c>
      <c r="O1" s="29">
        <v>46174.0</v>
      </c>
      <c r="P1" s="29">
        <v>46204.0</v>
      </c>
      <c r="Q1" s="29">
        <v>46235.0</v>
      </c>
      <c r="R1" s="29">
        <v>46266.0</v>
      </c>
      <c r="S1" s="29">
        <v>46296.0</v>
      </c>
      <c r="T1" s="29">
        <v>46327.0</v>
      </c>
      <c r="U1" s="29">
        <v>46357.0</v>
      </c>
      <c r="V1" s="27" t="s">
        <v>21</v>
      </c>
      <c r="W1" s="27"/>
      <c r="X1" s="27"/>
      <c r="Y1" s="27"/>
      <c r="Z1" s="27"/>
    </row>
    <row r="2">
      <c r="A2" s="35" t="s">
        <v>27</v>
      </c>
      <c r="B2" s="35" t="s">
        <v>39</v>
      </c>
      <c r="C2" s="35" t="s">
        <v>39</v>
      </c>
      <c r="D2" s="35" t="s">
        <v>40</v>
      </c>
      <c r="E2" s="35" t="s">
        <v>42</v>
      </c>
      <c r="F2" s="35" t="s">
        <v>43</v>
      </c>
      <c r="G2" s="35" t="s">
        <v>33</v>
      </c>
      <c r="H2" s="35" t="s">
        <v>41</v>
      </c>
      <c r="I2" s="35"/>
      <c r="J2" s="35">
        <v>0.1</v>
      </c>
      <c r="K2" s="35">
        <v>0.3</v>
      </c>
      <c r="L2" s="35">
        <v>0.3</v>
      </c>
      <c r="M2" s="35">
        <v>0.3</v>
      </c>
      <c r="N2" s="35">
        <v>0.3</v>
      </c>
      <c r="O2" s="35">
        <v>0.3</v>
      </c>
      <c r="P2" s="35">
        <v>0.3</v>
      </c>
      <c r="Q2" s="35">
        <v>0.3</v>
      </c>
      <c r="R2" s="35">
        <v>0.3</v>
      </c>
      <c r="S2" s="35">
        <v>0.3</v>
      </c>
      <c r="T2" s="35">
        <v>0.3</v>
      </c>
      <c r="U2" s="35">
        <v>0.3</v>
      </c>
      <c r="V2" s="36">
        <f t="shared" ref="V2:V1000" si="1">SUM(B2:U2)</f>
        <v>3.4</v>
      </c>
      <c r="W2" s="36"/>
      <c r="X2" s="36"/>
      <c r="Y2" s="36"/>
      <c r="Z2" s="36"/>
    </row>
    <row r="3">
      <c r="A3" s="37"/>
      <c r="B3" s="37"/>
      <c r="C3" s="37"/>
      <c r="D3" s="37"/>
      <c r="E3" s="37"/>
      <c r="F3" s="37"/>
      <c r="G3" s="37"/>
      <c r="V3" s="36">
        <f t="shared" si="1"/>
        <v>0</v>
      </c>
    </row>
    <row r="4">
      <c r="A4" s="37"/>
      <c r="B4" s="37"/>
      <c r="C4" s="37"/>
      <c r="D4" s="37"/>
      <c r="E4" s="37"/>
      <c r="F4" s="37"/>
      <c r="G4" s="37"/>
      <c r="V4" s="37">
        <f t="shared" si="1"/>
        <v>0</v>
      </c>
    </row>
    <row r="5">
      <c r="A5" s="37"/>
      <c r="B5" s="37"/>
      <c r="C5" s="37"/>
      <c r="D5" s="37"/>
      <c r="E5" s="37"/>
      <c r="F5" s="37"/>
      <c r="G5" s="37"/>
      <c r="V5" s="37">
        <f t="shared" si="1"/>
        <v>0</v>
      </c>
    </row>
    <row r="6">
      <c r="A6" s="37"/>
      <c r="B6" s="37"/>
      <c r="C6" s="37"/>
      <c r="D6" s="37"/>
      <c r="E6" s="37"/>
      <c r="F6" s="37"/>
      <c r="G6" s="37"/>
      <c r="V6" s="37">
        <f t="shared" si="1"/>
        <v>0</v>
      </c>
    </row>
    <row r="7">
      <c r="A7" s="37"/>
      <c r="B7" s="37"/>
      <c r="C7" s="37"/>
      <c r="D7" s="37"/>
      <c r="E7" s="37"/>
      <c r="F7" s="37"/>
      <c r="G7" s="37"/>
      <c r="V7" s="37">
        <f t="shared" si="1"/>
        <v>0</v>
      </c>
    </row>
    <row r="8">
      <c r="A8" s="37"/>
      <c r="B8" s="37"/>
      <c r="C8" s="37"/>
      <c r="D8" s="37"/>
      <c r="E8" s="37"/>
      <c r="F8" s="37"/>
      <c r="G8" s="37"/>
      <c r="V8" s="37">
        <f t="shared" si="1"/>
        <v>0</v>
      </c>
    </row>
    <row r="9">
      <c r="A9" s="37"/>
      <c r="B9" s="37"/>
      <c r="C9" s="37"/>
      <c r="D9" s="37"/>
      <c r="E9" s="37"/>
      <c r="F9" s="37"/>
      <c r="G9" s="37"/>
      <c r="V9" s="37">
        <f t="shared" si="1"/>
        <v>0</v>
      </c>
    </row>
    <row r="10">
      <c r="A10" s="37"/>
      <c r="B10" s="37"/>
      <c r="C10" s="37"/>
      <c r="D10" s="37"/>
      <c r="E10" s="37"/>
      <c r="F10" s="37"/>
      <c r="G10" s="37"/>
      <c r="V10" s="37">
        <f t="shared" si="1"/>
        <v>0</v>
      </c>
    </row>
    <row r="11">
      <c r="A11" s="37"/>
      <c r="B11" s="37"/>
      <c r="C11" s="37"/>
      <c r="D11" s="37"/>
      <c r="E11" s="37"/>
      <c r="F11" s="37"/>
      <c r="G11" s="37"/>
      <c r="V11" s="37">
        <f t="shared" si="1"/>
        <v>0</v>
      </c>
    </row>
    <row r="12">
      <c r="A12" s="37"/>
      <c r="B12" s="37"/>
      <c r="C12" s="37"/>
      <c r="D12" s="37"/>
      <c r="E12" s="37"/>
      <c r="F12" s="37"/>
      <c r="G12" s="37"/>
      <c r="V12" s="37">
        <f t="shared" si="1"/>
        <v>0</v>
      </c>
    </row>
    <row r="13">
      <c r="A13" s="37"/>
      <c r="B13" s="37"/>
      <c r="C13" s="37"/>
      <c r="D13" s="37"/>
      <c r="E13" s="37"/>
      <c r="F13" s="37"/>
      <c r="G13" s="37"/>
      <c r="V13" s="37">
        <f t="shared" si="1"/>
        <v>0</v>
      </c>
    </row>
    <row r="14">
      <c r="A14" s="37"/>
      <c r="B14" s="37"/>
      <c r="C14" s="37"/>
      <c r="D14" s="37"/>
      <c r="E14" s="37"/>
      <c r="F14" s="37"/>
      <c r="G14" s="37"/>
      <c r="V14" s="37">
        <f t="shared" si="1"/>
        <v>0</v>
      </c>
    </row>
    <row r="15">
      <c r="A15" s="37"/>
      <c r="B15" s="37"/>
      <c r="C15" s="37"/>
      <c r="D15" s="37"/>
      <c r="E15" s="37"/>
      <c r="F15" s="37"/>
      <c r="G15" s="37"/>
      <c r="V15" s="37">
        <f t="shared" si="1"/>
        <v>0</v>
      </c>
    </row>
    <row r="16">
      <c r="A16" s="37"/>
      <c r="B16" s="37"/>
      <c r="C16" s="37"/>
      <c r="D16" s="37"/>
      <c r="E16" s="37"/>
      <c r="F16" s="37"/>
      <c r="G16" s="37"/>
      <c r="V16" s="37">
        <f t="shared" si="1"/>
        <v>0</v>
      </c>
    </row>
    <row r="17">
      <c r="A17" s="37"/>
      <c r="B17" s="37"/>
      <c r="C17" s="37"/>
      <c r="D17" s="37"/>
      <c r="E17" s="37"/>
      <c r="F17" s="37"/>
      <c r="G17" s="37"/>
      <c r="V17" s="37">
        <f t="shared" si="1"/>
        <v>0</v>
      </c>
    </row>
    <row r="18">
      <c r="A18" s="37"/>
      <c r="B18" s="37"/>
      <c r="C18" s="37"/>
      <c r="D18" s="37"/>
      <c r="E18" s="37"/>
      <c r="F18" s="37"/>
      <c r="G18" s="37"/>
      <c r="V18" s="37">
        <f t="shared" si="1"/>
        <v>0</v>
      </c>
    </row>
    <row r="19">
      <c r="A19" s="37"/>
      <c r="B19" s="37"/>
      <c r="C19" s="37"/>
      <c r="D19" s="37"/>
      <c r="E19" s="37"/>
      <c r="F19" s="37"/>
      <c r="G19" s="37"/>
      <c r="V19" s="37">
        <f t="shared" si="1"/>
        <v>0</v>
      </c>
    </row>
    <row r="20">
      <c r="A20" s="37"/>
      <c r="B20" s="37"/>
      <c r="C20" s="37"/>
      <c r="D20" s="37"/>
      <c r="E20" s="37"/>
      <c r="F20" s="37"/>
      <c r="G20" s="37"/>
      <c r="V20" s="37">
        <f t="shared" si="1"/>
        <v>0</v>
      </c>
    </row>
    <row r="21">
      <c r="A21" s="37"/>
      <c r="B21" s="37"/>
      <c r="C21" s="37"/>
      <c r="D21" s="37"/>
      <c r="E21" s="37"/>
      <c r="F21" s="37"/>
      <c r="G21" s="37"/>
      <c r="V21" s="37">
        <f t="shared" si="1"/>
        <v>0</v>
      </c>
    </row>
    <row r="22">
      <c r="A22" s="37"/>
      <c r="B22" s="37"/>
      <c r="C22" s="37"/>
      <c r="D22" s="37"/>
      <c r="E22" s="37"/>
      <c r="F22" s="37"/>
      <c r="G22" s="37"/>
      <c r="V22" s="37">
        <f t="shared" si="1"/>
        <v>0</v>
      </c>
    </row>
    <row r="23">
      <c r="A23" s="37"/>
      <c r="B23" s="37"/>
      <c r="C23" s="37"/>
      <c r="D23" s="37"/>
      <c r="E23" s="37"/>
      <c r="F23" s="37"/>
      <c r="G23" s="37"/>
      <c r="V23" s="37">
        <f t="shared" si="1"/>
        <v>0</v>
      </c>
    </row>
    <row r="24">
      <c r="A24" s="37"/>
      <c r="B24" s="37"/>
      <c r="C24" s="37"/>
      <c r="D24" s="37"/>
      <c r="E24" s="37"/>
      <c r="F24" s="37"/>
      <c r="G24" s="37"/>
      <c r="V24" s="37">
        <f t="shared" si="1"/>
        <v>0</v>
      </c>
    </row>
    <row r="25">
      <c r="A25" s="37"/>
      <c r="B25" s="37"/>
      <c r="C25" s="37"/>
      <c r="D25" s="37"/>
      <c r="E25" s="37"/>
      <c r="F25" s="37"/>
      <c r="G25" s="37"/>
      <c r="V25" s="37">
        <f t="shared" si="1"/>
        <v>0</v>
      </c>
    </row>
    <row r="26">
      <c r="A26" s="37"/>
      <c r="B26" s="37"/>
      <c r="C26" s="37"/>
      <c r="D26" s="37"/>
      <c r="E26" s="37"/>
      <c r="F26" s="37"/>
      <c r="G26" s="37"/>
      <c r="V26" s="37">
        <f t="shared" si="1"/>
        <v>0</v>
      </c>
    </row>
    <row r="27">
      <c r="A27" s="37"/>
      <c r="B27" s="37"/>
      <c r="C27" s="37"/>
      <c r="D27" s="37"/>
      <c r="E27" s="37"/>
      <c r="F27" s="37"/>
      <c r="G27" s="37"/>
      <c r="V27" s="37">
        <f t="shared" si="1"/>
        <v>0</v>
      </c>
    </row>
    <row r="28">
      <c r="A28" s="37"/>
      <c r="B28" s="37"/>
      <c r="C28" s="37"/>
      <c r="D28" s="37"/>
      <c r="E28" s="37"/>
      <c r="F28" s="37"/>
      <c r="G28" s="37"/>
      <c r="V28" s="37">
        <f t="shared" si="1"/>
        <v>0</v>
      </c>
    </row>
    <row r="29">
      <c r="A29" s="37"/>
      <c r="B29" s="37"/>
      <c r="C29" s="37"/>
      <c r="D29" s="37"/>
      <c r="E29" s="37"/>
      <c r="F29" s="37"/>
      <c r="G29" s="37"/>
      <c r="V29" s="37">
        <f t="shared" si="1"/>
        <v>0</v>
      </c>
    </row>
    <row r="30">
      <c r="A30" s="37"/>
      <c r="B30" s="37"/>
      <c r="C30" s="37"/>
      <c r="D30" s="37"/>
      <c r="E30" s="37"/>
      <c r="F30" s="37"/>
      <c r="G30" s="37"/>
      <c r="V30" s="37">
        <f t="shared" si="1"/>
        <v>0</v>
      </c>
    </row>
    <row r="31">
      <c r="A31" s="37"/>
      <c r="B31" s="37"/>
      <c r="C31" s="37"/>
      <c r="D31" s="37"/>
      <c r="E31" s="37"/>
      <c r="F31" s="37"/>
      <c r="G31" s="37"/>
      <c r="V31" s="37">
        <f t="shared" si="1"/>
        <v>0</v>
      </c>
    </row>
    <row r="32">
      <c r="A32" s="37"/>
      <c r="B32" s="37"/>
      <c r="C32" s="37"/>
      <c r="D32" s="37"/>
      <c r="E32" s="37"/>
      <c r="F32" s="37"/>
      <c r="G32" s="37"/>
      <c r="V32" s="37">
        <f t="shared" si="1"/>
        <v>0</v>
      </c>
    </row>
    <row r="33">
      <c r="A33" s="37"/>
      <c r="B33" s="37"/>
      <c r="C33" s="37"/>
      <c r="D33" s="37"/>
      <c r="E33" s="37"/>
      <c r="F33" s="37"/>
      <c r="G33" s="37"/>
      <c r="V33" s="37">
        <f t="shared" si="1"/>
        <v>0</v>
      </c>
    </row>
    <row r="34">
      <c r="A34" s="37"/>
      <c r="B34" s="37"/>
      <c r="C34" s="37"/>
      <c r="D34" s="37"/>
      <c r="E34" s="37"/>
      <c r="F34" s="37"/>
      <c r="G34" s="37"/>
      <c r="V34" s="37">
        <f t="shared" si="1"/>
        <v>0</v>
      </c>
    </row>
    <row r="35">
      <c r="A35" s="37"/>
      <c r="B35" s="37"/>
      <c r="C35" s="37"/>
      <c r="D35" s="37"/>
      <c r="E35" s="37"/>
      <c r="F35" s="37"/>
      <c r="G35" s="37"/>
      <c r="V35" s="37">
        <f t="shared" si="1"/>
        <v>0</v>
      </c>
    </row>
    <row r="36">
      <c r="A36" s="37"/>
      <c r="B36" s="37"/>
      <c r="C36" s="37"/>
      <c r="D36" s="37"/>
      <c r="E36" s="37"/>
      <c r="F36" s="37"/>
      <c r="G36" s="37"/>
      <c r="V36" s="37">
        <f t="shared" si="1"/>
        <v>0</v>
      </c>
    </row>
    <row r="37">
      <c r="A37" s="37"/>
      <c r="B37" s="37"/>
      <c r="C37" s="37"/>
      <c r="D37" s="37"/>
      <c r="E37" s="37"/>
      <c r="F37" s="37"/>
      <c r="G37" s="37"/>
      <c r="V37" s="37">
        <f t="shared" si="1"/>
        <v>0</v>
      </c>
    </row>
    <row r="38">
      <c r="A38" s="37"/>
      <c r="B38" s="37"/>
      <c r="C38" s="37"/>
      <c r="D38" s="37"/>
      <c r="E38" s="37"/>
      <c r="F38" s="37"/>
      <c r="G38" s="37"/>
      <c r="V38" s="37">
        <f t="shared" si="1"/>
        <v>0</v>
      </c>
    </row>
    <row r="39">
      <c r="A39" s="37"/>
      <c r="B39" s="37"/>
      <c r="C39" s="37"/>
      <c r="D39" s="37"/>
      <c r="E39" s="37"/>
      <c r="F39" s="37"/>
      <c r="G39" s="37"/>
      <c r="V39" s="37">
        <f t="shared" si="1"/>
        <v>0</v>
      </c>
    </row>
    <row r="40">
      <c r="A40" s="37"/>
      <c r="B40" s="37"/>
      <c r="C40" s="37"/>
      <c r="D40" s="37"/>
      <c r="E40" s="37"/>
      <c r="F40" s="37"/>
      <c r="G40" s="37"/>
      <c r="V40" s="37">
        <f t="shared" si="1"/>
        <v>0</v>
      </c>
    </row>
    <row r="41">
      <c r="A41" s="37"/>
      <c r="B41" s="37"/>
      <c r="C41" s="37"/>
      <c r="D41" s="37"/>
      <c r="E41" s="37"/>
      <c r="F41" s="37"/>
      <c r="G41" s="37"/>
      <c r="V41" s="37">
        <f t="shared" si="1"/>
        <v>0</v>
      </c>
    </row>
    <row r="42">
      <c r="A42" s="37"/>
      <c r="B42" s="37"/>
      <c r="C42" s="37"/>
      <c r="D42" s="37"/>
      <c r="E42" s="37"/>
      <c r="F42" s="37"/>
      <c r="G42" s="37"/>
      <c r="V42" s="37">
        <f t="shared" si="1"/>
        <v>0</v>
      </c>
    </row>
    <row r="43">
      <c r="A43" s="37"/>
      <c r="B43" s="37"/>
      <c r="C43" s="37"/>
      <c r="D43" s="37"/>
      <c r="E43" s="37"/>
      <c r="F43" s="37"/>
      <c r="G43" s="37"/>
      <c r="V43" s="37">
        <f t="shared" si="1"/>
        <v>0</v>
      </c>
    </row>
    <row r="44">
      <c r="A44" s="37"/>
      <c r="B44" s="37"/>
      <c r="C44" s="37"/>
      <c r="D44" s="37"/>
      <c r="E44" s="37"/>
      <c r="F44" s="37"/>
      <c r="G44" s="37"/>
      <c r="V44" s="37">
        <f t="shared" si="1"/>
        <v>0</v>
      </c>
    </row>
    <row r="45">
      <c r="A45" s="37"/>
      <c r="B45" s="37"/>
      <c r="C45" s="37"/>
      <c r="D45" s="37"/>
      <c r="E45" s="37"/>
      <c r="F45" s="37"/>
      <c r="G45" s="37"/>
      <c r="V45" s="37">
        <f t="shared" si="1"/>
        <v>0</v>
      </c>
    </row>
    <row r="46">
      <c r="A46" s="37"/>
      <c r="B46" s="37"/>
      <c r="C46" s="37"/>
      <c r="D46" s="37"/>
      <c r="E46" s="37"/>
      <c r="F46" s="37"/>
      <c r="G46" s="37"/>
      <c r="V46" s="37">
        <f t="shared" si="1"/>
        <v>0</v>
      </c>
    </row>
    <row r="47">
      <c r="A47" s="37"/>
      <c r="B47" s="37"/>
      <c r="C47" s="37"/>
      <c r="D47" s="37"/>
      <c r="E47" s="37"/>
      <c r="F47" s="37"/>
      <c r="G47" s="37"/>
      <c r="V47" s="37">
        <f t="shared" si="1"/>
        <v>0</v>
      </c>
    </row>
    <row r="48">
      <c r="A48" s="37"/>
      <c r="B48" s="37"/>
      <c r="C48" s="37"/>
      <c r="D48" s="37"/>
      <c r="E48" s="37"/>
      <c r="F48" s="37"/>
      <c r="G48" s="37"/>
      <c r="V48" s="37">
        <f t="shared" si="1"/>
        <v>0</v>
      </c>
    </row>
    <row r="49">
      <c r="A49" s="37"/>
      <c r="B49" s="37"/>
      <c r="C49" s="37"/>
      <c r="D49" s="37"/>
      <c r="E49" s="37"/>
      <c r="F49" s="37"/>
      <c r="G49" s="37"/>
      <c r="V49" s="37">
        <f t="shared" si="1"/>
        <v>0</v>
      </c>
    </row>
    <row r="50">
      <c r="A50" s="37"/>
      <c r="B50" s="37"/>
      <c r="C50" s="37"/>
      <c r="D50" s="37"/>
      <c r="E50" s="37"/>
      <c r="F50" s="37"/>
      <c r="G50" s="37"/>
      <c r="V50" s="37">
        <f t="shared" si="1"/>
        <v>0</v>
      </c>
    </row>
    <row r="51">
      <c r="A51" s="37"/>
      <c r="B51" s="37"/>
      <c r="C51" s="37"/>
      <c r="D51" s="37"/>
      <c r="E51" s="37"/>
      <c r="F51" s="37"/>
      <c r="G51" s="37"/>
      <c r="V51" s="37">
        <f t="shared" si="1"/>
        <v>0</v>
      </c>
    </row>
    <row r="52">
      <c r="A52" s="37"/>
      <c r="B52" s="37"/>
      <c r="C52" s="37"/>
      <c r="D52" s="37"/>
      <c r="E52" s="37"/>
      <c r="F52" s="37"/>
      <c r="G52" s="37"/>
      <c r="V52" s="37">
        <f t="shared" si="1"/>
        <v>0</v>
      </c>
    </row>
    <row r="53">
      <c r="A53" s="37"/>
      <c r="B53" s="37"/>
      <c r="C53" s="37"/>
      <c r="D53" s="37"/>
      <c r="E53" s="37"/>
      <c r="F53" s="37"/>
      <c r="G53" s="37"/>
      <c r="V53" s="37">
        <f t="shared" si="1"/>
        <v>0</v>
      </c>
    </row>
    <row r="54">
      <c r="A54" s="37"/>
      <c r="B54" s="37"/>
      <c r="C54" s="37"/>
      <c r="D54" s="37"/>
      <c r="E54" s="37"/>
      <c r="F54" s="37"/>
      <c r="G54" s="37"/>
      <c r="V54" s="37">
        <f t="shared" si="1"/>
        <v>0</v>
      </c>
    </row>
    <row r="55">
      <c r="A55" s="37"/>
      <c r="B55" s="37"/>
      <c r="C55" s="37"/>
      <c r="D55" s="37"/>
      <c r="E55" s="37"/>
      <c r="F55" s="37"/>
      <c r="G55" s="37"/>
      <c r="V55" s="37">
        <f t="shared" si="1"/>
        <v>0</v>
      </c>
    </row>
    <row r="56">
      <c r="A56" s="37"/>
      <c r="B56" s="37"/>
      <c r="C56" s="37"/>
      <c r="D56" s="37"/>
      <c r="E56" s="37"/>
      <c r="F56" s="37"/>
      <c r="G56" s="37"/>
      <c r="V56" s="37">
        <f t="shared" si="1"/>
        <v>0</v>
      </c>
    </row>
    <row r="57">
      <c r="A57" s="37"/>
      <c r="B57" s="37"/>
      <c r="C57" s="37"/>
      <c r="D57" s="37"/>
      <c r="E57" s="37"/>
      <c r="F57" s="37"/>
      <c r="G57" s="37"/>
      <c r="V57" s="37">
        <f t="shared" si="1"/>
        <v>0</v>
      </c>
    </row>
    <row r="58">
      <c r="A58" s="37"/>
      <c r="B58" s="37"/>
      <c r="C58" s="37"/>
      <c r="D58" s="37"/>
      <c r="E58" s="37"/>
      <c r="F58" s="37"/>
      <c r="G58" s="37"/>
      <c r="V58" s="37">
        <f t="shared" si="1"/>
        <v>0</v>
      </c>
    </row>
    <row r="59">
      <c r="A59" s="37"/>
      <c r="B59" s="37"/>
      <c r="C59" s="37"/>
      <c r="D59" s="37"/>
      <c r="E59" s="37"/>
      <c r="F59" s="37"/>
      <c r="G59" s="37"/>
      <c r="V59" s="37">
        <f t="shared" si="1"/>
        <v>0</v>
      </c>
    </row>
    <row r="60">
      <c r="A60" s="37"/>
      <c r="B60" s="37"/>
      <c r="C60" s="37"/>
      <c r="D60" s="37"/>
      <c r="E60" s="37"/>
      <c r="F60" s="37"/>
      <c r="G60" s="37"/>
      <c r="V60" s="37">
        <f t="shared" si="1"/>
        <v>0</v>
      </c>
    </row>
    <row r="61">
      <c r="A61" s="37"/>
      <c r="B61" s="37"/>
      <c r="C61" s="37"/>
      <c r="D61" s="37"/>
      <c r="E61" s="37"/>
      <c r="F61" s="37"/>
      <c r="G61" s="37"/>
      <c r="V61" s="37">
        <f t="shared" si="1"/>
        <v>0</v>
      </c>
    </row>
    <row r="62">
      <c r="A62" s="37"/>
      <c r="B62" s="37"/>
      <c r="C62" s="37"/>
      <c r="D62" s="37"/>
      <c r="E62" s="37"/>
      <c r="F62" s="37"/>
      <c r="G62" s="37"/>
      <c r="V62" s="37">
        <f t="shared" si="1"/>
        <v>0</v>
      </c>
    </row>
    <row r="63">
      <c r="A63" s="37"/>
      <c r="B63" s="37"/>
      <c r="C63" s="37"/>
      <c r="D63" s="37"/>
      <c r="E63" s="37"/>
      <c r="F63" s="37"/>
      <c r="G63" s="37"/>
      <c r="V63" s="37">
        <f t="shared" si="1"/>
        <v>0</v>
      </c>
    </row>
    <row r="64">
      <c r="A64" s="37"/>
      <c r="B64" s="37"/>
      <c r="C64" s="37"/>
      <c r="D64" s="37"/>
      <c r="E64" s="37"/>
      <c r="F64" s="37"/>
      <c r="G64" s="37"/>
      <c r="V64" s="37">
        <f t="shared" si="1"/>
        <v>0</v>
      </c>
    </row>
    <row r="65">
      <c r="A65" s="37"/>
      <c r="B65" s="37"/>
      <c r="C65" s="37"/>
      <c r="D65" s="37"/>
      <c r="E65" s="37"/>
      <c r="F65" s="37"/>
      <c r="G65" s="37"/>
      <c r="V65" s="37">
        <f t="shared" si="1"/>
        <v>0</v>
      </c>
    </row>
    <row r="66">
      <c r="A66" s="37"/>
      <c r="B66" s="37"/>
      <c r="C66" s="37"/>
      <c r="D66" s="37"/>
      <c r="E66" s="37"/>
      <c r="F66" s="37"/>
      <c r="G66" s="37"/>
      <c r="V66" s="37">
        <f t="shared" si="1"/>
        <v>0</v>
      </c>
    </row>
    <row r="67">
      <c r="A67" s="37"/>
      <c r="B67" s="37"/>
      <c r="C67" s="37"/>
      <c r="D67" s="37"/>
      <c r="E67" s="37"/>
      <c r="F67" s="37"/>
      <c r="G67" s="37"/>
      <c r="V67" s="37">
        <f t="shared" si="1"/>
        <v>0</v>
      </c>
    </row>
    <row r="68">
      <c r="A68" s="37"/>
      <c r="B68" s="37"/>
      <c r="C68" s="37"/>
      <c r="D68" s="37"/>
      <c r="E68" s="37"/>
      <c r="F68" s="37"/>
      <c r="G68" s="37"/>
      <c r="V68" s="37">
        <f t="shared" si="1"/>
        <v>0</v>
      </c>
    </row>
    <row r="69">
      <c r="A69" s="37"/>
      <c r="B69" s="37"/>
      <c r="C69" s="37"/>
      <c r="D69" s="37"/>
      <c r="E69" s="37"/>
      <c r="F69" s="37"/>
      <c r="G69" s="37"/>
      <c r="V69" s="37">
        <f t="shared" si="1"/>
        <v>0</v>
      </c>
    </row>
    <row r="70">
      <c r="A70" s="37"/>
      <c r="B70" s="37"/>
      <c r="C70" s="37"/>
      <c r="D70" s="37"/>
      <c r="E70" s="37"/>
      <c r="F70" s="37"/>
      <c r="G70" s="37"/>
      <c r="V70" s="37">
        <f t="shared" si="1"/>
        <v>0</v>
      </c>
    </row>
    <row r="71">
      <c r="A71" s="37"/>
      <c r="B71" s="37"/>
      <c r="C71" s="37"/>
      <c r="D71" s="37"/>
      <c r="E71" s="37"/>
      <c r="F71" s="37"/>
      <c r="G71" s="37"/>
      <c r="V71" s="37">
        <f t="shared" si="1"/>
        <v>0</v>
      </c>
    </row>
    <row r="72">
      <c r="A72" s="37"/>
      <c r="B72" s="37"/>
      <c r="C72" s="37"/>
      <c r="D72" s="37"/>
      <c r="E72" s="37"/>
      <c r="F72" s="37"/>
      <c r="G72" s="37"/>
      <c r="V72" s="37">
        <f t="shared" si="1"/>
        <v>0</v>
      </c>
    </row>
    <row r="73">
      <c r="A73" s="37"/>
      <c r="B73" s="37"/>
      <c r="C73" s="37"/>
      <c r="D73" s="37"/>
      <c r="E73" s="37"/>
      <c r="F73" s="37"/>
      <c r="G73" s="37"/>
      <c r="V73" s="37">
        <f t="shared" si="1"/>
        <v>0</v>
      </c>
    </row>
    <row r="74">
      <c r="A74" s="37"/>
      <c r="B74" s="37"/>
      <c r="C74" s="37"/>
      <c r="D74" s="37"/>
      <c r="E74" s="37"/>
      <c r="F74" s="37"/>
      <c r="G74" s="37"/>
      <c r="V74" s="37">
        <f t="shared" si="1"/>
        <v>0</v>
      </c>
    </row>
    <row r="75">
      <c r="A75" s="37"/>
      <c r="B75" s="37"/>
      <c r="C75" s="37"/>
      <c r="D75" s="37"/>
      <c r="E75" s="37"/>
      <c r="F75" s="37"/>
      <c r="G75" s="37"/>
      <c r="V75" s="37">
        <f t="shared" si="1"/>
        <v>0</v>
      </c>
    </row>
    <row r="76">
      <c r="A76" s="37"/>
      <c r="B76" s="37"/>
      <c r="C76" s="37"/>
      <c r="D76" s="37"/>
      <c r="E76" s="37"/>
      <c r="F76" s="37"/>
      <c r="G76" s="37"/>
      <c r="V76" s="37">
        <f t="shared" si="1"/>
        <v>0</v>
      </c>
    </row>
    <row r="77">
      <c r="A77" s="37"/>
      <c r="B77" s="37"/>
      <c r="C77" s="37"/>
      <c r="D77" s="37"/>
      <c r="E77" s="37"/>
      <c r="F77" s="37"/>
      <c r="G77" s="37"/>
      <c r="V77" s="37">
        <f t="shared" si="1"/>
        <v>0</v>
      </c>
    </row>
    <row r="78">
      <c r="A78" s="37"/>
      <c r="B78" s="37"/>
      <c r="C78" s="37"/>
      <c r="D78" s="37"/>
      <c r="E78" s="37"/>
      <c r="F78" s="37"/>
      <c r="G78" s="37"/>
      <c r="V78" s="37">
        <f t="shared" si="1"/>
        <v>0</v>
      </c>
    </row>
    <row r="79">
      <c r="A79" s="37"/>
      <c r="B79" s="37"/>
      <c r="C79" s="37"/>
      <c r="D79" s="37"/>
      <c r="E79" s="37"/>
      <c r="F79" s="37"/>
      <c r="G79" s="37"/>
      <c r="V79" s="37">
        <f t="shared" si="1"/>
        <v>0</v>
      </c>
    </row>
    <row r="80">
      <c r="A80" s="37"/>
      <c r="B80" s="37"/>
      <c r="C80" s="37"/>
      <c r="D80" s="37"/>
      <c r="E80" s="37"/>
      <c r="F80" s="37"/>
      <c r="G80" s="37"/>
      <c r="V80" s="37">
        <f t="shared" si="1"/>
        <v>0</v>
      </c>
    </row>
    <row r="81">
      <c r="A81" s="37"/>
      <c r="B81" s="37"/>
      <c r="C81" s="37"/>
      <c r="D81" s="37"/>
      <c r="E81" s="37"/>
      <c r="F81" s="37"/>
      <c r="G81" s="37"/>
      <c r="V81" s="37">
        <f t="shared" si="1"/>
        <v>0</v>
      </c>
    </row>
    <row r="82">
      <c r="A82" s="37"/>
      <c r="B82" s="37"/>
      <c r="C82" s="37"/>
      <c r="D82" s="37"/>
      <c r="E82" s="37"/>
      <c r="F82" s="37"/>
      <c r="G82" s="37"/>
      <c r="V82" s="37">
        <f t="shared" si="1"/>
        <v>0</v>
      </c>
    </row>
    <row r="83">
      <c r="A83" s="37"/>
      <c r="B83" s="37"/>
      <c r="C83" s="37"/>
      <c r="D83" s="37"/>
      <c r="E83" s="37"/>
      <c r="F83" s="37"/>
      <c r="G83" s="37"/>
      <c r="V83" s="37">
        <f t="shared" si="1"/>
        <v>0</v>
      </c>
    </row>
    <row r="84">
      <c r="A84" s="37"/>
      <c r="B84" s="37"/>
      <c r="C84" s="37"/>
      <c r="D84" s="37"/>
      <c r="E84" s="37"/>
      <c r="F84" s="37"/>
      <c r="G84" s="37"/>
      <c r="V84" s="37">
        <f t="shared" si="1"/>
        <v>0</v>
      </c>
    </row>
    <row r="85">
      <c r="A85" s="37"/>
      <c r="B85" s="37"/>
      <c r="C85" s="37"/>
      <c r="D85" s="37"/>
      <c r="E85" s="37"/>
      <c r="F85" s="37"/>
      <c r="G85" s="37"/>
      <c r="V85" s="37">
        <f t="shared" si="1"/>
        <v>0</v>
      </c>
    </row>
    <row r="86">
      <c r="A86" s="37"/>
      <c r="B86" s="37"/>
      <c r="C86" s="37"/>
      <c r="D86" s="37"/>
      <c r="E86" s="37"/>
      <c r="F86" s="37"/>
      <c r="G86" s="37"/>
      <c r="V86" s="37">
        <f t="shared" si="1"/>
        <v>0</v>
      </c>
    </row>
    <row r="87">
      <c r="A87" s="37"/>
      <c r="B87" s="37"/>
      <c r="C87" s="37"/>
      <c r="D87" s="37"/>
      <c r="E87" s="37"/>
      <c r="F87" s="37"/>
      <c r="G87" s="37"/>
      <c r="V87" s="37">
        <f t="shared" si="1"/>
        <v>0</v>
      </c>
    </row>
    <row r="88">
      <c r="A88" s="37"/>
      <c r="B88" s="37"/>
      <c r="C88" s="37"/>
      <c r="D88" s="37"/>
      <c r="E88" s="37"/>
      <c r="F88" s="37"/>
      <c r="G88" s="37"/>
      <c r="V88" s="37">
        <f t="shared" si="1"/>
        <v>0</v>
      </c>
    </row>
    <row r="89">
      <c r="A89" s="37"/>
      <c r="B89" s="37"/>
      <c r="C89" s="37"/>
      <c r="D89" s="37"/>
      <c r="E89" s="37"/>
      <c r="F89" s="37"/>
      <c r="G89" s="37"/>
      <c r="V89" s="37">
        <f t="shared" si="1"/>
        <v>0</v>
      </c>
    </row>
    <row r="90">
      <c r="A90" s="37"/>
      <c r="B90" s="37"/>
      <c r="C90" s="37"/>
      <c r="D90" s="37"/>
      <c r="E90" s="37"/>
      <c r="F90" s="37"/>
      <c r="G90" s="37"/>
      <c r="V90" s="37">
        <f t="shared" si="1"/>
        <v>0</v>
      </c>
    </row>
    <row r="91">
      <c r="A91" s="37"/>
      <c r="B91" s="37"/>
      <c r="C91" s="37"/>
      <c r="D91" s="37"/>
      <c r="E91" s="37"/>
      <c r="F91" s="37"/>
      <c r="G91" s="37"/>
      <c r="V91" s="37">
        <f t="shared" si="1"/>
        <v>0</v>
      </c>
    </row>
    <row r="92">
      <c r="A92" s="37"/>
      <c r="B92" s="37"/>
      <c r="C92" s="37"/>
      <c r="D92" s="37"/>
      <c r="E92" s="37"/>
      <c r="F92" s="37"/>
      <c r="G92" s="37"/>
      <c r="V92" s="37">
        <f t="shared" si="1"/>
        <v>0</v>
      </c>
    </row>
    <row r="93">
      <c r="A93" s="37"/>
      <c r="B93" s="37"/>
      <c r="C93" s="37"/>
      <c r="D93" s="37"/>
      <c r="E93" s="37"/>
      <c r="F93" s="37"/>
      <c r="G93" s="37"/>
      <c r="V93" s="37">
        <f t="shared" si="1"/>
        <v>0</v>
      </c>
    </row>
    <row r="94">
      <c r="A94" s="37"/>
      <c r="B94" s="37"/>
      <c r="C94" s="37"/>
      <c r="D94" s="37"/>
      <c r="E94" s="37"/>
      <c r="F94" s="37"/>
      <c r="G94" s="37"/>
      <c r="V94" s="37">
        <f t="shared" si="1"/>
        <v>0</v>
      </c>
    </row>
    <row r="95">
      <c r="A95" s="37"/>
      <c r="B95" s="37"/>
      <c r="C95" s="37"/>
      <c r="D95" s="37"/>
      <c r="E95" s="37"/>
      <c r="F95" s="37"/>
      <c r="G95" s="37"/>
      <c r="V95" s="37">
        <f t="shared" si="1"/>
        <v>0</v>
      </c>
    </row>
    <row r="96">
      <c r="A96" s="37"/>
      <c r="B96" s="37"/>
      <c r="C96" s="37"/>
      <c r="D96" s="37"/>
      <c r="E96" s="37"/>
      <c r="F96" s="37"/>
      <c r="G96" s="37"/>
      <c r="V96" s="37">
        <f t="shared" si="1"/>
        <v>0</v>
      </c>
    </row>
    <row r="97">
      <c r="A97" s="37"/>
      <c r="B97" s="37"/>
      <c r="C97" s="37"/>
      <c r="D97" s="37"/>
      <c r="E97" s="37"/>
      <c r="F97" s="37"/>
      <c r="G97" s="37"/>
      <c r="V97" s="37">
        <f t="shared" si="1"/>
        <v>0</v>
      </c>
    </row>
    <row r="98">
      <c r="A98" s="37"/>
      <c r="B98" s="37"/>
      <c r="C98" s="37"/>
      <c r="D98" s="37"/>
      <c r="E98" s="37"/>
      <c r="F98" s="37"/>
      <c r="G98" s="37"/>
      <c r="V98" s="37">
        <f t="shared" si="1"/>
        <v>0</v>
      </c>
    </row>
    <row r="99">
      <c r="A99" s="37"/>
      <c r="B99" s="37"/>
      <c r="C99" s="37"/>
      <c r="D99" s="37"/>
      <c r="E99" s="37"/>
      <c r="F99" s="37"/>
      <c r="G99" s="37"/>
      <c r="V99" s="37">
        <f t="shared" si="1"/>
        <v>0</v>
      </c>
    </row>
    <row r="100">
      <c r="A100" s="37"/>
      <c r="B100" s="37"/>
      <c r="C100" s="37"/>
      <c r="D100" s="37"/>
      <c r="E100" s="37"/>
      <c r="F100" s="37"/>
      <c r="G100" s="37"/>
      <c r="V100" s="37">
        <f t="shared" si="1"/>
        <v>0</v>
      </c>
    </row>
    <row r="101">
      <c r="A101" s="37"/>
      <c r="B101" s="37"/>
      <c r="C101" s="37"/>
      <c r="D101" s="37"/>
      <c r="E101" s="37"/>
      <c r="F101" s="37"/>
      <c r="G101" s="37"/>
      <c r="V101" s="37">
        <f t="shared" si="1"/>
        <v>0</v>
      </c>
    </row>
    <row r="102">
      <c r="A102" s="37"/>
      <c r="B102" s="37"/>
      <c r="C102" s="37"/>
      <c r="D102" s="37"/>
      <c r="E102" s="37"/>
      <c r="F102" s="37"/>
      <c r="G102" s="37"/>
      <c r="V102" s="37">
        <f t="shared" si="1"/>
        <v>0</v>
      </c>
    </row>
    <row r="103">
      <c r="A103" s="37"/>
      <c r="B103" s="37"/>
      <c r="C103" s="37"/>
      <c r="D103" s="37"/>
      <c r="E103" s="37"/>
      <c r="F103" s="37"/>
      <c r="G103" s="37"/>
      <c r="V103" s="37">
        <f t="shared" si="1"/>
        <v>0</v>
      </c>
    </row>
    <row r="104">
      <c r="A104" s="37"/>
      <c r="B104" s="37"/>
      <c r="C104" s="37"/>
      <c r="D104" s="37"/>
      <c r="E104" s="37"/>
      <c r="F104" s="37"/>
      <c r="G104" s="37"/>
      <c r="V104" s="37">
        <f t="shared" si="1"/>
        <v>0</v>
      </c>
    </row>
    <row r="105">
      <c r="A105" s="37"/>
      <c r="B105" s="37"/>
      <c r="C105" s="37"/>
      <c r="D105" s="37"/>
      <c r="E105" s="37"/>
      <c r="F105" s="37"/>
      <c r="G105" s="37"/>
      <c r="V105" s="37">
        <f t="shared" si="1"/>
        <v>0</v>
      </c>
    </row>
    <row r="106">
      <c r="A106" s="37"/>
      <c r="B106" s="37"/>
      <c r="C106" s="37"/>
      <c r="D106" s="37"/>
      <c r="E106" s="37"/>
      <c r="F106" s="37"/>
      <c r="G106" s="37"/>
      <c r="V106" s="37">
        <f t="shared" si="1"/>
        <v>0</v>
      </c>
    </row>
    <row r="107">
      <c r="A107" s="37"/>
      <c r="B107" s="37"/>
      <c r="C107" s="37"/>
      <c r="D107" s="37"/>
      <c r="E107" s="37"/>
      <c r="F107" s="37"/>
      <c r="G107" s="37"/>
      <c r="V107" s="37">
        <f t="shared" si="1"/>
        <v>0</v>
      </c>
    </row>
    <row r="108">
      <c r="A108" s="37"/>
      <c r="B108" s="37"/>
      <c r="C108" s="37"/>
      <c r="D108" s="37"/>
      <c r="E108" s="37"/>
      <c r="F108" s="37"/>
      <c r="G108" s="37"/>
      <c r="V108" s="37">
        <f t="shared" si="1"/>
        <v>0</v>
      </c>
    </row>
    <row r="109">
      <c r="A109" s="37"/>
      <c r="B109" s="37"/>
      <c r="C109" s="37"/>
      <c r="D109" s="37"/>
      <c r="E109" s="37"/>
      <c r="F109" s="37"/>
      <c r="G109" s="37"/>
      <c r="V109" s="37">
        <f t="shared" si="1"/>
        <v>0</v>
      </c>
    </row>
    <row r="110">
      <c r="A110" s="37"/>
      <c r="B110" s="37"/>
      <c r="C110" s="37"/>
      <c r="D110" s="37"/>
      <c r="E110" s="37"/>
      <c r="F110" s="37"/>
      <c r="G110" s="37"/>
      <c r="V110" s="37">
        <f t="shared" si="1"/>
        <v>0</v>
      </c>
    </row>
    <row r="111">
      <c r="A111" s="37"/>
      <c r="B111" s="37"/>
      <c r="C111" s="37"/>
      <c r="D111" s="37"/>
      <c r="E111" s="37"/>
      <c r="F111" s="37"/>
      <c r="G111" s="37"/>
      <c r="V111" s="37">
        <f t="shared" si="1"/>
        <v>0</v>
      </c>
    </row>
    <row r="112">
      <c r="A112" s="37"/>
      <c r="B112" s="37"/>
      <c r="C112" s="37"/>
      <c r="D112" s="37"/>
      <c r="E112" s="37"/>
      <c r="F112" s="37"/>
      <c r="G112" s="37"/>
      <c r="V112" s="37">
        <f t="shared" si="1"/>
        <v>0</v>
      </c>
    </row>
    <row r="113">
      <c r="A113" s="37"/>
      <c r="B113" s="37"/>
      <c r="C113" s="37"/>
      <c r="D113" s="37"/>
      <c r="E113" s="37"/>
      <c r="F113" s="37"/>
      <c r="G113" s="37"/>
      <c r="V113" s="37">
        <f t="shared" si="1"/>
        <v>0</v>
      </c>
    </row>
    <row r="114">
      <c r="A114" s="37"/>
      <c r="B114" s="37"/>
      <c r="C114" s="37"/>
      <c r="D114" s="37"/>
      <c r="E114" s="37"/>
      <c r="F114" s="37"/>
      <c r="G114" s="37"/>
      <c r="V114" s="37">
        <f t="shared" si="1"/>
        <v>0</v>
      </c>
    </row>
    <row r="115">
      <c r="A115" s="37"/>
      <c r="B115" s="37"/>
      <c r="C115" s="37"/>
      <c r="D115" s="37"/>
      <c r="E115" s="37"/>
      <c r="F115" s="37"/>
      <c r="G115" s="37"/>
      <c r="V115" s="37">
        <f t="shared" si="1"/>
        <v>0</v>
      </c>
    </row>
    <row r="116">
      <c r="A116" s="37"/>
      <c r="B116" s="37"/>
      <c r="C116" s="37"/>
      <c r="D116" s="37"/>
      <c r="E116" s="37"/>
      <c r="F116" s="37"/>
      <c r="G116" s="37"/>
      <c r="V116" s="37">
        <f t="shared" si="1"/>
        <v>0</v>
      </c>
    </row>
    <row r="117">
      <c r="A117" s="37"/>
      <c r="B117" s="37"/>
      <c r="C117" s="37"/>
      <c r="D117" s="37"/>
      <c r="E117" s="37"/>
      <c r="F117" s="37"/>
      <c r="G117" s="37"/>
      <c r="V117" s="37">
        <f t="shared" si="1"/>
        <v>0</v>
      </c>
    </row>
    <row r="118">
      <c r="A118" s="37"/>
      <c r="B118" s="37"/>
      <c r="C118" s="37"/>
      <c r="D118" s="37"/>
      <c r="E118" s="37"/>
      <c r="F118" s="37"/>
      <c r="G118" s="37"/>
      <c r="V118" s="37">
        <f t="shared" si="1"/>
        <v>0</v>
      </c>
    </row>
    <row r="119">
      <c r="A119" s="37"/>
      <c r="B119" s="37"/>
      <c r="C119" s="37"/>
      <c r="D119" s="37"/>
      <c r="E119" s="37"/>
      <c r="F119" s="37"/>
      <c r="G119" s="37"/>
      <c r="V119" s="37">
        <f t="shared" si="1"/>
        <v>0</v>
      </c>
    </row>
    <row r="120">
      <c r="A120" s="37"/>
      <c r="B120" s="37"/>
      <c r="C120" s="37"/>
      <c r="D120" s="37"/>
      <c r="E120" s="37"/>
      <c r="F120" s="37"/>
      <c r="G120" s="37"/>
      <c r="V120" s="37">
        <f t="shared" si="1"/>
        <v>0</v>
      </c>
    </row>
    <row r="121">
      <c r="A121" s="37"/>
      <c r="B121" s="37"/>
      <c r="C121" s="37"/>
      <c r="D121" s="37"/>
      <c r="E121" s="37"/>
      <c r="F121" s="37"/>
      <c r="G121" s="37"/>
      <c r="V121" s="37">
        <f t="shared" si="1"/>
        <v>0</v>
      </c>
    </row>
    <row r="122">
      <c r="A122" s="37"/>
      <c r="B122" s="37"/>
      <c r="C122" s="37"/>
      <c r="D122" s="37"/>
      <c r="E122" s="37"/>
      <c r="F122" s="37"/>
      <c r="G122" s="37"/>
      <c r="V122" s="37">
        <f t="shared" si="1"/>
        <v>0</v>
      </c>
    </row>
    <row r="123">
      <c r="A123" s="37"/>
      <c r="B123" s="37"/>
      <c r="C123" s="37"/>
      <c r="D123" s="37"/>
      <c r="E123" s="37"/>
      <c r="F123" s="37"/>
      <c r="G123" s="37"/>
      <c r="V123" s="37">
        <f t="shared" si="1"/>
        <v>0</v>
      </c>
    </row>
    <row r="124">
      <c r="A124" s="37"/>
      <c r="B124" s="37"/>
      <c r="C124" s="37"/>
      <c r="D124" s="37"/>
      <c r="E124" s="37"/>
      <c r="F124" s="37"/>
      <c r="G124" s="37"/>
      <c r="V124" s="37">
        <f t="shared" si="1"/>
        <v>0</v>
      </c>
    </row>
    <row r="125">
      <c r="A125" s="37"/>
      <c r="B125" s="37"/>
      <c r="C125" s="37"/>
      <c r="D125" s="37"/>
      <c r="E125" s="37"/>
      <c r="F125" s="37"/>
      <c r="G125" s="37"/>
      <c r="V125" s="37">
        <f t="shared" si="1"/>
        <v>0</v>
      </c>
    </row>
    <row r="126">
      <c r="A126" s="37"/>
      <c r="B126" s="37"/>
      <c r="C126" s="37"/>
      <c r="D126" s="37"/>
      <c r="E126" s="37"/>
      <c r="F126" s="37"/>
      <c r="G126" s="37"/>
      <c r="V126" s="37">
        <f t="shared" si="1"/>
        <v>0</v>
      </c>
    </row>
    <row r="127">
      <c r="A127" s="37"/>
      <c r="B127" s="37"/>
      <c r="C127" s="37"/>
      <c r="D127" s="37"/>
      <c r="E127" s="37"/>
      <c r="F127" s="37"/>
      <c r="G127" s="37"/>
      <c r="V127" s="37">
        <f t="shared" si="1"/>
        <v>0</v>
      </c>
    </row>
    <row r="128">
      <c r="A128" s="37"/>
      <c r="B128" s="37"/>
      <c r="C128" s="37"/>
      <c r="D128" s="37"/>
      <c r="E128" s="37"/>
      <c r="F128" s="37"/>
      <c r="G128" s="37"/>
      <c r="V128" s="37">
        <f t="shared" si="1"/>
        <v>0</v>
      </c>
    </row>
    <row r="129">
      <c r="A129" s="37"/>
      <c r="B129" s="37"/>
      <c r="C129" s="37"/>
      <c r="D129" s="37"/>
      <c r="E129" s="37"/>
      <c r="F129" s="37"/>
      <c r="G129" s="37"/>
      <c r="V129" s="37">
        <f t="shared" si="1"/>
        <v>0</v>
      </c>
    </row>
    <row r="130">
      <c r="A130" s="37"/>
      <c r="B130" s="37"/>
      <c r="C130" s="37"/>
      <c r="D130" s="37"/>
      <c r="E130" s="37"/>
      <c r="F130" s="37"/>
      <c r="G130" s="37"/>
      <c r="V130" s="37">
        <f t="shared" si="1"/>
        <v>0</v>
      </c>
    </row>
    <row r="131">
      <c r="A131" s="37"/>
      <c r="B131" s="37"/>
      <c r="C131" s="37"/>
      <c r="D131" s="37"/>
      <c r="E131" s="37"/>
      <c r="F131" s="37"/>
      <c r="G131" s="37"/>
      <c r="V131" s="37">
        <f t="shared" si="1"/>
        <v>0</v>
      </c>
    </row>
    <row r="132">
      <c r="A132" s="37"/>
      <c r="B132" s="37"/>
      <c r="C132" s="37"/>
      <c r="D132" s="37"/>
      <c r="E132" s="37"/>
      <c r="F132" s="37"/>
      <c r="G132" s="37"/>
      <c r="V132" s="37">
        <f t="shared" si="1"/>
        <v>0</v>
      </c>
    </row>
    <row r="133">
      <c r="A133" s="37"/>
      <c r="B133" s="37"/>
      <c r="C133" s="37"/>
      <c r="D133" s="37"/>
      <c r="E133" s="37"/>
      <c r="F133" s="37"/>
      <c r="G133" s="37"/>
      <c r="V133" s="37">
        <f t="shared" si="1"/>
        <v>0</v>
      </c>
    </row>
    <row r="134">
      <c r="A134" s="37"/>
      <c r="B134" s="37"/>
      <c r="C134" s="37"/>
      <c r="D134" s="37"/>
      <c r="E134" s="37"/>
      <c r="F134" s="37"/>
      <c r="G134" s="37"/>
      <c r="V134" s="37">
        <f t="shared" si="1"/>
        <v>0</v>
      </c>
    </row>
    <row r="135">
      <c r="A135" s="37"/>
      <c r="B135" s="37"/>
      <c r="C135" s="37"/>
      <c r="D135" s="37"/>
      <c r="E135" s="37"/>
      <c r="F135" s="37"/>
      <c r="G135" s="37"/>
      <c r="V135" s="37">
        <f t="shared" si="1"/>
        <v>0</v>
      </c>
    </row>
    <row r="136">
      <c r="A136" s="37"/>
      <c r="B136" s="37"/>
      <c r="C136" s="37"/>
      <c r="D136" s="37"/>
      <c r="E136" s="37"/>
      <c r="F136" s="37"/>
      <c r="G136" s="37"/>
      <c r="V136" s="37">
        <f t="shared" si="1"/>
        <v>0</v>
      </c>
    </row>
    <row r="137">
      <c r="A137" s="37"/>
      <c r="B137" s="37"/>
      <c r="C137" s="37"/>
      <c r="D137" s="37"/>
      <c r="E137" s="37"/>
      <c r="F137" s="37"/>
      <c r="G137" s="37"/>
      <c r="V137" s="37">
        <f t="shared" si="1"/>
        <v>0</v>
      </c>
    </row>
    <row r="138">
      <c r="A138" s="37"/>
      <c r="B138" s="37"/>
      <c r="C138" s="37"/>
      <c r="D138" s="37"/>
      <c r="E138" s="37"/>
      <c r="F138" s="37"/>
      <c r="G138" s="37"/>
      <c r="V138" s="37">
        <f t="shared" si="1"/>
        <v>0</v>
      </c>
    </row>
    <row r="139">
      <c r="A139" s="37"/>
      <c r="B139" s="37"/>
      <c r="C139" s="37"/>
      <c r="D139" s="37"/>
      <c r="E139" s="37"/>
      <c r="F139" s="37"/>
      <c r="G139" s="37"/>
      <c r="V139" s="37">
        <f t="shared" si="1"/>
        <v>0</v>
      </c>
    </row>
    <row r="140">
      <c r="A140" s="37"/>
      <c r="B140" s="37"/>
      <c r="C140" s="37"/>
      <c r="D140" s="37"/>
      <c r="E140" s="37"/>
      <c r="F140" s="37"/>
      <c r="G140" s="37"/>
      <c r="V140" s="37">
        <f t="shared" si="1"/>
        <v>0</v>
      </c>
    </row>
    <row r="141">
      <c r="A141" s="37"/>
      <c r="B141" s="37"/>
      <c r="C141" s="37"/>
      <c r="D141" s="37"/>
      <c r="E141" s="37"/>
      <c r="F141" s="37"/>
      <c r="G141" s="37"/>
      <c r="V141" s="37">
        <f t="shared" si="1"/>
        <v>0</v>
      </c>
    </row>
    <row r="142">
      <c r="A142" s="37"/>
      <c r="B142" s="37"/>
      <c r="C142" s="37"/>
      <c r="D142" s="37"/>
      <c r="E142" s="37"/>
      <c r="F142" s="37"/>
      <c r="G142" s="37"/>
      <c r="V142" s="37">
        <f t="shared" si="1"/>
        <v>0</v>
      </c>
    </row>
    <row r="143">
      <c r="A143" s="37"/>
      <c r="B143" s="37"/>
      <c r="C143" s="37"/>
      <c r="D143" s="37"/>
      <c r="E143" s="37"/>
      <c r="F143" s="37"/>
      <c r="G143" s="37"/>
      <c r="V143" s="37">
        <f t="shared" si="1"/>
        <v>0</v>
      </c>
    </row>
    <row r="144">
      <c r="A144" s="37"/>
      <c r="B144" s="37"/>
      <c r="C144" s="37"/>
      <c r="D144" s="37"/>
      <c r="E144" s="37"/>
      <c r="F144" s="37"/>
      <c r="G144" s="37"/>
      <c r="V144" s="37">
        <f t="shared" si="1"/>
        <v>0</v>
      </c>
    </row>
    <row r="145">
      <c r="A145" s="37"/>
      <c r="B145" s="37"/>
      <c r="C145" s="37"/>
      <c r="D145" s="37"/>
      <c r="E145" s="37"/>
      <c r="F145" s="37"/>
      <c r="G145" s="37"/>
      <c r="V145" s="37">
        <f t="shared" si="1"/>
        <v>0</v>
      </c>
    </row>
    <row r="146">
      <c r="A146" s="37"/>
      <c r="B146" s="37"/>
      <c r="C146" s="37"/>
      <c r="D146" s="37"/>
      <c r="E146" s="37"/>
      <c r="F146" s="37"/>
      <c r="G146" s="37"/>
      <c r="V146" s="37">
        <f t="shared" si="1"/>
        <v>0</v>
      </c>
    </row>
    <row r="147">
      <c r="A147" s="37"/>
      <c r="B147" s="37"/>
      <c r="C147" s="37"/>
      <c r="D147" s="37"/>
      <c r="E147" s="37"/>
      <c r="F147" s="37"/>
      <c r="G147" s="37"/>
      <c r="V147" s="37">
        <f t="shared" si="1"/>
        <v>0</v>
      </c>
    </row>
    <row r="148">
      <c r="A148" s="37"/>
      <c r="B148" s="37"/>
      <c r="C148" s="37"/>
      <c r="D148" s="37"/>
      <c r="E148" s="37"/>
      <c r="F148" s="37"/>
      <c r="G148" s="37"/>
      <c r="V148" s="37">
        <f t="shared" si="1"/>
        <v>0</v>
      </c>
    </row>
    <row r="149">
      <c r="A149" s="37"/>
      <c r="B149" s="37"/>
      <c r="C149" s="37"/>
      <c r="D149" s="37"/>
      <c r="E149" s="37"/>
      <c r="F149" s="37"/>
      <c r="G149" s="37"/>
      <c r="V149" s="37">
        <f t="shared" si="1"/>
        <v>0</v>
      </c>
    </row>
    <row r="150">
      <c r="A150" s="37"/>
      <c r="B150" s="37"/>
      <c r="C150" s="37"/>
      <c r="D150" s="37"/>
      <c r="E150" s="37"/>
      <c r="F150" s="37"/>
      <c r="G150" s="37"/>
      <c r="V150" s="37">
        <f t="shared" si="1"/>
        <v>0</v>
      </c>
    </row>
    <row r="151">
      <c r="A151" s="37"/>
      <c r="B151" s="37"/>
      <c r="C151" s="37"/>
      <c r="D151" s="37"/>
      <c r="E151" s="37"/>
      <c r="F151" s="37"/>
      <c r="G151" s="37"/>
      <c r="V151" s="37">
        <f t="shared" si="1"/>
        <v>0</v>
      </c>
    </row>
    <row r="152">
      <c r="A152" s="37"/>
      <c r="B152" s="37"/>
      <c r="C152" s="37"/>
      <c r="D152" s="37"/>
      <c r="E152" s="37"/>
      <c r="F152" s="37"/>
      <c r="G152" s="37"/>
      <c r="V152" s="37">
        <f t="shared" si="1"/>
        <v>0</v>
      </c>
    </row>
    <row r="153">
      <c r="A153" s="37"/>
      <c r="B153" s="37"/>
      <c r="C153" s="37"/>
      <c r="D153" s="37"/>
      <c r="E153" s="37"/>
      <c r="F153" s="37"/>
      <c r="G153" s="37"/>
      <c r="V153" s="37">
        <f t="shared" si="1"/>
        <v>0</v>
      </c>
    </row>
    <row r="154">
      <c r="A154" s="37"/>
      <c r="B154" s="37"/>
      <c r="C154" s="37"/>
      <c r="D154" s="37"/>
      <c r="E154" s="37"/>
      <c r="F154" s="37"/>
      <c r="G154" s="37"/>
      <c r="V154" s="37">
        <f t="shared" si="1"/>
        <v>0</v>
      </c>
    </row>
    <row r="155">
      <c r="A155" s="37"/>
      <c r="B155" s="37"/>
      <c r="C155" s="37"/>
      <c r="D155" s="37"/>
      <c r="E155" s="37"/>
      <c r="F155" s="37"/>
      <c r="G155" s="37"/>
      <c r="V155" s="37">
        <f t="shared" si="1"/>
        <v>0</v>
      </c>
    </row>
    <row r="156">
      <c r="A156" s="37"/>
      <c r="B156" s="37"/>
      <c r="C156" s="37"/>
      <c r="D156" s="37"/>
      <c r="E156" s="37"/>
      <c r="F156" s="37"/>
      <c r="G156" s="37"/>
      <c r="V156" s="37">
        <f t="shared" si="1"/>
        <v>0</v>
      </c>
    </row>
    <row r="157">
      <c r="A157" s="37"/>
      <c r="B157" s="37"/>
      <c r="C157" s="37"/>
      <c r="D157" s="37"/>
      <c r="E157" s="37"/>
      <c r="F157" s="37"/>
      <c r="G157" s="37"/>
      <c r="V157" s="37">
        <f t="shared" si="1"/>
        <v>0</v>
      </c>
    </row>
    <row r="158">
      <c r="A158" s="37"/>
      <c r="B158" s="37"/>
      <c r="C158" s="37"/>
      <c r="D158" s="37"/>
      <c r="E158" s="37"/>
      <c r="F158" s="37"/>
      <c r="G158" s="37"/>
      <c r="V158" s="37">
        <f t="shared" si="1"/>
        <v>0</v>
      </c>
    </row>
    <row r="159">
      <c r="A159" s="37"/>
      <c r="B159" s="37"/>
      <c r="C159" s="37"/>
      <c r="D159" s="37"/>
      <c r="E159" s="37"/>
      <c r="F159" s="37"/>
      <c r="G159" s="37"/>
      <c r="V159" s="37">
        <f t="shared" si="1"/>
        <v>0</v>
      </c>
    </row>
    <row r="160">
      <c r="A160" s="37"/>
      <c r="B160" s="37"/>
      <c r="C160" s="37"/>
      <c r="D160" s="37"/>
      <c r="E160" s="37"/>
      <c r="F160" s="37"/>
      <c r="G160" s="37"/>
      <c r="V160" s="37">
        <f t="shared" si="1"/>
        <v>0</v>
      </c>
    </row>
    <row r="161">
      <c r="A161" s="37"/>
      <c r="B161" s="37"/>
      <c r="C161" s="37"/>
      <c r="D161" s="37"/>
      <c r="E161" s="37"/>
      <c r="F161" s="37"/>
      <c r="G161" s="37"/>
      <c r="V161" s="37">
        <f t="shared" si="1"/>
        <v>0</v>
      </c>
    </row>
    <row r="162">
      <c r="A162" s="37"/>
      <c r="B162" s="37"/>
      <c r="C162" s="37"/>
      <c r="D162" s="37"/>
      <c r="E162" s="37"/>
      <c r="F162" s="37"/>
      <c r="G162" s="37"/>
      <c r="V162" s="37">
        <f t="shared" si="1"/>
        <v>0</v>
      </c>
    </row>
    <row r="163">
      <c r="A163" s="37"/>
      <c r="B163" s="37"/>
      <c r="C163" s="37"/>
      <c r="D163" s="37"/>
      <c r="E163" s="37"/>
      <c r="F163" s="37"/>
      <c r="G163" s="37"/>
      <c r="V163" s="37">
        <f t="shared" si="1"/>
        <v>0</v>
      </c>
    </row>
    <row r="164">
      <c r="A164" s="37"/>
      <c r="B164" s="37"/>
      <c r="C164" s="37"/>
      <c r="D164" s="37"/>
      <c r="E164" s="37"/>
      <c r="F164" s="37"/>
      <c r="G164" s="37"/>
      <c r="V164" s="37">
        <f t="shared" si="1"/>
        <v>0</v>
      </c>
    </row>
    <row r="165">
      <c r="A165" s="37"/>
      <c r="B165" s="37"/>
      <c r="C165" s="37"/>
      <c r="D165" s="37"/>
      <c r="E165" s="37"/>
      <c r="F165" s="37"/>
      <c r="G165" s="37"/>
      <c r="V165" s="37">
        <f t="shared" si="1"/>
        <v>0</v>
      </c>
    </row>
    <row r="166">
      <c r="A166" s="37"/>
      <c r="B166" s="37"/>
      <c r="C166" s="37"/>
      <c r="D166" s="37"/>
      <c r="E166" s="37"/>
      <c r="F166" s="37"/>
      <c r="G166" s="37"/>
      <c r="V166" s="37">
        <f t="shared" si="1"/>
        <v>0</v>
      </c>
    </row>
    <row r="167">
      <c r="A167" s="37"/>
      <c r="B167" s="37"/>
      <c r="C167" s="37"/>
      <c r="D167" s="37"/>
      <c r="E167" s="37"/>
      <c r="F167" s="37"/>
      <c r="G167" s="37"/>
      <c r="V167" s="37">
        <f t="shared" si="1"/>
        <v>0</v>
      </c>
    </row>
    <row r="168">
      <c r="A168" s="37"/>
      <c r="B168" s="37"/>
      <c r="C168" s="37"/>
      <c r="D168" s="37"/>
      <c r="E168" s="37"/>
      <c r="F168" s="37"/>
      <c r="G168" s="37"/>
      <c r="V168" s="37">
        <f t="shared" si="1"/>
        <v>0</v>
      </c>
    </row>
    <row r="169">
      <c r="A169" s="37"/>
      <c r="B169" s="37"/>
      <c r="C169" s="37"/>
      <c r="D169" s="37"/>
      <c r="E169" s="37"/>
      <c r="F169" s="37"/>
      <c r="G169" s="37"/>
      <c r="V169" s="37">
        <f t="shared" si="1"/>
        <v>0</v>
      </c>
    </row>
    <row r="170">
      <c r="A170" s="37"/>
      <c r="B170" s="37"/>
      <c r="C170" s="37"/>
      <c r="D170" s="37"/>
      <c r="E170" s="37"/>
      <c r="F170" s="37"/>
      <c r="G170" s="37"/>
      <c r="V170" s="37">
        <f t="shared" si="1"/>
        <v>0</v>
      </c>
    </row>
    <row r="171">
      <c r="A171" s="37"/>
      <c r="B171" s="37"/>
      <c r="C171" s="37"/>
      <c r="D171" s="37"/>
      <c r="E171" s="37"/>
      <c r="F171" s="37"/>
      <c r="G171" s="37"/>
      <c r="V171" s="37">
        <f t="shared" si="1"/>
        <v>0</v>
      </c>
    </row>
    <row r="172">
      <c r="A172" s="37"/>
      <c r="B172" s="37"/>
      <c r="C172" s="37"/>
      <c r="D172" s="37"/>
      <c r="E172" s="37"/>
      <c r="F172" s="37"/>
      <c r="G172" s="37"/>
      <c r="V172" s="37">
        <f t="shared" si="1"/>
        <v>0</v>
      </c>
    </row>
    <row r="173">
      <c r="A173" s="37"/>
      <c r="B173" s="37"/>
      <c r="C173" s="37"/>
      <c r="D173" s="37"/>
      <c r="E173" s="37"/>
      <c r="F173" s="37"/>
      <c r="G173" s="37"/>
      <c r="V173" s="37">
        <f t="shared" si="1"/>
        <v>0</v>
      </c>
    </row>
    <row r="174">
      <c r="A174" s="37"/>
      <c r="B174" s="37"/>
      <c r="C174" s="37"/>
      <c r="D174" s="37"/>
      <c r="E174" s="37"/>
      <c r="F174" s="37"/>
      <c r="G174" s="37"/>
      <c r="V174" s="37">
        <f t="shared" si="1"/>
        <v>0</v>
      </c>
    </row>
    <row r="175">
      <c r="A175" s="37"/>
      <c r="B175" s="37"/>
      <c r="C175" s="37"/>
      <c r="D175" s="37"/>
      <c r="E175" s="37"/>
      <c r="F175" s="37"/>
      <c r="G175" s="37"/>
      <c r="V175" s="37">
        <f t="shared" si="1"/>
        <v>0</v>
      </c>
    </row>
    <row r="176">
      <c r="A176" s="37"/>
      <c r="B176" s="37"/>
      <c r="C176" s="37"/>
      <c r="D176" s="37"/>
      <c r="E176" s="37"/>
      <c r="F176" s="37"/>
      <c r="G176" s="37"/>
      <c r="V176" s="37">
        <f t="shared" si="1"/>
        <v>0</v>
      </c>
    </row>
    <row r="177">
      <c r="A177" s="37"/>
      <c r="B177" s="37"/>
      <c r="C177" s="37"/>
      <c r="D177" s="37"/>
      <c r="E177" s="37"/>
      <c r="F177" s="37"/>
      <c r="G177" s="37"/>
      <c r="V177" s="37">
        <f t="shared" si="1"/>
        <v>0</v>
      </c>
    </row>
    <row r="178">
      <c r="A178" s="37"/>
      <c r="B178" s="37"/>
      <c r="C178" s="37"/>
      <c r="D178" s="37"/>
      <c r="E178" s="37"/>
      <c r="F178" s="37"/>
      <c r="G178" s="37"/>
      <c r="V178" s="37">
        <f t="shared" si="1"/>
        <v>0</v>
      </c>
    </row>
    <row r="179">
      <c r="A179" s="37"/>
      <c r="B179" s="37"/>
      <c r="C179" s="37"/>
      <c r="D179" s="37"/>
      <c r="E179" s="37"/>
      <c r="F179" s="37"/>
      <c r="G179" s="37"/>
      <c r="V179" s="37">
        <f t="shared" si="1"/>
        <v>0</v>
      </c>
    </row>
    <row r="180">
      <c r="A180" s="37"/>
      <c r="B180" s="37"/>
      <c r="C180" s="37"/>
      <c r="D180" s="37"/>
      <c r="E180" s="37"/>
      <c r="F180" s="37"/>
      <c r="G180" s="37"/>
      <c r="V180" s="37">
        <f t="shared" si="1"/>
        <v>0</v>
      </c>
    </row>
    <row r="181">
      <c r="A181" s="37"/>
      <c r="B181" s="37"/>
      <c r="C181" s="37"/>
      <c r="D181" s="37"/>
      <c r="E181" s="37"/>
      <c r="F181" s="37"/>
      <c r="G181" s="37"/>
      <c r="V181" s="37">
        <f t="shared" si="1"/>
        <v>0</v>
      </c>
    </row>
    <row r="182">
      <c r="A182" s="37"/>
      <c r="B182" s="37"/>
      <c r="C182" s="37"/>
      <c r="D182" s="37"/>
      <c r="E182" s="37"/>
      <c r="F182" s="37"/>
      <c r="G182" s="37"/>
      <c r="V182" s="37">
        <f t="shared" si="1"/>
        <v>0</v>
      </c>
    </row>
    <row r="183">
      <c r="A183" s="37"/>
      <c r="B183" s="37"/>
      <c r="C183" s="37"/>
      <c r="D183" s="37"/>
      <c r="E183" s="37"/>
      <c r="F183" s="37"/>
      <c r="G183" s="37"/>
      <c r="V183" s="37">
        <f t="shared" si="1"/>
        <v>0</v>
      </c>
    </row>
    <row r="184">
      <c r="A184" s="37"/>
      <c r="B184" s="37"/>
      <c r="C184" s="37"/>
      <c r="D184" s="37"/>
      <c r="E184" s="37"/>
      <c r="F184" s="37"/>
      <c r="G184" s="37"/>
      <c r="V184" s="37">
        <f t="shared" si="1"/>
        <v>0</v>
      </c>
    </row>
    <row r="185">
      <c r="A185" s="37"/>
      <c r="B185" s="37"/>
      <c r="C185" s="37"/>
      <c r="D185" s="37"/>
      <c r="E185" s="37"/>
      <c r="F185" s="37"/>
      <c r="G185" s="37"/>
      <c r="V185" s="37">
        <f t="shared" si="1"/>
        <v>0</v>
      </c>
    </row>
    <row r="186">
      <c r="A186" s="37"/>
      <c r="B186" s="37"/>
      <c r="C186" s="37"/>
      <c r="D186" s="37"/>
      <c r="E186" s="37"/>
      <c r="F186" s="37"/>
      <c r="G186" s="37"/>
      <c r="V186" s="37">
        <f t="shared" si="1"/>
        <v>0</v>
      </c>
    </row>
    <row r="187">
      <c r="A187" s="37"/>
      <c r="B187" s="37"/>
      <c r="C187" s="37"/>
      <c r="D187" s="37"/>
      <c r="E187" s="37"/>
      <c r="F187" s="37"/>
      <c r="G187" s="37"/>
      <c r="V187" s="37">
        <f t="shared" si="1"/>
        <v>0</v>
      </c>
    </row>
    <row r="188">
      <c r="A188" s="37"/>
      <c r="B188" s="37"/>
      <c r="C188" s="37"/>
      <c r="D188" s="37"/>
      <c r="E188" s="37"/>
      <c r="F188" s="37"/>
      <c r="G188" s="37"/>
      <c r="V188" s="37">
        <f t="shared" si="1"/>
        <v>0</v>
      </c>
    </row>
    <row r="189">
      <c r="A189" s="37"/>
      <c r="B189" s="37"/>
      <c r="C189" s="37"/>
      <c r="D189" s="37"/>
      <c r="E189" s="37"/>
      <c r="F189" s="37"/>
      <c r="G189" s="37"/>
      <c r="V189" s="37">
        <f t="shared" si="1"/>
        <v>0</v>
      </c>
    </row>
    <row r="190">
      <c r="A190" s="37"/>
      <c r="B190" s="37"/>
      <c r="C190" s="37"/>
      <c r="D190" s="37"/>
      <c r="E190" s="37"/>
      <c r="F190" s="37"/>
      <c r="G190" s="37"/>
      <c r="V190" s="37">
        <f t="shared" si="1"/>
        <v>0</v>
      </c>
    </row>
    <row r="191">
      <c r="A191" s="37"/>
      <c r="B191" s="37"/>
      <c r="C191" s="37"/>
      <c r="D191" s="37"/>
      <c r="E191" s="37"/>
      <c r="F191" s="37"/>
      <c r="G191" s="37"/>
      <c r="V191" s="37">
        <f t="shared" si="1"/>
        <v>0</v>
      </c>
    </row>
    <row r="192">
      <c r="A192" s="37"/>
      <c r="B192" s="37"/>
      <c r="C192" s="37"/>
      <c r="D192" s="37"/>
      <c r="E192" s="37"/>
      <c r="F192" s="37"/>
      <c r="G192" s="37"/>
      <c r="V192" s="37">
        <f t="shared" si="1"/>
        <v>0</v>
      </c>
    </row>
    <row r="193">
      <c r="A193" s="37"/>
      <c r="B193" s="37"/>
      <c r="C193" s="37"/>
      <c r="D193" s="37"/>
      <c r="E193" s="37"/>
      <c r="F193" s="37"/>
      <c r="G193" s="37"/>
      <c r="V193" s="37">
        <f t="shared" si="1"/>
        <v>0</v>
      </c>
    </row>
    <row r="194">
      <c r="A194" s="37"/>
      <c r="B194" s="37"/>
      <c r="C194" s="37"/>
      <c r="D194" s="37"/>
      <c r="E194" s="37"/>
      <c r="F194" s="37"/>
      <c r="G194" s="37"/>
      <c r="V194" s="37">
        <f t="shared" si="1"/>
        <v>0</v>
      </c>
    </row>
    <row r="195">
      <c r="A195" s="37"/>
      <c r="B195" s="37"/>
      <c r="C195" s="37"/>
      <c r="D195" s="37"/>
      <c r="E195" s="37"/>
      <c r="F195" s="37"/>
      <c r="G195" s="37"/>
      <c r="V195" s="37">
        <f t="shared" si="1"/>
        <v>0</v>
      </c>
    </row>
    <row r="196">
      <c r="A196" s="37"/>
      <c r="B196" s="37"/>
      <c r="C196" s="37"/>
      <c r="D196" s="37"/>
      <c r="E196" s="37"/>
      <c r="F196" s="37"/>
      <c r="G196" s="37"/>
      <c r="V196" s="37">
        <f t="shared" si="1"/>
        <v>0</v>
      </c>
    </row>
    <row r="197">
      <c r="A197" s="37"/>
      <c r="B197" s="37"/>
      <c r="C197" s="37"/>
      <c r="D197" s="37"/>
      <c r="E197" s="37"/>
      <c r="F197" s="37"/>
      <c r="G197" s="37"/>
      <c r="V197" s="37">
        <f t="shared" si="1"/>
        <v>0</v>
      </c>
    </row>
    <row r="198">
      <c r="A198" s="37"/>
      <c r="B198" s="37"/>
      <c r="C198" s="37"/>
      <c r="D198" s="37"/>
      <c r="E198" s="37"/>
      <c r="F198" s="37"/>
      <c r="G198" s="37"/>
      <c r="V198" s="37">
        <f t="shared" si="1"/>
        <v>0</v>
      </c>
    </row>
    <row r="199">
      <c r="A199" s="37"/>
      <c r="B199" s="37"/>
      <c r="C199" s="37"/>
      <c r="D199" s="37"/>
      <c r="E199" s="37"/>
      <c r="F199" s="37"/>
      <c r="G199" s="37"/>
      <c r="V199" s="37">
        <f t="shared" si="1"/>
        <v>0</v>
      </c>
    </row>
    <row r="200">
      <c r="A200" s="37"/>
      <c r="B200" s="37"/>
      <c r="C200" s="37"/>
      <c r="D200" s="37"/>
      <c r="E200" s="37"/>
      <c r="F200" s="37"/>
      <c r="G200" s="37"/>
      <c r="V200" s="37">
        <f t="shared" si="1"/>
        <v>0</v>
      </c>
    </row>
    <row r="201">
      <c r="A201" s="37"/>
      <c r="B201" s="37"/>
      <c r="C201" s="37"/>
      <c r="D201" s="37"/>
      <c r="E201" s="37"/>
      <c r="F201" s="37"/>
      <c r="G201" s="37"/>
      <c r="V201" s="37">
        <f t="shared" si="1"/>
        <v>0</v>
      </c>
    </row>
    <row r="202">
      <c r="A202" s="37"/>
      <c r="B202" s="37"/>
      <c r="C202" s="37"/>
      <c r="D202" s="37"/>
      <c r="E202" s="37"/>
      <c r="F202" s="37"/>
      <c r="G202" s="37"/>
      <c r="V202" s="37">
        <f t="shared" si="1"/>
        <v>0</v>
      </c>
    </row>
    <row r="203">
      <c r="A203" s="37"/>
      <c r="B203" s="37"/>
      <c r="C203" s="37"/>
      <c r="D203" s="37"/>
      <c r="E203" s="37"/>
      <c r="F203" s="37"/>
      <c r="G203" s="37"/>
      <c r="V203" s="37">
        <f t="shared" si="1"/>
        <v>0</v>
      </c>
    </row>
    <row r="204">
      <c r="A204" s="37"/>
      <c r="B204" s="37"/>
      <c r="C204" s="37"/>
      <c r="D204" s="37"/>
      <c r="E204" s="37"/>
      <c r="F204" s="37"/>
      <c r="G204" s="37"/>
      <c r="V204" s="37">
        <f t="shared" si="1"/>
        <v>0</v>
      </c>
    </row>
    <row r="205">
      <c r="A205" s="37"/>
      <c r="B205" s="37"/>
      <c r="C205" s="37"/>
      <c r="D205" s="37"/>
      <c r="E205" s="37"/>
      <c r="F205" s="37"/>
      <c r="G205" s="37"/>
      <c r="V205" s="37">
        <f t="shared" si="1"/>
        <v>0</v>
      </c>
    </row>
    <row r="206">
      <c r="A206" s="37"/>
      <c r="B206" s="37"/>
      <c r="C206" s="37"/>
      <c r="D206" s="37"/>
      <c r="E206" s="37"/>
      <c r="F206" s="37"/>
      <c r="G206" s="37"/>
      <c r="V206" s="37">
        <f t="shared" si="1"/>
        <v>0</v>
      </c>
    </row>
    <row r="207">
      <c r="A207" s="37"/>
      <c r="B207" s="37"/>
      <c r="C207" s="37"/>
      <c r="D207" s="37"/>
      <c r="E207" s="37"/>
      <c r="F207" s="37"/>
      <c r="G207" s="37"/>
      <c r="V207" s="37">
        <f t="shared" si="1"/>
        <v>0</v>
      </c>
    </row>
    <row r="208">
      <c r="A208" s="37"/>
      <c r="B208" s="37"/>
      <c r="C208" s="37"/>
      <c r="D208" s="37"/>
      <c r="E208" s="37"/>
      <c r="F208" s="37"/>
      <c r="G208" s="37"/>
      <c r="V208" s="37">
        <f t="shared" si="1"/>
        <v>0</v>
      </c>
    </row>
    <row r="209">
      <c r="A209" s="37"/>
      <c r="B209" s="37"/>
      <c r="C209" s="37"/>
      <c r="D209" s="37"/>
      <c r="E209" s="37"/>
      <c r="F209" s="37"/>
      <c r="G209" s="37"/>
      <c r="V209" s="37">
        <f t="shared" si="1"/>
        <v>0</v>
      </c>
    </row>
    <row r="210">
      <c r="A210" s="37"/>
      <c r="B210" s="37"/>
      <c r="C210" s="37"/>
      <c r="D210" s="37"/>
      <c r="E210" s="37"/>
      <c r="F210" s="37"/>
      <c r="G210" s="37"/>
      <c r="V210" s="37">
        <f t="shared" si="1"/>
        <v>0</v>
      </c>
    </row>
    <row r="211">
      <c r="A211" s="37"/>
      <c r="B211" s="37"/>
      <c r="C211" s="37"/>
      <c r="D211" s="37"/>
      <c r="E211" s="37"/>
      <c r="F211" s="37"/>
      <c r="G211" s="37"/>
      <c r="V211" s="37">
        <f t="shared" si="1"/>
        <v>0</v>
      </c>
    </row>
    <row r="212">
      <c r="A212" s="37"/>
      <c r="B212" s="37"/>
      <c r="C212" s="37"/>
      <c r="D212" s="37"/>
      <c r="E212" s="37"/>
      <c r="F212" s="37"/>
      <c r="G212" s="37"/>
      <c r="V212" s="37">
        <f t="shared" si="1"/>
        <v>0</v>
      </c>
    </row>
    <row r="213">
      <c r="A213" s="37"/>
      <c r="B213" s="37"/>
      <c r="C213" s="37"/>
      <c r="D213" s="37"/>
      <c r="E213" s="37"/>
      <c r="F213" s="37"/>
      <c r="G213" s="37"/>
      <c r="V213" s="37">
        <f t="shared" si="1"/>
        <v>0</v>
      </c>
    </row>
    <row r="214">
      <c r="A214" s="37"/>
      <c r="B214" s="37"/>
      <c r="C214" s="37"/>
      <c r="D214" s="37"/>
      <c r="E214" s="37"/>
      <c r="F214" s="37"/>
      <c r="G214" s="37"/>
      <c r="V214" s="37">
        <f t="shared" si="1"/>
        <v>0</v>
      </c>
    </row>
    <row r="215">
      <c r="A215" s="37"/>
      <c r="B215" s="37"/>
      <c r="C215" s="37"/>
      <c r="D215" s="37"/>
      <c r="E215" s="37"/>
      <c r="F215" s="37"/>
      <c r="G215" s="37"/>
      <c r="V215" s="37">
        <f t="shared" si="1"/>
        <v>0</v>
      </c>
    </row>
    <row r="216">
      <c r="A216" s="37"/>
      <c r="B216" s="37"/>
      <c r="C216" s="37"/>
      <c r="D216" s="37"/>
      <c r="E216" s="37"/>
      <c r="F216" s="37"/>
      <c r="G216" s="37"/>
      <c r="V216" s="37">
        <f t="shared" si="1"/>
        <v>0</v>
      </c>
    </row>
    <row r="217">
      <c r="A217" s="37"/>
      <c r="B217" s="37"/>
      <c r="C217" s="37"/>
      <c r="D217" s="37"/>
      <c r="E217" s="37"/>
      <c r="F217" s="37"/>
      <c r="G217" s="37"/>
      <c r="V217" s="37">
        <f t="shared" si="1"/>
        <v>0</v>
      </c>
    </row>
    <row r="218">
      <c r="A218" s="37"/>
      <c r="B218" s="37"/>
      <c r="C218" s="37"/>
      <c r="D218" s="37"/>
      <c r="E218" s="37"/>
      <c r="F218" s="37"/>
      <c r="G218" s="37"/>
      <c r="V218" s="37">
        <f t="shared" si="1"/>
        <v>0</v>
      </c>
    </row>
    <row r="219">
      <c r="A219" s="37"/>
      <c r="B219" s="37"/>
      <c r="C219" s="37"/>
      <c r="D219" s="37"/>
      <c r="E219" s="37"/>
      <c r="F219" s="37"/>
      <c r="G219" s="37"/>
      <c r="V219" s="37">
        <f t="shared" si="1"/>
        <v>0</v>
      </c>
    </row>
    <row r="220">
      <c r="A220" s="37"/>
      <c r="B220" s="37"/>
      <c r="C220" s="37"/>
      <c r="D220" s="37"/>
      <c r="E220" s="37"/>
      <c r="F220" s="37"/>
      <c r="G220" s="37"/>
      <c r="V220" s="37">
        <f t="shared" si="1"/>
        <v>0</v>
      </c>
    </row>
    <row r="221">
      <c r="A221" s="37"/>
      <c r="B221" s="37"/>
      <c r="C221" s="37"/>
      <c r="D221" s="37"/>
      <c r="E221" s="37"/>
      <c r="F221" s="37"/>
      <c r="G221" s="37"/>
      <c r="V221" s="37">
        <f t="shared" si="1"/>
        <v>0</v>
      </c>
    </row>
    <row r="222">
      <c r="A222" s="37"/>
      <c r="B222" s="37"/>
      <c r="C222" s="37"/>
      <c r="D222" s="37"/>
      <c r="E222" s="37"/>
      <c r="F222" s="37"/>
      <c r="G222" s="37"/>
      <c r="V222" s="37">
        <f t="shared" si="1"/>
        <v>0</v>
      </c>
    </row>
    <row r="223">
      <c r="A223" s="37"/>
      <c r="B223" s="37"/>
      <c r="C223" s="37"/>
      <c r="D223" s="37"/>
      <c r="E223" s="37"/>
      <c r="F223" s="37"/>
      <c r="G223" s="37"/>
      <c r="V223" s="37">
        <f t="shared" si="1"/>
        <v>0</v>
      </c>
    </row>
    <row r="224">
      <c r="A224" s="37"/>
      <c r="B224" s="37"/>
      <c r="C224" s="37"/>
      <c r="D224" s="37"/>
      <c r="E224" s="37"/>
      <c r="F224" s="37"/>
      <c r="G224" s="37"/>
      <c r="V224" s="37">
        <f t="shared" si="1"/>
        <v>0</v>
      </c>
    </row>
    <row r="225">
      <c r="A225" s="37"/>
      <c r="B225" s="37"/>
      <c r="C225" s="37"/>
      <c r="D225" s="37"/>
      <c r="E225" s="37"/>
      <c r="F225" s="37"/>
      <c r="G225" s="37"/>
      <c r="V225" s="37">
        <f t="shared" si="1"/>
        <v>0</v>
      </c>
    </row>
    <row r="226">
      <c r="A226" s="37"/>
      <c r="B226" s="37"/>
      <c r="C226" s="37"/>
      <c r="D226" s="37"/>
      <c r="E226" s="37"/>
      <c r="F226" s="37"/>
      <c r="G226" s="37"/>
      <c r="V226" s="37">
        <f t="shared" si="1"/>
        <v>0</v>
      </c>
    </row>
    <row r="227">
      <c r="A227" s="37"/>
      <c r="B227" s="37"/>
      <c r="C227" s="37"/>
      <c r="D227" s="37"/>
      <c r="E227" s="37"/>
      <c r="F227" s="37"/>
      <c r="G227" s="37"/>
      <c r="V227" s="37">
        <f t="shared" si="1"/>
        <v>0</v>
      </c>
    </row>
    <row r="228">
      <c r="A228" s="37"/>
      <c r="B228" s="37"/>
      <c r="C228" s="37"/>
      <c r="D228" s="37"/>
      <c r="E228" s="37"/>
      <c r="F228" s="37"/>
      <c r="G228" s="37"/>
      <c r="V228" s="37">
        <f t="shared" si="1"/>
        <v>0</v>
      </c>
    </row>
    <row r="229">
      <c r="A229" s="37"/>
      <c r="B229" s="37"/>
      <c r="C229" s="37"/>
      <c r="D229" s="37"/>
      <c r="E229" s="37"/>
      <c r="F229" s="37"/>
      <c r="G229" s="37"/>
      <c r="V229" s="37">
        <f t="shared" si="1"/>
        <v>0</v>
      </c>
    </row>
    <row r="230">
      <c r="A230" s="37"/>
      <c r="B230" s="37"/>
      <c r="C230" s="37"/>
      <c r="D230" s="37"/>
      <c r="E230" s="37"/>
      <c r="F230" s="37"/>
      <c r="G230" s="37"/>
      <c r="V230" s="37">
        <f t="shared" si="1"/>
        <v>0</v>
      </c>
    </row>
    <row r="231">
      <c r="A231" s="37"/>
      <c r="B231" s="37"/>
      <c r="C231" s="37"/>
      <c r="D231" s="37"/>
      <c r="E231" s="37"/>
      <c r="F231" s="37"/>
      <c r="G231" s="37"/>
      <c r="V231" s="37">
        <f t="shared" si="1"/>
        <v>0</v>
      </c>
    </row>
    <row r="232">
      <c r="A232" s="37"/>
      <c r="B232" s="37"/>
      <c r="C232" s="37"/>
      <c r="D232" s="37"/>
      <c r="E232" s="37"/>
      <c r="F232" s="37"/>
      <c r="G232" s="37"/>
      <c r="V232" s="37">
        <f t="shared" si="1"/>
        <v>0</v>
      </c>
    </row>
    <row r="233">
      <c r="A233" s="37"/>
      <c r="B233" s="37"/>
      <c r="C233" s="37"/>
      <c r="D233" s="37"/>
      <c r="E233" s="37"/>
      <c r="F233" s="37"/>
      <c r="G233" s="37"/>
      <c r="V233" s="37">
        <f t="shared" si="1"/>
        <v>0</v>
      </c>
    </row>
    <row r="234">
      <c r="A234" s="37"/>
      <c r="B234" s="37"/>
      <c r="C234" s="37"/>
      <c r="D234" s="37"/>
      <c r="E234" s="37"/>
      <c r="F234" s="37"/>
      <c r="G234" s="37"/>
      <c r="V234" s="37">
        <f t="shared" si="1"/>
        <v>0</v>
      </c>
    </row>
    <row r="235">
      <c r="A235" s="37"/>
      <c r="B235" s="37"/>
      <c r="C235" s="37"/>
      <c r="D235" s="37"/>
      <c r="E235" s="37"/>
      <c r="F235" s="37"/>
      <c r="G235" s="37"/>
      <c r="V235" s="37">
        <f t="shared" si="1"/>
        <v>0</v>
      </c>
    </row>
    <row r="236">
      <c r="A236" s="37"/>
      <c r="B236" s="37"/>
      <c r="C236" s="37"/>
      <c r="D236" s="37"/>
      <c r="E236" s="37"/>
      <c r="F236" s="37"/>
      <c r="G236" s="37"/>
      <c r="V236" s="37">
        <f t="shared" si="1"/>
        <v>0</v>
      </c>
    </row>
    <row r="237">
      <c r="A237" s="37"/>
      <c r="B237" s="37"/>
      <c r="C237" s="37"/>
      <c r="D237" s="37"/>
      <c r="E237" s="37"/>
      <c r="F237" s="37"/>
      <c r="G237" s="37"/>
      <c r="V237" s="37">
        <f t="shared" si="1"/>
        <v>0</v>
      </c>
    </row>
    <row r="238">
      <c r="A238" s="37"/>
      <c r="B238" s="37"/>
      <c r="C238" s="37"/>
      <c r="D238" s="37"/>
      <c r="E238" s="37"/>
      <c r="F238" s="37"/>
      <c r="G238" s="37"/>
      <c r="V238" s="37">
        <f t="shared" si="1"/>
        <v>0</v>
      </c>
    </row>
    <row r="239">
      <c r="A239" s="37"/>
      <c r="B239" s="37"/>
      <c r="C239" s="37"/>
      <c r="D239" s="37"/>
      <c r="E239" s="37"/>
      <c r="F239" s="37"/>
      <c r="G239" s="37"/>
      <c r="V239" s="37">
        <f t="shared" si="1"/>
        <v>0</v>
      </c>
    </row>
    <row r="240">
      <c r="A240" s="37"/>
      <c r="B240" s="37"/>
      <c r="C240" s="37"/>
      <c r="D240" s="37"/>
      <c r="E240" s="37"/>
      <c r="F240" s="37"/>
      <c r="G240" s="37"/>
      <c r="V240" s="37">
        <f t="shared" si="1"/>
        <v>0</v>
      </c>
    </row>
    <row r="241">
      <c r="A241" s="37"/>
      <c r="B241" s="37"/>
      <c r="C241" s="37"/>
      <c r="D241" s="37"/>
      <c r="E241" s="37"/>
      <c r="F241" s="37"/>
      <c r="G241" s="37"/>
      <c r="V241" s="37">
        <f t="shared" si="1"/>
        <v>0</v>
      </c>
    </row>
    <row r="242">
      <c r="A242" s="37"/>
      <c r="B242" s="37"/>
      <c r="C242" s="37"/>
      <c r="D242" s="37"/>
      <c r="E242" s="37"/>
      <c r="F242" s="37"/>
      <c r="G242" s="37"/>
      <c r="V242" s="37">
        <f t="shared" si="1"/>
        <v>0</v>
      </c>
    </row>
    <row r="243">
      <c r="A243" s="37"/>
      <c r="B243" s="37"/>
      <c r="C243" s="37"/>
      <c r="D243" s="37"/>
      <c r="E243" s="37"/>
      <c r="F243" s="37"/>
      <c r="G243" s="37"/>
      <c r="V243" s="37">
        <f t="shared" si="1"/>
        <v>0</v>
      </c>
    </row>
    <row r="244">
      <c r="A244" s="37"/>
      <c r="B244" s="37"/>
      <c r="C244" s="37"/>
      <c r="D244" s="37"/>
      <c r="E244" s="37"/>
      <c r="F244" s="37"/>
      <c r="G244" s="37"/>
      <c r="V244" s="37">
        <f t="shared" si="1"/>
        <v>0</v>
      </c>
    </row>
    <row r="245">
      <c r="A245" s="37"/>
      <c r="B245" s="37"/>
      <c r="C245" s="37"/>
      <c r="D245" s="37"/>
      <c r="E245" s="37"/>
      <c r="F245" s="37"/>
      <c r="G245" s="37"/>
      <c r="V245" s="37">
        <f t="shared" si="1"/>
        <v>0</v>
      </c>
    </row>
    <row r="246">
      <c r="A246" s="37"/>
      <c r="B246" s="37"/>
      <c r="C246" s="37"/>
      <c r="D246" s="37"/>
      <c r="E246" s="37"/>
      <c r="F246" s="37"/>
      <c r="G246" s="37"/>
      <c r="V246" s="37">
        <f t="shared" si="1"/>
        <v>0</v>
      </c>
    </row>
    <row r="247">
      <c r="A247" s="37"/>
      <c r="B247" s="37"/>
      <c r="C247" s="37"/>
      <c r="D247" s="37"/>
      <c r="E247" s="37"/>
      <c r="F247" s="37"/>
      <c r="G247" s="37"/>
      <c r="V247" s="37">
        <f t="shared" si="1"/>
        <v>0</v>
      </c>
    </row>
    <row r="248">
      <c r="A248" s="37"/>
      <c r="B248" s="37"/>
      <c r="C248" s="37"/>
      <c r="D248" s="37"/>
      <c r="E248" s="37"/>
      <c r="F248" s="37"/>
      <c r="G248" s="37"/>
      <c r="V248" s="37">
        <f t="shared" si="1"/>
        <v>0</v>
      </c>
    </row>
    <row r="249">
      <c r="A249" s="37"/>
      <c r="B249" s="37"/>
      <c r="C249" s="37"/>
      <c r="D249" s="37"/>
      <c r="E249" s="37"/>
      <c r="F249" s="37"/>
      <c r="G249" s="37"/>
      <c r="V249" s="37">
        <f t="shared" si="1"/>
        <v>0</v>
      </c>
    </row>
    <row r="250">
      <c r="A250" s="37"/>
      <c r="B250" s="37"/>
      <c r="C250" s="37"/>
      <c r="D250" s="37"/>
      <c r="E250" s="37"/>
      <c r="F250" s="37"/>
      <c r="G250" s="37"/>
      <c r="V250" s="37">
        <f t="shared" si="1"/>
        <v>0</v>
      </c>
    </row>
    <row r="251">
      <c r="A251" s="37"/>
      <c r="B251" s="37"/>
      <c r="C251" s="37"/>
      <c r="D251" s="37"/>
      <c r="E251" s="37"/>
      <c r="F251" s="37"/>
      <c r="G251" s="37"/>
      <c r="V251" s="37">
        <f t="shared" si="1"/>
        <v>0</v>
      </c>
    </row>
    <row r="252">
      <c r="A252" s="37"/>
      <c r="B252" s="37"/>
      <c r="C252" s="37"/>
      <c r="D252" s="37"/>
      <c r="E252" s="37"/>
      <c r="F252" s="37"/>
      <c r="G252" s="37"/>
      <c r="V252" s="37">
        <f t="shared" si="1"/>
        <v>0</v>
      </c>
    </row>
    <row r="253">
      <c r="A253" s="37"/>
      <c r="B253" s="37"/>
      <c r="C253" s="37"/>
      <c r="D253" s="37"/>
      <c r="E253" s="37"/>
      <c r="F253" s="37"/>
      <c r="G253" s="37"/>
      <c r="V253" s="37">
        <f t="shared" si="1"/>
        <v>0</v>
      </c>
    </row>
    <row r="254">
      <c r="A254" s="37"/>
      <c r="B254" s="37"/>
      <c r="C254" s="37"/>
      <c r="D254" s="37"/>
      <c r="E254" s="37"/>
      <c r="F254" s="37"/>
      <c r="G254" s="37"/>
      <c r="V254" s="37">
        <f t="shared" si="1"/>
        <v>0</v>
      </c>
    </row>
    <row r="255">
      <c r="A255" s="37"/>
      <c r="B255" s="37"/>
      <c r="C255" s="37"/>
      <c r="D255" s="37"/>
      <c r="E255" s="37"/>
      <c r="F255" s="37"/>
      <c r="G255" s="37"/>
      <c r="V255" s="37">
        <f t="shared" si="1"/>
        <v>0</v>
      </c>
    </row>
    <row r="256">
      <c r="A256" s="37"/>
      <c r="B256" s="37"/>
      <c r="C256" s="37"/>
      <c r="D256" s="37"/>
      <c r="E256" s="37"/>
      <c r="F256" s="37"/>
      <c r="G256" s="37"/>
      <c r="V256" s="37">
        <f t="shared" si="1"/>
        <v>0</v>
      </c>
    </row>
    <row r="257">
      <c r="A257" s="37"/>
      <c r="B257" s="37"/>
      <c r="C257" s="37"/>
      <c r="D257" s="37"/>
      <c r="E257" s="37"/>
      <c r="F257" s="37"/>
      <c r="G257" s="37"/>
      <c r="V257" s="37">
        <f t="shared" si="1"/>
        <v>0</v>
      </c>
    </row>
    <row r="258">
      <c r="A258" s="37"/>
      <c r="B258" s="37"/>
      <c r="C258" s="37"/>
      <c r="D258" s="37"/>
      <c r="E258" s="37"/>
      <c r="F258" s="37"/>
      <c r="G258" s="37"/>
      <c r="V258" s="37">
        <f t="shared" si="1"/>
        <v>0</v>
      </c>
    </row>
    <row r="259">
      <c r="A259" s="37"/>
      <c r="B259" s="37"/>
      <c r="C259" s="37"/>
      <c r="D259" s="37"/>
      <c r="E259" s="37"/>
      <c r="F259" s="37"/>
      <c r="G259" s="37"/>
      <c r="V259" s="37">
        <f t="shared" si="1"/>
        <v>0</v>
      </c>
    </row>
    <row r="260">
      <c r="A260" s="37"/>
      <c r="B260" s="37"/>
      <c r="C260" s="37"/>
      <c r="D260" s="37"/>
      <c r="E260" s="37"/>
      <c r="F260" s="37"/>
      <c r="G260" s="37"/>
      <c r="V260" s="37">
        <f t="shared" si="1"/>
        <v>0</v>
      </c>
    </row>
    <row r="261">
      <c r="A261" s="37"/>
      <c r="B261" s="37"/>
      <c r="C261" s="37"/>
      <c r="D261" s="37"/>
      <c r="E261" s="37"/>
      <c r="F261" s="37"/>
      <c r="G261" s="37"/>
      <c r="V261" s="37">
        <f t="shared" si="1"/>
        <v>0</v>
      </c>
    </row>
    <row r="262">
      <c r="A262" s="37"/>
      <c r="B262" s="37"/>
      <c r="C262" s="37"/>
      <c r="D262" s="37"/>
      <c r="E262" s="37"/>
      <c r="F262" s="37"/>
      <c r="G262" s="37"/>
      <c r="V262" s="37">
        <f t="shared" si="1"/>
        <v>0</v>
      </c>
    </row>
    <row r="263">
      <c r="A263" s="37"/>
      <c r="B263" s="37"/>
      <c r="C263" s="37"/>
      <c r="D263" s="37"/>
      <c r="E263" s="37"/>
      <c r="F263" s="37"/>
      <c r="G263" s="37"/>
      <c r="V263" s="37">
        <f t="shared" si="1"/>
        <v>0</v>
      </c>
    </row>
    <row r="264">
      <c r="A264" s="37"/>
      <c r="B264" s="37"/>
      <c r="C264" s="37"/>
      <c r="D264" s="37"/>
      <c r="E264" s="37"/>
      <c r="F264" s="37"/>
      <c r="G264" s="37"/>
      <c r="V264" s="37">
        <f t="shared" si="1"/>
        <v>0</v>
      </c>
    </row>
    <row r="265">
      <c r="A265" s="37"/>
      <c r="B265" s="37"/>
      <c r="C265" s="37"/>
      <c r="D265" s="37"/>
      <c r="E265" s="37"/>
      <c r="F265" s="37"/>
      <c r="G265" s="37"/>
      <c r="V265" s="37">
        <f t="shared" si="1"/>
        <v>0</v>
      </c>
    </row>
    <row r="266">
      <c r="A266" s="37"/>
      <c r="B266" s="37"/>
      <c r="C266" s="37"/>
      <c r="D266" s="37"/>
      <c r="E266" s="37"/>
      <c r="F266" s="37"/>
      <c r="G266" s="37"/>
      <c r="V266" s="37">
        <f t="shared" si="1"/>
        <v>0</v>
      </c>
    </row>
    <row r="267">
      <c r="A267" s="37"/>
      <c r="B267" s="37"/>
      <c r="C267" s="37"/>
      <c r="D267" s="37"/>
      <c r="E267" s="37"/>
      <c r="F267" s="37"/>
      <c r="G267" s="37"/>
      <c r="V267" s="37">
        <f t="shared" si="1"/>
        <v>0</v>
      </c>
    </row>
    <row r="268">
      <c r="A268" s="37"/>
      <c r="B268" s="37"/>
      <c r="C268" s="37"/>
      <c r="D268" s="37"/>
      <c r="E268" s="37"/>
      <c r="F268" s="37"/>
      <c r="G268" s="37"/>
      <c r="V268" s="37">
        <f t="shared" si="1"/>
        <v>0</v>
      </c>
    </row>
    <row r="269">
      <c r="A269" s="37"/>
      <c r="B269" s="37"/>
      <c r="C269" s="37"/>
      <c r="D269" s="37"/>
      <c r="E269" s="37"/>
      <c r="F269" s="37"/>
      <c r="G269" s="37"/>
      <c r="V269" s="37">
        <f t="shared" si="1"/>
        <v>0</v>
      </c>
    </row>
    <row r="270">
      <c r="A270" s="37"/>
      <c r="B270" s="37"/>
      <c r="C270" s="37"/>
      <c r="D270" s="37"/>
      <c r="E270" s="37"/>
      <c r="F270" s="37"/>
      <c r="G270" s="37"/>
      <c r="V270" s="37">
        <f t="shared" si="1"/>
        <v>0</v>
      </c>
    </row>
    <row r="271">
      <c r="A271" s="37"/>
      <c r="B271" s="37"/>
      <c r="C271" s="37"/>
      <c r="D271" s="37"/>
      <c r="E271" s="37"/>
      <c r="F271" s="37"/>
      <c r="G271" s="37"/>
      <c r="V271" s="37">
        <f t="shared" si="1"/>
        <v>0</v>
      </c>
    </row>
    <row r="272">
      <c r="A272" s="37"/>
      <c r="B272" s="37"/>
      <c r="C272" s="37"/>
      <c r="D272" s="37"/>
      <c r="E272" s="37"/>
      <c r="F272" s="37"/>
      <c r="G272" s="37"/>
      <c r="V272" s="37">
        <f t="shared" si="1"/>
        <v>0</v>
      </c>
    </row>
    <row r="273">
      <c r="A273" s="37"/>
      <c r="B273" s="37"/>
      <c r="C273" s="37"/>
      <c r="D273" s="37"/>
      <c r="E273" s="37"/>
      <c r="F273" s="37"/>
      <c r="G273" s="37"/>
      <c r="V273" s="37">
        <f t="shared" si="1"/>
        <v>0</v>
      </c>
    </row>
    <row r="274">
      <c r="A274" s="37"/>
      <c r="B274" s="37"/>
      <c r="C274" s="37"/>
      <c r="D274" s="37"/>
      <c r="E274" s="37"/>
      <c r="F274" s="37"/>
      <c r="G274" s="37"/>
      <c r="V274" s="37">
        <f t="shared" si="1"/>
        <v>0</v>
      </c>
    </row>
    <row r="275">
      <c r="A275" s="37"/>
      <c r="B275" s="37"/>
      <c r="C275" s="37"/>
      <c r="D275" s="37"/>
      <c r="E275" s="37"/>
      <c r="F275" s="37"/>
      <c r="G275" s="37"/>
      <c r="V275" s="37">
        <f t="shared" si="1"/>
        <v>0</v>
      </c>
    </row>
    <row r="276">
      <c r="A276" s="37"/>
      <c r="B276" s="37"/>
      <c r="C276" s="37"/>
      <c r="D276" s="37"/>
      <c r="E276" s="37"/>
      <c r="F276" s="37"/>
      <c r="G276" s="37"/>
      <c r="V276" s="37">
        <f t="shared" si="1"/>
        <v>0</v>
      </c>
    </row>
    <row r="277">
      <c r="A277" s="37"/>
      <c r="B277" s="37"/>
      <c r="C277" s="37"/>
      <c r="D277" s="37"/>
      <c r="E277" s="37"/>
      <c r="F277" s="37"/>
      <c r="G277" s="37"/>
      <c r="V277" s="37">
        <f t="shared" si="1"/>
        <v>0</v>
      </c>
    </row>
    <row r="278">
      <c r="A278" s="37"/>
      <c r="B278" s="37"/>
      <c r="C278" s="37"/>
      <c r="D278" s="37"/>
      <c r="E278" s="37"/>
      <c r="F278" s="37"/>
      <c r="G278" s="37"/>
      <c r="V278" s="37">
        <f t="shared" si="1"/>
        <v>0</v>
      </c>
    </row>
    <row r="279">
      <c r="A279" s="37"/>
      <c r="B279" s="37"/>
      <c r="C279" s="37"/>
      <c r="D279" s="37"/>
      <c r="E279" s="37"/>
      <c r="F279" s="37"/>
      <c r="G279" s="37"/>
      <c r="V279" s="37">
        <f t="shared" si="1"/>
        <v>0</v>
      </c>
    </row>
    <row r="280">
      <c r="A280" s="37"/>
      <c r="B280" s="37"/>
      <c r="C280" s="37"/>
      <c r="D280" s="37"/>
      <c r="E280" s="37"/>
      <c r="F280" s="37"/>
      <c r="G280" s="37"/>
      <c r="V280" s="37">
        <f t="shared" si="1"/>
        <v>0</v>
      </c>
    </row>
    <row r="281">
      <c r="A281" s="37"/>
      <c r="B281" s="37"/>
      <c r="C281" s="37"/>
      <c r="D281" s="37"/>
      <c r="E281" s="37"/>
      <c r="F281" s="37"/>
      <c r="G281" s="37"/>
      <c r="V281" s="37">
        <f t="shared" si="1"/>
        <v>0</v>
      </c>
    </row>
    <row r="282">
      <c r="A282" s="37"/>
      <c r="B282" s="37"/>
      <c r="C282" s="37"/>
      <c r="D282" s="37"/>
      <c r="E282" s="37"/>
      <c r="F282" s="37"/>
      <c r="G282" s="37"/>
      <c r="V282" s="37">
        <f t="shared" si="1"/>
        <v>0</v>
      </c>
    </row>
    <row r="283">
      <c r="A283" s="37"/>
      <c r="B283" s="37"/>
      <c r="C283" s="37"/>
      <c r="D283" s="37"/>
      <c r="E283" s="37"/>
      <c r="F283" s="37"/>
      <c r="G283" s="37"/>
      <c r="V283" s="37">
        <f t="shared" si="1"/>
        <v>0</v>
      </c>
    </row>
    <row r="284">
      <c r="A284" s="37"/>
      <c r="B284" s="37"/>
      <c r="C284" s="37"/>
      <c r="D284" s="37"/>
      <c r="E284" s="37"/>
      <c r="F284" s="37"/>
      <c r="G284" s="37"/>
      <c r="V284" s="37">
        <f t="shared" si="1"/>
        <v>0</v>
      </c>
    </row>
    <row r="285">
      <c r="A285" s="37"/>
      <c r="B285" s="37"/>
      <c r="C285" s="37"/>
      <c r="D285" s="37"/>
      <c r="E285" s="37"/>
      <c r="F285" s="37"/>
      <c r="G285" s="37"/>
      <c r="V285" s="37">
        <f t="shared" si="1"/>
        <v>0</v>
      </c>
    </row>
    <row r="286">
      <c r="A286" s="37"/>
      <c r="B286" s="37"/>
      <c r="C286" s="37"/>
      <c r="D286" s="37"/>
      <c r="E286" s="37"/>
      <c r="F286" s="37"/>
      <c r="G286" s="37"/>
      <c r="V286" s="37">
        <f t="shared" si="1"/>
        <v>0</v>
      </c>
    </row>
    <row r="287">
      <c r="A287" s="37"/>
      <c r="B287" s="37"/>
      <c r="C287" s="37"/>
      <c r="D287" s="37"/>
      <c r="E287" s="37"/>
      <c r="F287" s="37"/>
      <c r="G287" s="37"/>
      <c r="V287" s="37">
        <f t="shared" si="1"/>
        <v>0</v>
      </c>
    </row>
    <row r="288">
      <c r="A288" s="37"/>
      <c r="B288" s="37"/>
      <c r="C288" s="37"/>
      <c r="D288" s="37"/>
      <c r="E288" s="37"/>
      <c r="F288" s="37"/>
      <c r="G288" s="37"/>
      <c r="V288" s="37">
        <f t="shared" si="1"/>
        <v>0</v>
      </c>
    </row>
    <row r="289">
      <c r="A289" s="37"/>
      <c r="B289" s="37"/>
      <c r="C289" s="37"/>
      <c r="D289" s="37"/>
      <c r="E289" s="37"/>
      <c r="F289" s="37"/>
      <c r="G289" s="37"/>
      <c r="V289" s="37">
        <f t="shared" si="1"/>
        <v>0</v>
      </c>
    </row>
    <row r="290">
      <c r="A290" s="37"/>
      <c r="B290" s="37"/>
      <c r="C290" s="37"/>
      <c r="D290" s="37"/>
      <c r="E290" s="37"/>
      <c r="F290" s="37"/>
      <c r="G290" s="37"/>
      <c r="V290" s="37">
        <f t="shared" si="1"/>
        <v>0</v>
      </c>
    </row>
    <row r="291">
      <c r="A291" s="37"/>
      <c r="B291" s="37"/>
      <c r="C291" s="37"/>
      <c r="D291" s="37"/>
      <c r="E291" s="37"/>
      <c r="F291" s="37"/>
      <c r="G291" s="37"/>
      <c r="V291" s="37">
        <f t="shared" si="1"/>
        <v>0</v>
      </c>
    </row>
    <row r="292">
      <c r="A292" s="37"/>
      <c r="B292" s="37"/>
      <c r="C292" s="37"/>
      <c r="D292" s="37"/>
      <c r="E292" s="37"/>
      <c r="F292" s="37"/>
      <c r="G292" s="37"/>
      <c r="V292" s="37">
        <f t="shared" si="1"/>
        <v>0</v>
      </c>
    </row>
    <row r="293">
      <c r="A293" s="37"/>
      <c r="B293" s="37"/>
      <c r="C293" s="37"/>
      <c r="D293" s="37"/>
      <c r="E293" s="37"/>
      <c r="F293" s="37"/>
      <c r="G293" s="37"/>
      <c r="V293" s="37">
        <f t="shared" si="1"/>
        <v>0</v>
      </c>
    </row>
    <row r="294">
      <c r="A294" s="37"/>
      <c r="B294" s="37"/>
      <c r="C294" s="37"/>
      <c r="D294" s="37"/>
      <c r="E294" s="37"/>
      <c r="F294" s="37"/>
      <c r="G294" s="37"/>
      <c r="V294" s="37">
        <f t="shared" si="1"/>
        <v>0</v>
      </c>
    </row>
    <row r="295">
      <c r="A295" s="37"/>
      <c r="B295" s="37"/>
      <c r="C295" s="37"/>
      <c r="D295" s="37"/>
      <c r="E295" s="37"/>
      <c r="F295" s="37"/>
      <c r="G295" s="37"/>
      <c r="V295" s="37">
        <f t="shared" si="1"/>
        <v>0</v>
      </c>
    </row>
    <row r="296">
      <c r="A296" s="37"/>
      <c r="B296" s="37"/>
      <c r="C296" s="37"/>
      <c r="D296" s="37"/>
      <c r="E296" s="37"/>
      <c r="F296" s="37"/>
      <c r="G296" s="37"/>
      <c r="V296" s="37">
        <f t="shared" si="1"/>
        <v>0</v>
      </c>
    </row>
    <row r="297">
      <c r="A297" s="37"/>
      <c r="B297" s="37"/>
      <c r="C297" s="37"/>
      <c r="D297" s="37"/>
      <c r="E297" s="37"/>
      <c r="F297" s="37"/>
      <c r="G297" s="37"/>
      <c r="V297" s="37">
        <f t="shared" si="1"/>
        <v>0</v>
      </c>
    </row>
    <row r="298">
      <c r="A298" s="37"/>
      <c r="B298" s="37"/>
      <c r="C298" s="37"/>
      <c r="D298" s="37"/>
      <c r="E298" s="37"/>
      <c r="F298" s="37"/>
      <c r="G298" s="37"/>
      <c r="V298" s="37">
        <f t="shared" si="1"/>
        <v>0</v>
      </c>
    </row>
    <row r="299">
      <c r="A299" s="37"/>
      <c r="B299" s="37"/>
      <c r="C299" s="37"/>
      <c r="D299" s="37"/>
      <c r="E299" s="37"/>
      <c r="F299" s="37"/>
      <c r="G299" s="37"/>
      <c r="V299" s="37">
        <f t="shared" si="1"/>
        <v>0</v>
      </c>
    </row>
    <row r="300">
      <c r="A300" s="37"/>
      <c r="B300" s="37"/>
      <c r="C300" s="37"/>
      <c r="D300" s="37"/>
      <c r="E300" s="37"/>
      <c r="F300" s="37"/>
      <c r="G300" s="37"/>
      <c r="V300" s="37">
        <f t="shared" si="1"/>
        <v>0</v>
      </c>
    </row>
    <row r="301">
      <c r="A301" s="37"/>
      <c r="B301" s="37"/>
      <c r="C301" s="37"/>
      <c r="D301" s="37"/>
      <c r="E301" s="37"/>
      <c r="F301" s="37"/>
      <c r="G301" s="37"/>
      <c r="V301" s="37">
        <f t="shared" si="1"/>
        <v>0</v>
      </c>
    </row>
    <row r="302">
      <c r="A302" s="37"/>
      <c r="B302" s="37"/>
      <c r="C302" s="37"/>
      <c r="D302" s="37"/>
      <c r="E302" s="37"/>
      <c r="F302" s="37"/>
      <c r="G302" s="37"/>
      <c r="V302" s="37">
        <f t="shared" si="1"/>
        <v>0</v>
      </c>
    </row>
    <row r="303">
      <c r="A303" s="37"/>
      <c r="B303" s="37"/>
      <c r="C303" s="37"/>
      <c r="D303" s="37"/>
      <c r="E303" s="37"/>
      <c r="F303" s="37"/>
      <c r="G303" s="37"/>
      <c r="V303" s="37">
        <f t="shared" si="1"/>
        <v>0</v>
      </c>
    </row>
    <row r="304">
      <c r="A304" s="37"/>
      <c r="B304" s="37"/>
      <c r="C304" s="37"/>
      <c r="D304" s="37"/>
      <c r="E304" s="37"/>
      <c r="F304" s="37"/>
      <c r="G304" s="37"/>
      <c r="V304" s="37">
        <f t="shared" si="1"/>
        <v>0</v>
      </c>
    </row>
    <row r="305">
      <c r="A305" s="37"/>
      <c r="B305" s="37"/>
      <c r="C305" s="37"/>
      <c r="D305" s="37"/>
      <c r="E305" s="37"/>
      <c r="F305" s="37"/>
      <c r="G305" s="37"/>
      <c r="V305" s="37">
        <f t="shared" si="1"/>
        <v>0</v>
      </c>
    </row>
    <row r="306">
      <c r="A306" s="37"/>
      <c r="B306" s="37"/>
      <c r="C306" s="37"/>
      <c r="D306" s="37"/>
      <c r="E306" s="37"/>
      <c r="F306" s="37"/>
      <c r="G306" s="37"/>
      <c r="V306" s="37">
        <f t="shared" si="1"/>
        <v>0</v>
      </c>
    </row>
    <row r="307">
      <c r="A307" s="37"/>
      <c r="B307" s="37"/>
      <c r="C307" s="37"/>
      <c r="D307" s="37"/>
      <c r="E307" s="37"/>
      <c r="F307" s="37"/>
      <c r="G307" s="37"/>
      <c r="V307" s="37">
        <f t="shared" si="1"/>
        <v>0</v>
      </c>
    </row>
    <row r="308">
      <c r="A308" s="37"/>
      <c r="B308" s="37"/>
      <c r="C308" s="37"/>
      <c r="D308" s="37"/>
      <c r="E308" s="37"/>
      <c r="F308" s="37"/>
      <c r="G308" s="37"/>
      <c r="V308" s="37">
        <f t="shared" si="1"/>
        <v>0</v>
      </c>
    </row>
    <row r="309">
      <c r="A309" s="37"/>
      <c r="B309" s="37"/>
      <c r="C309" s="37"/>
      <c r="D309" s="37"/>
      <c r="E309" s="37"/>
      <c r="F309" s="37"/>
      <c r="G309" s="37"/>
      <c r="V309" s="37">
        <f t="shared" si="1"/>
        <v>0</v>
      </c>
    </row>
    <row r="310">
      <c r="A310" s="37"/>
      <c r="B310" s="37"/>
      <c r="C310" s="37"/>
      <c r="D310" s="37"/>
      <c r="E310" s="37"/>
      <c r="F310" s="37"/>
      <c r="G310" s="37"/>
      <c r="V310" s="37">
        <f t="shared" si="1"/>
        <v>0</v>
      </c>
    </row>
    <row r="311">
      <c r="A311" s="37"/>
      <c r="B311" s="37"/>
      <c r="C311" s="37"/>
      <c r="D311" s="37"/>
      <c r="E311" s="37"/>
      <c r="F311" s="37"/>
      <c r="G311" s="37"/>
      <c r="V311" s="37">
        <f t="shared" si="1"/>
        <v>0</v>
      </c>
    </row>
    <row r="312">
      <c r="A312" s="37"/>
      <c r="B312" s="37"/>
      <c r="C312" s="37"/>
      <c r="D312" s="37"/>
      <c r="E312" s="37"/>
      <c r="F312" s="37"/>
      <c r="G312" s="37"/>
      <c r="V312" s="37">
        <f t="shared" si="1"/>
        <v>0</v>
      </c>
    </row>
    <row r="313">
      <c r="A313" s="37"/>
      <c r="B313" s="37"/>
      <c r="C313" s="37"/>
      <c r="D313" s="37"/>
      <c r="E313" s="37"/>
      <c r="F313" s="37"/>
      <c r="G313" s="37"/>
      <c r="V313" s="37">
        <f t="shared" si="1"/>
        <v>0</v>
      </c>
    </row>
    <row r="314">
      <c r="A314" s="37"/>
      <c r="B314" s="37"/>
      <c r="C314" s="37"/>
      <c r="D314" s="37"/>
      <c r="E314" s="37"/>
      <c r="F314" s="37"/>
      <c r="G314" s="37"/>
      <c r="V314" s="37">
        <f t="shared" si="1"/>
        <v>0</v>
      </c>
    </row>
    <row r="315">
      <c r="A315" s="37"/>
      <c r="B315" s="37"/>
      <c r="C315" s="37"/>
      <c r="D315" s="37"/>
      <c r="E315" s="37"/>
      <c r="F315" s="37"/>
      <c r="G315" s="37"/>
      <c r="V315" s="37">
        <f t="shared" si="1"/>
        <v>0</v>
      </c>
    </row>
    <row r="316">
      <c r="A316" s="37"/>
      <c r="B316" s="37"/>
      <c r="C316" s="37"/>
      <c r="D316" s="37"/>
      <c r="E316" s="37"/>
      <c r="F316" s="37"/>
      <c r="G316" s="37"/>
      <c r="V316" s="37">
        <f t="shared" si="1"/>
        <v>0</v>
      </c>
    </row>
    <row r="317">
      <c r="A317" s="37"/>
      <c r="B317" s="37"/>
      <c r="C317" s="37"/>
      <c r="D317" s="37"/>
      <c r="E317" s="37"/>
      <c r="F317" s="37"/>
      <c r="G317" s="37"/>
      <c r="V317" s="37">
        <f t="shared" si="1"/>
        <v>0</v>
      </c>
    </row>
    <row r="318">
      <c r="A318" s="37"/>
      <c r="B318" s="37"/>
      <c r="C318" s="37"/>
      <c r="D318" s="37"/>
      <c r="E318" s="37"/>
      <c r="F318" s="37"/>
      <c r="G318" s="37"/>
      <c r="V318" s="37">
        <f t="shared" si="1"/>
        <v>0</v>
      </c>
    </row>
    <row r="319">
      <c r="A319" s="37"/>
      <c r="B319" s="37"/>
      <c r="C319" s="37"/>
      <c r="D319" s="37"/>
      <c r="E319" s="37"/>
      <c r="F319" s="37"/>
      <c r="G319" s="37"/>
      <c r="V319" s="37">
        <f t="shared" si="1"/>
        <v>0</v>
      </c>
    </row>
    <row r="320">
      <c r="A320" s="37"/>
      <c r="B320" s="37"/>
      <c r="C320" s="37"/>
      <c r="D320" s="37"/>
      <c r="E320" s="37"/>
      <c r="F320" s="37"/>
      <c r="G320" s="37"/>
      <c r="V320" s="37">
        <f t="shared" si="1"/>
        <v>0</v>
      </c>
    </row>
    <row r="321">
      <c r="A321" s="37"/>
      <c r="B321" s="37"/>
      <c r="C321" s="37"/>
      <c r="D321" s="37"/>
      <c r="E321" s="37"/>
      <c r="F321" s="37"/>
      <c r="G321" s="37"/>
      <c r="V321" s="37">
        <f t="shared" si="1"/>
        <v>0</v>
      </c>
    </row>
    <row r="322">
      <c r="A322" s="37"/>
      <c r="B322" s="37"/>
      <c r="C322" s="37"/>
      <c r="D322" s="37"/>
      <c r="E322" s="37"/>
      <c r="F322" s="37"/>
      <c r="G322" s="37"/>
      <c r="V322" s="37">
        <f t="shared" si="1"/>
        <v>0</v>
      </c>
    </row>
    <row r="323">
      <c r="A323" s="37"/>
      <c r="B323" s="37"/>
      <c r="C323" s="37"/>
      <c r="D323" s="37"/>
      <c r="E323" s="37"/>
      <c r="F323" s="37"/>
      <c r="G323" s="37"/>
      <c r="V323" s="37">
        <f t="shared" si="1"/>
        <v>0</v>
      </c>
    </row>
    <row r="324">
      <c r="A324" s="37"/>
      <c r="B324" s="37"/>
      <c r="C324" s="37"/>
      <c r="D324" s="37"/>
      <c r="E324" s="37"/>
      <c r="F324" s="37"/>
      <c r="G324" s="37"/>
      <c r="V324" s="37">
        <f t="shared" si="1"/>
        <v>0</v>
      </c>
    </row>
    <row r="325">
      <c r="A325" s="37"/>
      <c r="B325" s="37"/>
      <c r="C325" s="37"/>
      <c r="D325" s="37"/>
      <c r="E325" s="37"/>
      <c r="F325" s="37"/>
      <c r="G325" s="37"/>
      <c r="V325" s="37">
        <f t="shared" si="1"/>
        <v>0</v>
      </c>
    </row>
    <row r="326">
      <c r="A326" s="37"/>
      <c r="B326" s="37"/>
      <c r="C326" s="37"/>
      <c r="D326" s="37"/>
      <c r="E326" s="37"/>
      <c r="F326" s="37"/>
      <c r="G326" s="37"/>
      <c r="V326" s="37">
        <f t="shared" si="1"/>
        <v>0</v>
      </c>
    </row>
    <row r="327">
      <c r="A327" s="37"/>
      <c r="B327" s="37"/>
      <c r="C327" s="37"/>
      <c r="D327" s="37"/>
      <c r="E327" s="37"/>
      <c r="F327" s="37"/>
      <c r="G327" s="37"/>
      <c r="V327" s="37">
        <f t="shared" si="1"/>
        <v>0</v>
      </c>
    </row>
    <row r="328">
      <c r="A328" s="37"/>
      <c r="B328" s="37"/>
      <c r="C328" s="37"/>
      <c r="D328" s="37"/>
      <c r="E328" s="37"/>
      <c r="F328" s="37"/>
      <c r="G328" s="37"/>
      <c r="V328" s="37">
        <f t="shared" si="1"/>
        <v>0</v>
      </c>
    </row>
    <row r="329">
      <c r="A329" s="37"/>
      <c r="B329" s="37"/>
      <c r="C329" s="37"/>
      <c r="D329" s="37"/>
      <c r="E329" s="37"/>
      <c r="F329" s="37"/>
      <c r="G329" s="37"/>
      <c r="V329" s="37">
        <f t="shared" si="1"/>
        <v>0</v>
      </c>
    </row>
    <row r="330">
      <c r="A330" s="37"/>
      <c r="B330" s="37"/>
      <c r="C330" s="37"/>
      <c r="D330" s="37"/>
      <c r="E330" s="37"/>
      <c r="F330" s="37"/>
      <c r="G330" s="37"/>
      <c r="V330" s="37">
        <f t="shared" si="1"/>
        <v>0</v>
      </c>
    </row>
    <row r="331">
      <c r="A331" s="37"/>
      <c r="B331" s="37"/>
      <c r="C331" s="37"/>
      <c r="D331" s="37"/>
      <c r="E331" s="37"/>
      <c r="F331" s="37"/>
      <c r="G331" s="37"/>
      <c r="V331" s="37">
        <f t="shared" si="1"/>
        <v>0</v>
      </c>
    </row>
    <row r="332">
      <c r="A332" s="37"/>
      <c r="B332" s="37"/>
      <c r="C332" s="37"/>
      <c r="D332" s="37"/>
      <c r="E332" s="37"/>
      <c r="F332" s="37"/>
      <c r="G332" s="37"/>
      <c r="V332" s="37">
        <f t="shared" si="1"/>
        <v>0</v>
      </c>
    </row>
    <row r="333">
      <c r="A333" s="37"/>
      <c r="B333" s="37"/>
      <c r="C333" s="37"/>
      <c r="D333" s="37"/>
      <c r="E333" s="37"/>
      <c r="F333" s="37"/>
      <c r="G333" s="37"/>
      <c r="V333" s="37">
        <f t="shared" si="1"/>
        <v>0</v>
      </c>
    </row>
    <row r="334">
      <c r="A334" s="37"/>
      <c r="B334" s="37"/>
      <c r="C334" s="37"/>
      <c r="D334" s="37"/>
      <c r="E334" s="37"/>
      <c r="F334" s="37"/>
      <c r="G334" s="37"/>
      <c r="V334" s="37">
        <f t="shared" si="1"/>
        <v>0</v>
      </c>
    </row>
    <row r="335">
      <c r="A335" s="37"/>
      <c r="B335" s="37"/>
      <c r="C335" s="37"/>
      <c r="D335" s="37"/>
      <c r="E335" s="37"/>
      <c r="F335" s="37"/>
      <c r="G335" s="37"/>
      <c r="V335" s="37">
        <f t="shared" si="1"/>
        <v>0</v>
      </c>
    </row>
    <row r="336">
      <c r="A336" s="37"/>
      <c r="B336" s="37"/>
      <c r="C336" s="37"/>
      <c r="D336" s="37"/>
      <c r="E336" s="37"/>
      <c r="F336" s="37"/>
      <c r="G336" s="37"/>
      <c r="V336" s="37">
        <f t="shared" si="1"/>
        <v>0</v>
      </c>
    </row>
    <row r="337">
      <c r="A337" s="37"/>
      <c r="B337" s="37"/>
      <c r="C337" s="37"/>
      <c r="D337" s="37"/>
      <c r="E337" s="37"/>
      <c r="F337" s="37"/>
      <c r="G337" s="37"/>
      <c r="V337" s="37">
        <f t="shared" si="1"/>
        <v>0</v>
      </c>
    </row>
    <row r="338">
      <c r="A338" s="37"/>
      <c r="B338" s="37"/>
      <c r="C338" s="37"/>
      <c r="D338" s="37"/>
      <c r="E338" s="37"/>
      <c r="F338" s="37"/>
      <c r="G338" s="37"/>
      <c r="V338" s="37">
        <f t="shared" si="1"/>
        <v>0</v>
      </c>
    </row>
    <row r="339">
      <c r="A339" s="37"/>
      <c r="B339" s="37"/>
      <c r="C339" s="37"/>
      <c r="D339" s="37"/>
      <c r="E339" s="37"/>
      <c r="F339" s="37"/>
      <c r="G339" s="37"/>
      <c r="V339" s="37">
        <f t="shared" si="1"/>
        <v>0</v>
      </c>
    </row>
    <row r="340">
      <c r="A340" s="37"/>
      <c r="B340" s="37"/>
      <c r="C340" s="37"/>
      <c r="D340" s="37"/>
      <c r="E340" s="37"/>
      <c r="F340" s="37"/>
      <c r="G340" s="37"/>
      <c r="V340" s="37">
        <f t="shared" si="1"/>
        <v>0</v>
      </c>
    </row>
    <row r="341">
      <c r="A341" s="37"/>
      <c r="B341" s="37"/>
      <c r="C341" s="37"/>
      <c r="D341" s="37"/>
      <c r="E341" s="37"/>
      <c r="F341" s="37"/>
      <c r="G341" s="37"/>
      <c r="V341" s="37">
        <f t="shared" si="1"/>
        <v>0</v>
      </c>
    </row>
    <row r="342">
      <c r="A342" s="37"/>
      <c r="B342" s="37"/>
      <c r="C342" s="37"/>
      <c r="D342" s="37"/>
      <c r="E342" s="37"/>
      <c r="F342" s="37"/>
      <c r="G342" s="37"/>
      <c r="V342" s="37">
        <f t="shared" si="1"/>
        <v>0</v>
      </c>
    </row>
    <row r="343">
      <c r="A343" s="37"/>
      <c r="B343" s="37"/>
      <c r="C343" s="37"/>
      <c r="D343" s="37"/>
      <c r="E343" s="37"/>
      <c r="F343" s="37"/>
      <c r="G343" s="37"/>
      <c r="V343" s="37">
        <f t="shared" si="1"/>
        <v>0</v>
      </c>
    </row>
    <row r="344">
      <c r="A344" s="37"/>
      <c r="B344" s="37"/>
      <c r="C344" s="37"/>
      <c r="D344" s="37"/>
      <c r="E344" s="37"/>
      <c r="F344" s="37"/>
      <c r="G344" s="37"/>
      <c r="V344" s="37">
        <f t="shared" si="1"/>
        <v>0</v>
      </c>
    </row>
    <row r="345">
      <c r="A345" s="37"/>
      <c r="B345" s="37"/>
      <c r="C345" s="37"/>
      <c r="D345" s="37"/>
      <c r="E345" s="37"/>
      <c r="F345" s="37"/>
      <c r="G345" s="37"/>
      <c r="V345" s="37">
        <f t="shared" si="1"/>
        <v>0</v>
      </c>
    </row>
    <row r="346">
      <c r="A346" s="37"/>
      <c r="B346" s="37"/>
      <c r="C346" s="37"/>
      <c r="D346" s="37"/>
      <c r="E346" s="37"/>
      <c r="F346" s="37"/>
      <c r="G346" s="37"/>
      <c r="V346" s="37">
        <f t="shared" si="1"/>
        <v>0</v>
      </c>
    </row>
    <row r="347">
      <c r="A347" s="37"/>
      <c r="B347" s="37"/>
      <c r="C347" s="37"/>
      <c r="D347" s="37"/>
      <c r="E347" s="37"/>
      <c r="F347" s="37"/>
      <c r="G347" s="37"/>
      <c r="V347" s="37">
        <f t="shared" si="1"/>
        <v>0</v>
      </c>
    </row>
    <row r="348">
      <c r="A348" s="37"/>
      <c r="B348" s="37"/>
      <c r="C348" s="37"/>
      <c r="D348" s="37"/>
      <c r="E348" s="37"/>
      <c r="F348" s="37"/>
      <c r="G348" s="37"/>
      <c r="V348" s="37">
        <f t="shared" si="1"/>
        <v>0</v>
      </c>
    </row>
    <row r="349">
      <c r="A349" s="37"/>
      <c r="B349" s="37"/>
      <c r="C349" s="37"/>
      <c r="D349" s="37"/>
      <c r="E349" s="37"/>
      <c r="F349" s="37"/>
      <c r="G349" s="37"/>
      <c r="V349" s="37">
        <f t="shared" si="1"/>
        <v>0</v>
      </c>
    </row>
    <row r="350">
      <c r="A350" s="37"/>
      <c r="B350" s="37"/>
      <c r="C350" s="37"/>
      <c r="D350" s="37"/>
      <c r="E350" s="37"/>
      <c r="F350" s="37"/>
      <c r="G350" s="37"/>
      <c r="V350" s="37">
        <f t="shared" si="1"/>
        <v>0</v>
      </c>
    </row>
    <row r="351">
      <c r="A351" s="37"/>
      <c r="B351" s="37"/>
      <c r="C351" s="37"/>
      <c r="D351" s="37"/>
      <c r="E351" s="37"/>
      <c r="F351" s="37"/>
      <c r="G351" s="37"/>
      <c r="V351" s="37">
        <f t="shared" si="1"/>
        <v>0</v>
      </c>
    </row>
    <row r="352">
      <c r="A352" s="37"/>
      <c r="B352" s="37"/>
      <c r="C352" s="37"/>
      <c r="D352" s="37"/>
      <c r="E352" s="37"/>
      <c r="F352" s="37"/>
      <c r="G352" s="37"/>
      <c r="V352" s="37">
        <f t="shared" si="1"/>
        <v>0</v>
      </c>
    </row>
    <row r="353">
      <c r="A353" s="37"/>
      <c r="B353" s="37"/>
      <c r="C353" s="37"/>
      <c r="D353" s="37"/>
      <c r="E353" s="37"/>
      <c r="F353" s="37"/>
      <c r="G353" s="37"/>
      <c r="V353" s="37">
        <f t="shared" si="1"/>
        <v>0</v>
      </c>
    </row>
    <row r="354">
      <c r="A354" s="37"/>
      <c r="B354" s="37"/>
      <c r="C354" s="37"/>
      <c r="D354" s="37"/>
      <c r="E354" s="37"/>
      <c r="F354" s="37"/>
      <c r="G354" s="37"/>
      <c r="V354" s="37">
        <f t="shared" si="1"/>
        <v>0</v>
      </c>
    </row>
    <row r="355">
      <c r="A355" s="37"/>
      <c r="B355" s="37"/>
      <c r="C355" s="37"/>
      <c r="D355" s="37"/>
      <c r="E355" s="37"/>
      <c r="F355" s="37"/>
      <c r="G355" s="37"/>
      <c r="V355" s="37">
        <f t="shared" si="1"/>
        <v>0</v>
      </c>
    </row>
    <row r="356">
      <c r="A356" s="37"/>
      <c r="B356" s="37"/>
      <c r="C356" s="37"/>
      <c r="D356" s="37"/>
      <c r="E356" s="37"/>
      <c r="F356" s="37"/>
      <c r="G356" s="37"/>
      <c r="V356" s="37">
        <f t="shared" si="1"/>
        <v>0</v>
      </c>
    </row>
    <row r="357">
      <c r="A357" s="37"/>
      <c r="B357" s="37"/>
      <c r="C357" s="37"/>
      <c r="D357" s="37"/>
      <c r="E357" s="37"/>
      <c r="F357" s="37"/>
      <c r="G357" s="37"/>
      <c r="V357" s="37">
        <f t="shared" si="1"/>
        <v>0</v>
      </c>
    </row>
    <row r="358">
      <c r="A358" s="37"/>
      <c r="B358" s="37"/>
      <c r="C358" s="37"/>
      <c r="D358" s="37"/>
      <c r="E358" s="37"/>
      <c r="F358" s="37"/>
      <c r="G358" s="37"/>
      <c r="V358" s="37">
        <f t="shared" si="1"/>
        <v>0</v>
      </c>
    </row>
    <row r="359">
      <c r="A359" s="37"/>
      <c r="B359" s="37"/>
      <c r="C359" s="37"/>
      <c r="D359" s="37"/>
      <c r="E359" s="37"/>
      <c r="F359" s="37"/>
      <c r="G359" s="37"/>
      <c r="V359" s="37">
        <f t="shared" si="1"/>
        <v>0</v>
      </c>
    </row>
    <row r="360">
      <c r="A360" s="37"/>
      <c r="B360" s="37"/>
      <c r="C360" s="37"/>
      <c r="D360" s="37"/>
      <c r="E360" s="37"/>
      <c r="F360" s="37"/>
      <c r="G360" s="37"/>
      <c r="V360" s="37">
        <f t="shared" si="1"/>
        <v>0</v>
      </c>
    </row>
    <row r="361">
      <c r="A361" s="37"/>
      <c r="B361" s="37"/>
      <c r="C361" s="37"/>
      <c r="D361" s="37"/>
      <c r="E361" s="37"/>
      <c r="F361" s="37"/>
      <c r="G361" s="37"/>
      <c r="V361" s="37">
        <f t="shared" si="1"/>
        <v>0</v>
      </c>
    </row>
    <row r="362">
      <c r="A362" s="37"/>
      <c r="B362" s="37"/>
      <c r="C362" s="37"/>
      <c r="D362" s="37"/>
      <c r="E362" s="37"/>
      <c r="F362" s="37"/>
      <c r="G362" s="37"/>
      <c r="V362" s="37">
        <f t="shared" si="1"/>
        <v>0</v>
      </c>
    </row>
    <row r="363">
      <c r="A363" s="37"/>
      <c r="B363" s="37"/>
      <c r="C363" s="37"/>
      <c r="D363" s="37"/>
      <c r="E363" s="37"/>
      <c r="F363" s="37"/>
      <c r="G363" s="37"/>
      <c r="V363" s="37">
        <f t="shared" si="1"/>
        <v>0</v>
      </c>
    </row>
    <row r="364">
      <c r="A364" s="37"/>
      <c r="B364" s="37"/>
      <c r="C364" s="37"/>
      <c r="D364" s="37"/>
      <c r="E364" s="37"/>
      <c r="F364" s="37"/>
      <c r="G364" s="37"/>
      <c r="V364" s="37">
        <f t="shared" si="1"/>
        <v>0</v>
      </c>
    </row>
    <row r="365">
      <c r="A365" s="37"/>
      <c r="B365" s="37"/>
      <c r="C365" s="37"/>
      <c r="D365" s="37"/>
      <c r="E365" s="37"/>
      <c r="F365" s="37"/>
      <c r="G365" s="37"/>
      <c r="V365" s="37">
        <f t="shared" si="1"/>
        <v>0</v>
      </c>
    </row>
    <row r="366">
      <c r="A366" s="37"/>
      <c r="B366" s="37"/>
      <c r="C366" s="37"/>
      <c r="D366" s="37"/>
      <c r="E366" s="37"/>
      <c r="F366" s="37"/>
      <c r="G366" s="37"/>
      <c r="V366" s="37">
        <f t="shared" si="1"/>
        <v>0</v>
      </c>
    </row>
    <row r="367">
      <c r="A367" s="37"/>
      <c r="B367" s="37"/>
      <c r="C367" s="37"/>
      <c r="D367" s="37"/>
      <c r="E367" s="37"/>
      <c r="F367" s="37"/>
      <c r="G367" s="37"/>
      <c r="V367" s="37">
        <f t="shared" si="1"/>
        <v>0</v>
      </c>
    </row>
    <row r="368">
      <c r="A368" s="37"/>
      <c r="B368" s="37"/>
      <c r="C368" s="37"/>
      <c r="D368" s="37"/>
      <c r="E368" s="37"/>
      <c r="F368" s="37"/>
      <c r="G368" s="37"/>
      <c r="V368" s="37">
        <f t="shared" si="1"/>
        <v>0</v>
      </c>
    </row>
    <row r="369">
      <c r="A369" s="37"/>
      <c r="B369" s="37"/>
      <c r="C369" s="37"/>
      <c r="D369" s="37"/>
      <c r="E369" s="37"/>
      <c r="F369" s="37"/>
      <c r="G369" s="37"/>
      <c r="V369" s="37">
        <f t="shared" si="1"/>
        <v>0</v>
      </c>
    </row>
    <row r="370">
      <c r="A370" s="37"/>
      <c r="B370" s="37"/>
      <c r="C370" s="37"/>
      <c r="D370" s="37"/>
      <c r="E370" s="37"/>
      <c r="F370" s="37"/>
      <c r="G370" s="37"/>
      <c r="V370" s="37">
        <f t="shared" si="1"/>
        <v>0</v>
      </c>
    </row>
    <row r="371">
      <c r="A371" s="37"/>
      <c r="B371" s="37"/>
      <c r="C371" s="37"/>
      <c r="D371" s="37"/>
      <c r="E371" s="37"/>
      <c r="F371" s="37"/>
      <c r="G371" s="37"/>
      <c r="V371" s="37">
        <f t="shared" si="1"/>
        <v>0</v>
      </c>
    </row>
    <row r="372">
      <c r="A372" s="37"/>
      <c r="B372" s="37"/>
      <c r="C372" s="37"/>
      <c r="D372" s="37"/>
      <c r="E372" s="37"/>
      <c r="F372" s="37"/>
      <c r="G372" s="37"/>
      <c r="V372" s="37">
        <f t="shared" si="1"/>
        <v>0</v>
      </c>
    </row>
    <row r="373">
      <c r="A373" s="37"/>
      <c r="B373" s="37"/>
      <c r="C373" s="37"/>
      <c r="D373" s="37"/>
      <c r="E373" s="37"/>
      <c r="F373" s="37"/>
      <c r="G373" s="37"/>
      <c r="V373" s="37">
        <f t="shared" si="1"/>
        <v>0</v>
      </c>
    </row>
    <row r="374">
      <c r="A374" s="37"/>
      <c r="B374" s="37"/>
      <c r="C374" s="37"/>
      <c r="D374" s="37"/>
      <c r="E374" s="37"/>
      <c r="F374" s="37"/>
      <c r="G374" s="37"/>
      <c r="V374" s="37">
        <f t="shared" si="1"/>
        <v>0</v>
      </c>
    </row>
    <row r="375">
      <c r="A375" s="37"/>
      <c r="B375" s="37"/>
      <c r="C375" s="37"/>
      <c r="D375" s="37"/>
      <c r="E375" s="37"/>
      <c r="F375" s="37"/>
      <c r="G375" s="37"/>
      <c r="V375" s="37">
        <f t="shared" si="1"/>
        <v>0</v>
      </c>
    </row>
    <row r="376">
      <c r="A376" s="37"/>
      <c r="B376" s="37"/>
      <c r="C376" s="37"/>
      <c r="D376" s="37"/>
      <c r="E376" s="37"/>
      <c r="F376" s="37"/>
      <c r="G376" s="37"/>
      <c r="V376" s="37">
        <f t="shared" si="1"/>
        <v>0</v>
      </c>
    </row>
    <row r="377">
      <c r="A377" s="37"/>
      <c r="B377" s="37"/>
      <c r="C377" s="37"/>
      <c r="D377" s="37"/>
      <c r="E377" s="37"/>
      <c r="F377" s="37"/>
      <c r="G377" s="37"/>
      <c r="V377" s="37">
        <f t="shared" si="1"/>
        <v>0</v>
      </c>
    </row>
    <row r="378">
      <c r="A378" s="37"/>
      <c r="B378" s="37"/>
      <c r="C378" s="37"/>
      <c r="D378" s="37"/>
      <c r="E378" s="37"/>
      <c r="F378" s="37"/>
      <c r="G378" s="37"/>
      <c r="V378" s="37">
        <f t="shared" si="1"/>
        <v>0</v>
      </c>
    </row>
    <row r="379">
      <c r="A379" s="37"/>
      <c r="B379" s="37"/>
      <c r="C379" s="37"/>
      <c r="D379" s="37"/>
      <c r="E379" s="37"/>
      <c r="F379" s="37"/>
      <c r="G379" s="37"/>
      <c r="V379" s="37">
        <f t="shared" si="1"/>
        <v>0</v>
      </c>
    </row>
    <row r="380">
      <c r="A380" s="37"/>
      <c r="B380" s="37"/>
      <c r="C380" s="37"/>
      <c r="D380" s="37"/>
      <c r="E380" s="37"/>
      <c r="F380" s="37"/>
      <c r="G380" s="37"/>
      <c r="V380" s="37">
        <f t="shared" si="1"/>
        <v>0</v>
      </c>
    </row>
    <row r="381">
      <c r="A381" s="37"/>
      <c r="B381" s="37"/>
      <c r="C381" s="37"/>
      <c r="D381" s="37"/>
      <c r="E381" s="37"/>
      <c r="F381" s="37"/>
      <c r="G381" s="37"/>
      <c r="V381" s="37">
        <f t="shared" si="1"/>
        <v>0</v>
      </c>
    </row>
    <row r="382">
      <c r="A382" s="37"/>
      <c r="B382" s="37"/>
      <c r="C382" s="37"/>
      <c r="D382" s="37"/>
      <c r="E382" s="37"/>
      <c r="F382" s="37"/>
      <c r="G382" s="37"/>
      <c r="V382" s="37">
        <f t="shared" si="1"/>
        <v>0</v>
      </c>
    </row>
    <row r="383">
      <c r="A383" s="37"/>
      <c r="B383" s="37"/>
      <c r="C383" s="37"/>
      <c r="D383" s="37"/>
      <c r="E383" s="37"/>
      <c r="F383" s="37"/>
      <c r="G383" s="37"/>
      <c r="V383" s="37">
        <f t="shared" si="1"/>
        <v>0</v>
      </c>
    </row>
    <row r="384">
      <c r="A384" s="37"/>
      <c r="B384" s="37"/>
      <c r="C384" s="37"/>
      <c r="D384" s="37"/>
      <c r="E384" s="37"/>
      <c r="F384" s="37"/>
      <c r="G384" s="37"/>
      <c r="V384" s="37">
        <f t="shared" si="1"/>
        <v>0</v>
      </c>
    </row>
    <row r="385">
      <c r="A385" s="37"/>
      <c r="B385" s="37"/>
      <c r="C385" s="37"/>
      <c r="D385" s="37"/>
      <c r="E385" s="37"/>
      <c r="F385" s="37"/>
      <c r="G385" s="37"/>
      <c r="V385" s="37">
        <f t="shared" si="1"/>
        <v>0</v>
      </c>
    </row>
    <row r="386">
      <c r="A386" s="37"/>
      <c r="B386" s="37"/>
      <c r="C386" s="37"/>
      <c r="D386" s="37"/>
      <c r="E386" s="37"/>
      <c r="F386" s="37"/>
      <c r="G386" s="37"/>
      <c r="V386" s="37">
        <f t="shared" si="1"/>
        <v>0</v>
      </c>
    </row>
    <row r="387">
      <c r="A387" s="37"/>
      <c r="B387" s="37"/>
      <c r="C387" s="37"/>
      <c r="D387" s="37"/>
      <c r="E387" s="37"/>
      <c r="F387" s="37"/>
      <c r="G387" s="37"/>
      <c r="V387" s="37">
        <f t="shared" si="1"/>
        <v>0</v>
      </c>
    </row>
    <row r="388">
      <c r="A388" s="37"/>
      <c r="B388" s="37"/>
      <c r="C388" s="37"/>
      <c r="D388" s="37"/>
      <c r="E388" s="37"/>
      <c r="F388" s="37"/>
      <c r="G388" s="37"/>
      <c r="V388" s="37">
        <f t="shared" si="1"/>
        <v>0</v>
      </c>
    </row>
    <row r="389">
      <c r="A389" s="37"/>
      <c r="B389" s="37"/>
      <c r="C389" s="37"/>
      <c r="D389" s="37"/>
      <c r="E389" s="37"/>
      <c r="F389" s="37"/>
      <c r="G389" s="37"/>
      <c r="V389" s="37">
        <f t="shared" si="1"/>
        <v>0</v>
      </c>
    </row>
    <row r="390">
      <c r="A390" s="37"/>
      <c r="B390" s="37"/>
      <c r="C390" s="37"/>
      <c r="D390" s="37"/>
      <c r="E390" s="37"/>
      <c r="F390" s="37"/>
      <c r="G390" s="37"/>
      <c r="V390" s="37">
        <f t="shared" si="1"/>
        <v>0</v>
      </c>
    </row>
    <row r="391">
      <c r="A391" s="37"/>
      <c r="B391" s="37"/>
      <c r="C391" s="37"/>
      <c r="D391" s="37"/>
      <c r="E391" s="37"/>
      <c r="F391" s="37"/>
      <c r="G391" s="37"/>
      <c r="V391" s="37">
        <f t="shared" si="1"/>
        <v>0</v>
      </c>
    </row>
    <row r="392">
      <c r="A392" s="37"/>
      <c r="B392" s="37"/>
      <c r="C392" s="37"/>
      <c r="D392" s="37"/>
      <c r="E392" s="37"/>
      <c r="F392" s="37"/>
      <c r="G392" s="37"/>
      <c r="V392" s="37">
        <f t="shared" si="1"/>
        <v>0</v>
      </c>
    </row>
    <row r="393">
      <c r="A393" s="37"/>
      <c r="B393" s="37"/>
      <c r="C393" s="37"/>
      <c r="D393" s="37"/>
      <c r="E393" s="37"/>
      <c r="F393" s="37"/>
      <c r="G393" s="37"/>
      <c r="V393" s="37">
        <f t="shared" si="1"/>
        <v>0</v>
      </c>
    </row>
    <row r="394">
      <c r="A394" s="37"/>
      <c r="B394" s="37"/>
      <c r="C394" s="37"/>
      <c r="D394" s="37"/>
      <c r="E394" s="37"/>
      <c r="F394" s="37"/>
      <c r="G394" s="37"/>
      <c r="V394" s="37">
        <f t="shared" si="1"/>
        <v>0</v>
      </c>
    </row>
    <row r="395">
      <c r="A395" s="37"/>
      <c r="B395" s="37"/>
      <c r="C395" s="37"/>
      <c r="D395" s="37"/>
      <c r="E395" s="37"/>
      <c r="F395" s="37"/>
      <c r="G395" s="37"/>
      <c r="V395" s="37">
        <f t="shared" si="1"/>
        <v>0</v>
      </c>
    </row>
    <row r="396">
      <c r="A396" s="37"/>
      <c r="B396" s="37"/>
      <c r="C396" s="37"/>
      <c r="D396" s="37"/>
      <c r="E396" s="37"/>
      <c r="F396" s="37"/>
      <c r="G396" s="37"/>
      <c r="V396" s="37">
        <f t="shared" si="1"/>
        <v>0</v>
      </c>
    </row>
    <row r="397">
      <c r="A397" s="37"/>
      <c r="B397" s="37"/>
      <c r="C397" s="37"/>
      <c r="D397" s="37"/>
      <c r="E397" s="37"/>
      <c r="F397" s="37"/>
      <c r="G397" s="37"/>
      <c r="V397" s="37">
        <f t="shared" si="1"/>
        <v>0</v>
      </c>
    </row>
    <row r="398">
      <c r="A398" s="37"/>
      <c r="B398" s="37"/>
      <c r="C398" s="37"/>
      <c r="D398" s="37"/>
      <c r="E398" s="37"/>
      <c r="F398" s="37"/>
      <c r="G398" s="37"/>
      <c r="V398" s="37">
        <f t="shared" si="1"/>
        <v>0</v>
      </c>
    </row>
    <row r="399">
      <c r="A399" s="37"/>
      <c r="B399" s="37"/>
      <c r="C399" s="37"/>
      <c r="D399" s="37"/>
      <c r="E399" s="37"/>
      <c r="F399" s="37"/>
      <c r="G399" s="37"/>
      <c r="V399" s="37">
        <f t="shared" si="1"/>
        <v>0</v>
      </c>
    </row>
    <row r="400">
      <c r="A400" s="37"/>
      <c r="B400" s="37"/>
      <c r="C400" s="37"/>
      <c r="D400" s="37"/>
      <c r="E400" s="37"/>
      <c r="F400" s="37"/>
      <c r="G400" s="37"/>
      <c r="V400" s="37">
        <f t="shared" si="1"/>
        <v>0</v>
      </c>
    </row>
    <row r="401">
      <c r="A401" s="37"/>
      <c r="B401" s="37"/>
      <c r="C401" s="37"/>
      <c r="D401" s="37"/>
      <c r="E401" s="37"/>
      <c r="F401" s="37"/>
      <c r="G401" s="37"/>
      <c r="V401" s="37">
        <f t="shared" si="1"/>
        <v>0</v>
      </c>
    </row>
    <row r="402">
      <c r="A402" s="37"/>
      <c r="B402" s="37"/>
      <c r="C402" s="37"/>
      <c r="D402" s="37"/>
      <c r="E402" s="37"/>
      <c r="F402" s="37"/>
      <c r="G402" s="37"/>
      <c r="V402" s="37">
        <f t="shared" si="1"/>
        <v>0</v>
      </c>
    </row>
    <row r="403">
      <c r="A403" s="37"/>
      <c r="B403" s="37"/>
      <c r="C403" s="37"/>
      <c r="D403" s="37"/>
      <c r="E403" s="37"/>
      <c r="F403" s="37"/>
      <c r="G403" s="37"/>
      <c r="V403" s="37">
        <f t="shared" si="1"/>
        <v>0</v>
      </c>
    </row>
    <row r="404">
      <c r="A404" s="37"/>
      <c r="B404" s="37"/>
      <c r="C404" s="37"/>
      <c r="D404" s="37"/>
      <c r="E404" s="37"/>
      <c r="F404" s="37"/>
      <c r="G404" s="37"/>
      <c r="V404" s="37">
        <f t="shared" si="1"/>
        <v>0</v>
      </c>
    </row>
    <row r="405">
      <c r="A405" s="37"/>
      <c r="B405" s="37"/>
      <c r="C405" s="37"/>
      <c r="D405" s="37"/>
      <c r="E405" s="37"/>
      <c r="F405" s="37"/>
      <c r="G405" s="37"/>
      <c r="V405" s="37">
        <f t="shared" si="1"/>
        <v>0</v>
      </c>
    </row>
    <row r="406">
      <c r="A406" s="37"/>
      <c r="B406" s="37"/>
      <c r="C406" s="37"/>
      <c r="D406" s="37"/>
      <c r="E406" s="37"/>
      <c r="F406" s="37"/>
      <c r="G406" s="37"/>
      <c r="V406" s="37">
        <f t="shared" si="1"/>
        <v>0</v>
      </c>
    </row>
    <row r="407">
      <c r="A407" s="37"/>
      <c r="B407" s="37"/>
      <c r="C407" s="37"/>
      <c r="D407" s="37"/>
      <c r="E407" s="37"/>
      <c r="F407" s="37"/>
      <c r="G407" s="37"/>
      <c r="V407" s="37">
        <f t="shared" si="1"/>
        <v>0</v>
      </c>
    </row>
    <row r="408">
      <c r="A408" s="37"/>
      <c r="B408" s="37"/>
      <c r="C408" s="37"/>
      <c r="D408" s="37"/>
      <c r="E408" s="37"/>
      <c r="F408" s="37"/>
      <c r="G408" s="37"/>
      <c r="V408" s="37">
        <f t="shared" si="1"/>
        <v>0</v>
      </c>
    </row>
    <row r="409">
      <c r="A409" s="37"/>
      <c r="B409" s="37"/>
      <c r="C409" s="37"/>
      <c r="D409" s="37"/>
      <c r="E409" s="37"/>
      <c r="F409" s="37"/>
      <c r="G409" s="37"/>
      <c r="V409" s="37">
        <f t="shared" si="1"/>
        <v>0</v>
      </c>
    </row>
    <row r="410">
      <c r="A410" s="37"/>
      <c r="B410" s="37"/>
      <c r="C410" s="37"/>
      <c r="D410" s="37"/>
      <c r="E410" s="37"/>
      <c r="F410" s="37"/>
      <c r="G410" s="37"/>
      <c r="V410" s="37">
        <f t="shared" si="1"/>
        <v>0</v>
      </c>
    </row>
    <row r="411">
      <c r="A411" s="37"/>
      <c r="B411" s="37"/>
      <c r="C411" s="37"/>
      <c r="D411" s="37"/>
      <c r="E411" s="37"/>
      <c r="F411" s="37"/>
      <c r="G411" s="37"/>
      <c r="V411" s="37">
        <f t="shared" si="1"/>
        <v>0</v>
      </c>
    </row>
    <row r="412">
      <c r="A412" s="37"/>
      <c r="B412" s="37"/>
      <c r="C412" s="37"/>
      <c r="D412" s="37"/>
      <c r="E412" s="37"/>
      <c r="F412" s="37"/>
      <c r="G412" s="37"/>
      <c r="V412" s="37">
        <f t="shared" si="1"/>
        <v>0</v>
      </c>
    </row>
    <row r="413">
      <c r="A413" s="37"/>
      <c r="B413" s="37"/>
      <c r="C413" s="37"/>
      <c r="D413" s="37"/>
      <c r="E413" s="37"/>
      <c r="F413" s="37"/>
      <c r="G413" s="37"/>
      <c r="V413" s="37">
        <f t="shared" si="1"/>
        <v>0</v>
      </c>
    </row>
    <row r="414">
      <c r="A414" s="37"/>
      <c r="B414" s="37"/>
      <c r="C414" s="37"/>
      <c r="D414" s="37"/>
      <c r="E414" s="37"/>
      <c r="F414" s="37"/>
      <c r="G414" s="37"/>
      <c r="V414" s="37">
        <f t="shared" si="1"/>
        <v>0</v>
      </c>
    </row>
    <row r="415">
      <c r="A415" s="37"/>
      <c r="B415" s="37"/>
      <c r="C415" s="37"/>
      <c r="D415" s="37"/>
      <c r="E415" s="37"/>
      <c r="F415" s="37"/>
      <c r="G415" s="37"/>
      <c r="V415" s="37">
        <f t="shared" si="1"/>
        <v>0</v>
      </c>
    </row>
    <row r="416">
      <c r="A416" s="37"/>
      <c r="B416" s="37"/>
      <c r="C416" s="37"/>
      <c r="D416" s="37"/>
      <c r="E416" s="37"/>
      <c r="F416" s="37"/>
      <c r="G416" s="37"/>
      <c r="V416" s="37">
        <f t="shared" si="1"/>
        <v>0</v>
      </c>
    </row>
    <row r="417">
      <c r="A417" s="37"/>
      <c r="B417" s="37"/>
      <c r="C417" s="37"/>
      <c r="D417" s="37"/>
      <c r="E417" s="37"/>
      <c r="F417" s="37"/>
      <c r="G417" s="37"/>
      <c r="V417" s="37">
        <f t="shared" si="1"/>
        <v>0</v>
      </c>
    </row>
    <row r="418">
      <c r="A418" s="37"/>
      <c r="B418" s="37"/>
      <c r="C418" s="37"/>
      <c r="D418" s="37"/>
      <c r="E418" s="37"/>
      <c r="F418" s="37"/>
      <c r="G418" s="37"/>
      <c r="V418" s="37">
        <f t="shared" si="1"/>
        <v>0</v>
      </c>
    </row>
    <row r="419">
      <c r="A419" s="37"/>
      <c r="B419" s="37"/>
      <c r="C419" s="37"/>
      <c r="D419" s="37"/>
      <c r="E419" s="37"/>
      <c r="F419" s="37"/>
      <c r="G419" s="37"/>
      <c r="V419" s="37">
        <f t="shared" si="1"/>
        <v>0</v>
      </c>
    </row>
    <row r="420">
      <c r="A420" s="37"/>
      <c r="B420" s="37"/>
      <c r="C420" s="37"/>
      <c r="D420" s="37"/>
      <c r="E420" s="37"/>
      <c r="F420" s="37"/>
      <c r="G420" s="37"/>
      <c r="V420" s="37">
        <f t="shared" si="1"/>
        <v>0</v>
      </c>
    </row>
    <row r="421">
      <c r="A421" s="37"/>
      <c r="B421" s="37"/>
      <c r="C421" s="37"/>
      <c r="D421" s="37"/>
      <c r="E421" s="37"/>
      <c r="F421" s="37"/>
      <c r="G421" s="37"/>
      <c r="V421" s="37">
        <f t="shared" si="1"/>
        <v>0</v>
      </c>
    </row>
    <row r="422">
      <c r="A422" s="37"/>
      <c r="B422" s="37"/>
      <c r="C422" s="37"/>
      <c r="D422" s="37"/>
      <c r="E422" s="37"/>
      <c r="F422" s="37"/>
      <c r="G422" s="37"/>
      <c r="V422" s="37">
        <f t="shared" si="1"/>
        <v>0</v>
      </c>
    </row>
    <row r="423">
      <c r="A423" s="37"/>
      <c r="B423" s="37"/>
      <c r="C423" s="37"/>
      <c r="D423" s="37"/>
      <c r="E423" s="37"/>
      <c r="F423" s="37"/>
      <c r="G423" s="37"/>
      <c r="V423" s="37">
        <f t="shared" si="1"/>
        <v>0</v>
      </c>
    </row>
    <row r="424">
      <c r="A424" s="37"/>
      <c r="B424" s="37"/>
      <c r="C424" s="37"/>
      <c r="D424" s="37"/>
      <c r="E424" s="37"/>
      <c r="F424" s="37"/>
      <c r="G424" s="37"/>
      <c r="V424" s="37">
        <f t="shared" si="1"/>
        <v>0</v>
      </c>
    </row>
    <row r="425">
      <c r="A425" s="37"/>
      <c r="B425" s="37"/>
      <c r="C425" s="37"/>
      <c r="D425" s="37"/>
      <c r="E425" s="37"/>
      <c r="F425" s="37"/>
      <c r="G425" s="37"/>
      <c r="V425" s="37">
        <f t="shared" si="1"/>
        <v>0</v>
      </c>
    </row>
    <row r="426">
      <c r="A426" s="37"/>
      <c r="B426" s="37"/>
      <c r="C426" s="37"/>
      <c r="D426" s="37"/>
      <c r="E426" s="37"/>
      <c r="F426" s="37"/>
      <c r="G426" s="37"/>
      <c r="V426" s="37">
        <f t="shared" si="1"/>
        <v>0</v>
      </c>
    </row>
    <row r="427">
      <c r="A427" s="37"/>
      <c r="B427" s="37"/>
      <c r="C427" s="37"/>
      <c r="D427" s="37"/>
      <c r="E427" s="37"/>
      <c r="F427" s="37"/>
      <c r="G427" s="37"/>
      <c r="V427" s="37">
        <f t="shared" si="1"/>
        <v>0</v>
      </c>
    </row>
    <row r="428">
      <c r="A428" s="37"/>
      <c r="B428" s="37"/>
      <c r="C428" s="37"/>
      <c r="D428" s="37"/>
      <c r="E428" s="37"/>
      <c r="F428" s="37"/>
      <c r="G428" s="37"/>
      <c r="V428" s="37">
        <f t="shared" si="1"/>
        <v>0</v>
      </c>
    </row>
    <row r="429">
      <c r="A429" s="37"/>
      <c r="B429" s="37"/>
      <c r="C429" s="37"/>
      <c r="D429" s="37"/>
      <c r="E429" s="37"/>
      <c r="F429" s="37"/>
      <c r="G429" s="37"/>
      <c r="V429" s="37">
        <f t="shared" si="1"/>
        <v>0</v>
      </c>
    </row>
    <row r="430">
      <c r="A430" s="37"/>
      <c r="B430" s="37"/>
      <c r="C430" s="37"/>
      <c r="D430" s="37"/>
      <c r="E430" s="37"/>
      <c r="F430" s="37"/>
      <c r="G430" s="37"/>
      <c r="V430" s="37">
        <f t="shared" si="1"/>
        <v>0</v>
      </c>
    </row>
    <row r="431">
      <c r="A431" s="37"/>
      <c r="B431" s="37"/>
      <c r="C431" s="37"/>
      <c r="D431" s="37"/>
      <c r="E431" s="37"/>
      <c r="F431" s="37"/>
      <c r="G431" s="37"/>
      <c r="V431" s="37">
        <f t="shared" si="1"/>
        <v>0</v>
      </c>
    </row>
    <row r="432">
      <c r="A432" s="37"/>
      <c r="B432" s="37"/>
      <c r="C432" s="37"/>
      <c r="D432" s="37"/>
      <c r="E432" s="37"/>
      <c r="F432" s="37"/>
      <c r="G432" s="37"/>
      <c r="V432" s="37">
        <f t="shared" si="1"/>
        <v>0</v>
      </c>
    </row>
    <row r="433">
      <c r="A433" s="37"/>
      <c r="B433" s="37"/>
      <c r="C433" s="37"/>
      <c r="D433" s="37"/>
      <c r="E433" s="37"/>
      <c r="F433" s="37"/>
      <c r="G433" s="37"/>
      <c r="V433" s="37">
        <f t="shared" si="1"/>
        <v>0</v>
      </c>
    </row>
    <row r="434">
      <c r="A434" s="37"/>
      <c r="B434" s="37"/>
      <c r="C434" s="37"/>
      <c r="D434" s="37"/>
      <c r="E434" s="37"/>
      <c r="F434" s="37"/>
      <c r="G434" s="37"/>
      <c r="V434" s="37">
        <f t="shared" si="1"/>
        <v>0</v>
      </c>
    </row>
    <row r="435">
      <c r="A435" s="37"/>
      <c r="B435" s="37"/>
      <c r="C435" s="37"/>
      <c r="D435" s="37"/>
      <c r="E435" s="37"/>
      <c r="F435" s="37"/>
      <c r="G435" s="37"/>
      <c r="V435" s="37">
        <f t="shared" si="1"/>
        <v>0</v>
      </c>
    </row>
    <row r="436">
      <c r="A436" s="37"/>
      <c r="B436" s="37"/>
      <c r="C436" s="37"/>
      <c r="D436" s="37"/>
      <c r="E436" s="37"/>
      <c r="F436" s="37"/>
      <c r="G436" s="37"/>
      <c r="V436" s="37">
        <f t="shared" si="1"/>
        <v>0</v>
      </c>
    </row>
    <row r="437">
      <c r="A437" s="37"/>
      <c r="B437" s="37"/>
      <c r="C437" s="37"/>
      <c r="D437" s="37"/>
      <c r="E437" s="37"/>
      <c r="F437" s="37"/>
      <c r="G437" s="37"/>
      <c r="V437" s="37">
        <f t="shared" si="1"/>
        <v>0</v>
      </c>
    </row>
    <row r="438">
      <c r="A438" s="37"/>
      <c r="B438" s="37"/>
      <c r="C438" s="37"/>
      <c r="D438" s="37"/>
      <c r="E438" s="37"/>
      <c r="F438" s="37"/>
      <c r="G438" s="37"/>
      <c r="V438" s="37">
        <f t="shared" si="1"/>
        <v>0</v>
      </c>
    </row>
    <row r="439">
      <c r="A439" s="37"/>
      <c r="B439" s="37"/>
      <c r="C439" s="37"/>
      <c r="D439" s="37"/>
      <c r="E439" s="37"/>
      <c r="F439" s="37"/>
      <c r="G439" s="37"/>
      <c r="V439" s="37">
        <f t="shared" si="1"/>
        <v>0</v>
      </c>
    </row>
    <row r="440">
      <c r="A440" s="37"/>
      <c r="B440" s="37"/>
      <c r="C440" s="37"/>
      <c r="D440" s="37"/>
      <c r="E440" s="37"/>
      <c r="F440" s="37"/>
      <c r="G440" s="37"/>
      <c r="V440" s="37">
        <f t="shared" si="1"/>
        <v>0</v>
      </c>
    </row>
    <row r="441">
      <c r="A441" s="37"/>
      <c r="B441" s="37"/>
      <c r="C441" s="37"/>
      <c r="D441" s="37"/>
      <c r="E441" s="37"/>
      <c r="F441" s="37"/>
      <c r="G441" s="37"/>
      <c r="V441" s="37">
        <f t="shared" si="1"/>
        <v>0</v>
      </c>
    </row>
    <row r="442">
      <c r="A442" s="37"/>
      <c r="B442" s="37"/>
      <c r="C442" s="37"/>
      <c r="D442" s="37"/>
      <c r="E442" s="37"/>
      <c r="F442" s="37"/>
      <c r="G442" s="37"/>
      <c r="V442" s="37">
        <f t="shared" si="1"/>
        <v>0</v>
      </c>
    </row>
    <row r="443">
      <c r="A443" s="37"/>
      <c r="B443" s="37"/>
      <c r="C443" s="37"/>
      <c r="D443" s="37"/>
      <c r="E443" s="37"/>
      <c r="F443" s="37"/>
      <c r="G443" s="37"/>
      <c r="V443" s="37">
        <f t="shared" si="1"/>
        <v>0</v>
      </c>
    </row>
    <row r="444">
      <c r="A444" s="37"/>
      <c r="B444" s="37"/>
      <c r="C444" s="37"/>
      <c r="D444" s="37"/>
      <c r="E444" s="37"/>
      <c r="F444" s="37"/>
      <c r="G444" s="37"/>
      <c r="V444" s="37">
        <f t="shared" si="1"/>
        <v>0</v>
      </c>
    </row>
    <row r="445">
      <c r="A445" s="37"/>
      <c r="B445" s="37"/>
      <c r="C445" s="37"/>
      <c r="D445" s="37"/>
      <c r="E445" s="37"/>
      <c r="F445" s="37"/>
      <c r="G445" s="37"/>
      <c r="V445" s="37">
        <f t="shared" si="1"/>
        <v>0</v>
      </c>
    </row>
    <row r="446">
      <c r="A446" s="37"/>
      <c r="B446" s="37"/>
      <c r="C446" s="37"/>
      <c r="D446" s="37"/>
      <c r="E446" s="37"/>
      <c r="F446" s="37"/>
      <c r="G446" s="37"/>
      <c r="V446" s="37">
        <f t="shared" si="1"/>
        <v>0</v>
      </c>
    </row>
    <row r="447">
      <c r="A447" s="37"/>
      <c r="B447" s="37"/>
      <c r="C447" s="37"/>
      <c r="D447" s="37"/>
      <c r="E447" s="37"/>
      <c r="F447" s="37"/>
      <c r="G447" s="37"/>
      <c r="V447" s="37">
        <f t="shared" si="1"/>
        <v>0</v>
      </c>
    </row>
    <row r="448">
      <c r="A448" s="37"/>
      <c r="B448" s="37"/>
      <c r="C448" s="37"/>
      <c r="D448" s="37"/>
      <c r="E448" s="37"/>
      <c r="F448" s="37"/>
      <c r="G448" s="37"/>
      <c r="V448" s="37">
        <f t="shared" si="1"/>
        <v>0</v>
      </c>
    </row>
    <row r="449">
      <c r="A449" s="37"/>
      <c r="B449" s="37"/>
      <c r="C449" s="37"/>
      <c r="D449" s="37"/>
      <c r="E449" s="37"/>
      <c r="F449" s="37"/>
      <c r="G449" s="37"/>
      <c r="V449" s="37">
        <f t="shared" si="1"/>
        <v>0</v>
      </c>
    </row>
    <row r="450">
      <c r="A450" s="37"/>
      <c r="B450" s="37"/>
      <c r="C450" s="37"/>
      <c r="D450" s="37"/>
      <c r="E450" s="37"/>
      <c r="F450" s="37"/>
      <c r="G450" s="37"/>
      <c r="V450" s="37">
        <f t="shared" si="1"/>
        <v>0</v>
      </c>
    </row>
    <row r="451">
      <c r="A451" s="37"/>
      <c r="B451" s="37"/>
      <c r="C451" s="37"/>
      <c r="D451" s="37"/>
      <c r="E451" s="37"/>
      <c r="F451" s="37"/>
      <c r="G451" s="37"/>
      <c r="V451" s="37">
        <f t="shared" si="1"/>
        <v>0</v>
      </c>
    </row>
    <row r="452">
      <c r="A452" s="37"/>
      <c r="B452" s="37"/>
      <c r="C452" s="37"/>
      <c r="D452" s="37"/>
      <c r="E452" s="37"/>
      <c r="F452" s="37"/>
      <c r="G452" s="37"/>
      <c r="V452" s="37">
        <f t="shared" si="1"/>
        <v>0</v>
      </c>
    </row>
    <row r="453">
      <c r="A453" s="37"/>
      <c r="B453" s="37"/>
      <c r="C453" s="37"/>
      <c r="D453" s="37"/>
      <c r="E453" s="37"/>
      <c r="F453" s="37"/>
      <c r="G453" s="37"/>
      <c r="V453" s="37">
        <f t="shared" si="1"/>
        <v>0</v>
      </c>
    </row>
    <row r="454">
      <c r="A454" s="37"/>
      <c r="B454" s="37"/>
      <c r="C454" s="37"/>
      <c r="D454" s="37"/>
      <c r="E454" s="37"/>
      <c r="F454" s="37"/>
      <c r="G454" s="37"/>
      <c r="V454" s="37">
        <f t="shared" si="1"/>
        <v>0</v>
      </c>
    </row>
    <row r="455">
      <c r="A455" s="37"/>
      <c r="B455" s="37"/>
      <c r="C455" s="37"/>
      <c r="D455" s="37"/>
      <c r="E455" s="37"/>
      <c r="F455" s="37"/>
      <c r="G455" s="37"/>
      <c r="V455" s="37">
        <f t="shared" si="1"/>
        <v>0</v>
      </c>
    </row>
    <row r="456">
      <c r="A456" s="37"/>
      <c r="B456" s="37"/>
      <c r="C456" s="37"/>
      <c r="D456" s="37"/>
      <c r="E456" s="37"/>
      <c r="F456" s="37"/>
      <c r="G456" s="37"/>
      <c r="V456" s="37">
        <f t="shared" si="1"/>
        <v>0</v>
      </c>
    </row>
    <row r="457">
      <c r="A457" s="37"/>
      <c r="B457" s="37"/>
      <c r="C457" s="37"/>
      <c r="D457" s="37"/>
      <c r="E457" s="37"/>
      <c r="F457" s="37"/>
      <c r="G457" s="37"/>
      <c r="V457" s="37">
        <f t="shared" si="1"/>
        <v>0</v>
      </c>
    </row>
    <row r="458">
      <c r="A458" s="37"/>
      <c r="B458" s="37"/>
      <c r="C458" s="37"/>
      <c r="D458" s="37"/>
      <c r="E458" s="37"/>
      <c r="F458" s="37"/>
      <c r="G458" s="37"/>
      <c r="V458" s="37">
        <f t="shared" si="1"/>
        <v>0</v>
      </c>
    </row>
    <row r="459">
      <c r="A459" s="37"/>
      <c r="B459" s="37"/>
      <c r="C459" s="37"/>
      <c r="D459" s="37"/>
      <c r="E459" s="37"/>
      <c r="F459" s="37"/>
      <c r="G459" s="37"/>
      <c r="V459" s="37">
        <f t="shared" si="1"/>
        <v>0</v>
      </c>
    </row>
    <row r="460">
      <c r="A460" s="37"/>
      <c r="B460" s="37"/>
      <c r="C460" s="37"/>
      <c r="D460" s="37"/>
      <c r="E460" s="37"/>
      <c r="F460" s="37"/>
      <c r="G460" s="37"/>
      <c r="V460" s="37">
        <f t="shared" si="1"/>
        <v>0</v>
      </c>
    </row>
    <row r="461">
      <c r="A461" s="37"/>
      <c r="B461" s="37"/>
      <c r="C461" s="37"/>
      <c r="D461" s="37"/>
      <c r="E461" s="37"/>
      <c r="F461" s="37"/>
      <c r="G461" s="37"/>
      <c r="V461" s="37">
        <f t="shared" si="1"/>
        <v>0</v>
      </c>
    </row>
    <row r="462">
      <c r="A462" s="37"/>
      <c r="B462" s="37"/>
      <c r="C462" s="37"/>
      <c r="D462" s="37"/>
      <c r="E462" s="37"/>
      <c r="F462" s="37"/>
      <c r="G462" s="37"/>
      <c r="V462" s="37">
        <f t="shared" si="1"/>
        <v>0</v>
      </c>
    </row>
    <row r="463">
      <c r="A463" s="37"/>
      <c r="B463" s="37"/>
      <c r="C463" s="37"/>
      <c r="D463" s="37"/>
      <c r="E463" s="37"/>
      <c r="F463" s="37"/>
      <c r="G463" s="37"/>
      <c r="V463" s="37">
        <f t="shared" si="1"/>
        <v>0</v>
      </c>
    </row>
    <row r="464">
      <c r="A464" s="37"/>
      <c r="B464" s="37"/>
      <c r="C464" s="37"/>
      <c r="D464" s="37"/>
      <c r="E464" s="37"/>
      <c r="F464" s="37"/>
      <c r="G464" s="37"/>
      <c r="V464" s="37">
        <f t="shared" si="1"/>
        <v>0</v>
      </c>
    </row>
    <row r="465">
      <c r="A465" s="37"/>
      <c r="B465" s="37"/>
      <c r="C465" s="37"/>
      <c r="D465" s="37"/>
      <c r="E465" s="37"/>
      <c r="F465" s="37"/>
      <c r="G465" s="37"/>
      <c r="V465" s="37">
        <f t="shared" si="1"/>
        <v>0</v>
      </c>
    </row>
    <row r="466">
      <c r="A466" s="37"/>
      <c r="B466" s="37"/>
      <c r="C466" s="37"/>
      <c r="D466" s="37"/>
      <c r="E466" s="37"/>
      <c r="F466" s="37"/>
      <c r="G466" s="37"/>
      <c r="V466" s="37">
        <f t="shared" si="1"/>
        <v>0</v>
      </c>
    </row>
    <row r="467">
      <c r="A467" s="37"/>
      <c r="B467" s="37"/>
      <c r="C467" s="37"/>
      <c r="D467" s="37"/>
      <c r="E467" s="37"/>
      <c r="F467" s="37"/>
      <c r="G467" s="37"/>
      <c r="V467" s="37">
        <f t="shared" si="1"/>
        <v>0</v>
      </c>
    </row>
    <row r="468">
      <c r="A468" s="37"/>
      <c r="B468" s="37"/>
      <c r="C468" s="37"/>
      <c r="D468" s="37"/>
      <c r="E468" s="37"/>
      <c r="F468" s="37"/>
      <c r="G468" s="37"/>
      <c r="V468" s="37">
        <f t="shared" si="1"/>
        <v>0</v>
      </c>
    </row>
    <row r="469">
      <c r="A469" s="37"/>
      <c r="B469" s="37"/>
      <c r="C469" s="37"/>
      <c r="D469" s="37"/>
      <c r="E469" s="37"/>
      <c r="F469" s="37"/>
      <c r="G469" s="37"/>
      <c r="V469" s="37">
        <f t="shared" si="1"/>
        <v>0</v>
      </c>
    </row>
    <row r="470">
      <c r="A470" s="37"/>
      <c r="B470" s="37"/>
      <c r="C470" s="37"/>
      <c r="D470" s="37"/>
      <c r="E470" s="37"/>
      <c r="F470" s="37"/>
      <c r="G470" s="37"/>
      <c r="V470" s="37">
        <f t="shared" si="1"/>
        <v>0</v>
      </c>
    </row>
    <row r="471">
      <c r="A471" s="37"/>
      <c r="B471" s="37"/>
      <c r="C471" s="37"/>
      <c r="D471" s="37"/>
      <c r="E471" s="37"/>
      <c r="F471" s="37"/>
      <c r="G471" s="37"/>
      <c r="V471" s="37">
        <f t="shared" si="1"/>
        <v>0</v>
      </c>
    </row>
    <row r="472">
      <c r="A472" s="37"/>
      <c r="B472" s="37"/>
      <c r="C472" s="37"/>
      <c r="D472" s="37"/>
      <c r="E472" s="37"/>
      <c r="F472" s="37"/>
      <c r="G472" s="37"/>
      <c r="V472" s="37">
        <f t="shared" si="1"/>
        <v>0</v>
      </c>
    </row>
    <row r="473">
      <c r="A473" s="37"/>
      <c r="B473" s="37"/>
      <c r="C473" s="37"/>
      <c r="D473" s="37"/>
      <c r="E473" s="37"/>
      <c r="F473" s="37"/>
      <c r="G473" s="37"/>
      <c r="V473" s="37">
        <f t="shared" si="1"/>
        <v>0</v>
      </c>
    </row>
    <row r="474">
      <c r="A474" s="37"/>
      <c r="B474" s="37"/>
      <c r="C474" s="37"/>
      <c r="D474" s="37"/>
      <c r="E474" s="37"/>
      <c r="F474" s="37"/>
      <c r="G474" s="37"/>
      <c r="V474" s="37">
        <f t="shared" si="1"/>
        <v>0</v>
      </c>
    </row>
    <row r="475">
      <c r="A475" s="37"/>
      <c r="B475" s="37"/>
      <c r="C475" s="37"/>
      <c r="D475" s="37"/>
      <c r="E475" s="37"/>
      <c r="F475" s="37"/>
      <c r="G475" s="37"/>
      <c r="V475" s="37">
        <f t="shared" si="1"/>
        <v>0</v>
      </c>
    </row>
    <row r="476">
      <c r="A476" s="37"/>
      <c r="B476" s="37"/>
      <c r="C476" s="37"/>
      <c r="D476" s="37"/>
      <c r="E476" s="37"/>
      <c r="F476" s="37"/>
      <c r="G476" s="37"/>
      <c r="V476" s="37">
        <f t="shared" si="1"/>
        <v>0</v>
      </c>
    </row>
    <row r="477">
      <c r="A477" s="37"/>
      <c r="B477" s="37"/>
      <c r="C477" s="37"/>
      <c r="D477" s="37"/>
      <c r="E477" s="37"/>
      <c r="F477" s="37"/>
      <c r="G477" s="37"/>
      <c r="V477" s="37">
        <f t="shared" si="1"/>
        <v>0</v>
      </c>
    </row>
    <row r="478">
      <c r="A478" s="37"/>
      <c r="B478" s="37"/>
      <c r="C478" s="37"/>
      <c r="D478" s="37"/>
      <c r="E478" s="37"/>
      <c r="F478" s="37"/>
      <c r="G478" s="37"/>
      <c r="V478" s="37">
        <f t="shared" si="1"/>
        <v>0</v>
      </c>
    </row>
    <row r="479">
      <c r="A479" s="37"/>
      <c r="B479" s="37"/>
      <c r="C479" s="37"/>
      <c r="D479" s="37"/>
      <c r="E479" s="37"/>
      <c r="F479" s="37"/>
      <c r="G479" s="37"/>
      <c r="V479" s="37">
        <f t="shared" si="1"/>
        <v>0</v>
      </c>
    </row>
    <row r="480">
      <c r="A480" s="37"/>
      <c r="B480" s="37"/>
      <c r="C480" s="37"/>
      <c r="D480" s="37"/>
      <c r="E480" s="37"/>
      <c r="F480" s="37"/>
      <c r="G480" s="37"/>
      <c r="V480" s="37">
        <f t="shared" si="1"/>
        <v>0</v>
      </c>
    </row>
    <row r="481">
      <c r="A481" s="37"/>
      <c r="B481" s="37"/>
      <c r="C481" s="37"/>
      <c r="D481" s="37"/>
      <c r="E481" s="37"/>
      <c r="F481" s="37"/>
      <c r="G481" s="37"/>
      <c r="V481" s="37">
        <f t="shared" si="1"/>
        <v>0</v>
      </c>
    </row>
    <row r="482">
      <c r="A482" s="37"/>
      <c r="B482" s="37"/>
      <c r="C482" s="37"/>
      <c r="D482" s="37"/>
      <c r="E482" s="37"/>
      <c r="F482" s="37"/>
      <c r="G482" s="37"/>
      <c r="V482" s="37">
        <f t="shared" si="1"/>
        <v>0</v>
      </c>
    </row>
    <row r="483">
      <c r="A483" s="37"/>
      <c r="B483" s="37"/>
      <c r="C483" s="37"/>
      <c r="D483" s="37"/>
      <c r="E483" s="37"/>
      <c r="F483" s="37"/>
      <c r="G483" s="37"/>
      <c r="V483" s="37">
        <f t="shared" si="1"/>
        <v>0</v>
      </c>
    </row>
    <row r="484">
      <c r="A484" s="37"/>
      <c r="B484" s="37"/>
      <c r="C484" s="37"/>
      <c r="D484" s="37"/>
      <c r="E484" s="37"/>
      <c r="F484" s="37"/>
      <c r="G484" s="37"/>
      <c r="V484" s="37">
        <f t="shared" si="1"/>
        <v>0</v>
      </c>
    </row>
    <row r="485">
      <c r="A485" s="37"/>
      <c r="B485" s="37"/>
      <c r="C485" s="37"/>
      <c r="D485" s="37"/>
      <c r="E485" s="37"/>
      <c r="F485" s="37"/>
      <c r="G485" s="37"/>
      <c r="V485" s="37">
        <f t="shared" si="1"/>
        <v>0</v>
      </c>
    </row>
    <row r="486">
      <c r="A486" s="37"/>
      <c r="B486" s="37"/>
      <c r="C486" s="37"/>
      <c r="D486" s="37"/>
      <c r="E486" s="37"/>
      <c r="F486" s="37"/>
      <c r="G486" s="37"/>
      <c r="V486" s="37">
        <f t="shared" si="1"/>
        <v>0</v>
      </c>
    </row>
    <row r="487">
      <c r="A487" s="37"/>
      <c r="B487" s="37"/>
      <c r="C487" s="37"/>
      <c r="D487" s="37"/>
      <c r="E487" s="37"/>
      <c r="F487" s="37"/>
      <c r="G487" s="37"/>
      <c r="V487" s="37">
        <f t="shared" si="1"/>
        <v>0</v>
      </c>
    </row>
    <row r="488">
      <c r="A488" s="37"/>
      <c r="B488" s="37"/>
      <c r="C488" s="37"/>
      <c r="D488" s="37"/>
      <c r="E488" s="37"/>
      <c r="F488" s="37"/>
      <c r="G488" s="37"/>
      <c r="V488" s="37">
        <f t="shared" si="1"/>
        <v>0</v>
      </c>
    </row>
    <row r="489">
      <c r="A489" s="37"/>
      <c r="B489" s="37"/>
      <c r="C489" s="37"/>
      <c r="D489" s="37"/>
      <c r="E489" s="37"/>
      <c r="F489" s="37"/>
      <c r="G489" s="37"/>
      <c r="V489" s="37">
        <f t="shared" si="1"/>
        <v>0</v>
      </c>
    </row>
    <row r="490">
      <c r="A490" s="37"/>
      <c r="B490" s="37"/>
      <c r="C490" s="37"/>
      <c r="D490" s="37"/>
      <c r="E490" s="37"/>
      <c r="F490" s="37"/>
      <c r="G490" s="37"/>
      <c r="V490" s="37">
        <f t="shared" si="1"/>
        <v>0</v>
      </c>
    </row>
    <row r="491">
      <c r="A491" s="37"/>
      <c r="B491" s="37"/>
      <c r="C491" s="37"/>
      <c r="D491" s="37"/>
      <c r="E491" s="37"/>
      <c r="F491" s="37"/>
      <c r="G491" s="37"/>
      <c r="V491" s="37">
        <f t="shared" si="1"/>
        <v>0</v>
      </c>
    </row>
    <row r="492">
      <c r="A492" s="37"/>
      <c r="B492" s="37"/>
      <c r="C492" s="37"/>
      <c r="D492" s="37"/>
      <c r="E492" s="37"/>
      <c r="F492" s="37"/>
      <c r="G492" s="37"/>
      <c r="V492" s="37">
        <f t="shared" si="1"/>
        <v>0</v>
      </c>
    </row>
    <row r="493">
      <c r="A493" s="37"/>
      <c r="B493" s="37"/>
      <c r="C493" s="37"/>
      <c r="D493" s="37"/>
      <c r="E493" s="37"/>
      <c r="F493" s="37"/>
      <c r="G493" s="37"/>
      <c r="V493" s="37">
        <f t="shared" si="1"/>
        <v>0</v>
      </c>
    </row>
    <row r="494">
      <c r="A494" s="37"/>
      <c r="B494" s="37"/>
      <c r="C494" s="37"/>
      <c r="D494" s="37"/>
      <c r="E494" s="37"/>
      <c r="F494" s="37"/>
      <c r="G494" s="37"/>
      <c r="V494" s="37">
        <f t="shared" si="1"/>
        <v>0</v>
      </c>
    </row>
    <row r="495">
      <c r="A495" s="37"/>
      <c r="B495" s="37"/>
      <c r="C495" s="37"/>
      <c r="D495" s="37"/>
      <c r="E495" s="37"/>
      <c r="F495" s="37"/>
      <c r="G495" s="37"/>
      <c r="V495" s="37">
        <f t="shared" si="1"/>
        <v>0</v>
      </c>
    </row>
    <row r="496">
      <c r="A496" s="37"/>
      <c r="B496" s="37"/>
      <c r="C496" s="37"/>
      <c r="D496" s="37"/>
      <c r="E496" s="37"/>
      <c r="F496" s="37"/>
      <c r="G496" s="37"/>
      <c r="V496" s="37">
        <f t="shared" si="1"/>
        <v>0</v>
      </c>
    </row>
    <row r="497">
      <c r="A497" s="37"/>
      <c r="B497" s="37"/>
      <c r="C497" s="37"/>
      <c r="D497" s="37"/>
      <c r="E497" s="37"/>
      <c r="F497" s="37"/>
      <c r="G497" s="37"/>
      <c r="V497" s="37">
        <f t="shared" si="1"/>
        <v>0</v>
      </c>
    </row>
    <row r="498">
      <c r="A498" s="37"/>
      <c r="B498" s="37"/>
      <c r="C498" s="37"/>
      <c r="D498" s="37"/>
      <c r="E498" s="37"/>
      <c r="F498" s="37"/>
      <c r="G498" s="37"/>
      <c r="V498" s="37">
        <f t="shared" si="1"/>
        <v>0</v>
      </c>
    </row>
    <row r="499">
      <c r="A499" s="37"/>
      <c r="B499" s="37"/>
      <c r="C499" s="37"/>
      <c r="D499" s="37"/>
      <c r="E499" s="37"/>
      <c r="F499" s="37"/>
      <c r="G499" s="37"/>
      <c r="V499" s="37">
        <f t="shared" si="1"/>
        <v>0</v>
      </c>
    </row>
    <row r="500">
      <c r="A500" s="37"/>
      <c r="B500" s="37"/>
      <c r="C500" s="37"/>
      <c r="D500" s="37"/>
      <c r="E500" s="37"/>
      <c r="F500" s="37"/>
      <c r="G500" s="37"/>
      <c r="V500" s="37">
        <f t="shared" si="1"/>
        <v>0</v>
      </c>
    </row>
    <row r="501">
      <c r="A501" s="37"/>
      <c r="B501" s="37"/>
      <c r="C501" s="37"/>
      <c r="D501" s="37"/>
      <c r="E501" s="37"/>
      <c r="F501" s="37"/>
      <c r="G501" s="37"/>
      <c r="V501" s="37">
        <f t="shared" si="1"/>
        <v>0</v>
      </c>
    </row>
    <row r="502">
      <c r="A502" s="37"/>
      <c r="B502" s="37"/>
      <c r="C502" s="37"/>
      <c r="D502" s="37"/>
      <c r="E502" s="37"/>
      <c r="F502" s="37"/>
      <c r="G502" s="37"/>
      <c r="V502" s="37">
        <f t="shared" si="1"/>
        <v>0</v>
      </c>
    </row>
    <row r="503">
      <c r="A503" s="37"/>
      <c r="B503" s="37"/>
      <c r="C503" s="37"/>
      <c r="D503" s="37"/>
      <c r="E503" s="37"/>
      <c r="F503" s="37"/>
      <c r="G503" s="37"/>
      <c r="V503" s="37">
        <f t="shared" si="1"/>
        <v>0</v>
      </c>
    </row>
    <row r="504">
      <c r="A504" s="37"/>
      <c r="B504" s="37"/>
      <c r="C504" s="37"/>
      <c r="D504" s="37"/>
      <c r="E504" s="37"/>
      <c r="F504" s="37"/>
      <c r="G504" s="37"/>
      <c r="V504" s="37">
        <f t="shared" si="1"/>
        <v>0</v>
      </c>
    </row>
    <row r="505">
      <c r="A505" s="37"/>
      <c r="B505" s="37"/>
      <c r="C505" s="37"/>
      <c r="D505" s="37"/>
      <c r="E505" s="37"/>
      <c r="F505" s="37"/>
      <c r="G505" s="37"/>
      <c r="V505" s="37">
        <f t="shared" si="1"/>
        <v>0</v>
      </c>
    </row>
    <row r="506">
      <c r="A506" s="37"/>
      <c r="B506" s="37"/>
      <c r="C506" s="37"/>
      <c r="D506" s="37"/>
      <c r="E506" s="37"/>
      <c r="F506" s="37"/>
      <c r="G506" s="37"/>
      <c r="V506" s="37">
        <f t="shared" si="1"/>
        <v>0</v>
      </c>
    </row>
    <row r="507">
      <c r="A507" s="37"/>
      <c r="B507" s="37"/>
      <c r="C507" s="37"/>
      <c r="D507" s="37"/>
      <c r="E507" s="37"/>
      <c r="F507" s="37"/>
      <c r="G507" s="37"/>
      <c r="V507" s="37">
        <f t="shared" si="1"/>
        <v>0</v>
      </c>
    </row>
    <row r="508">
      <c r="A508" s="37"/>
      <c r="B508" s="37"/>
      <c r="C508" s="37"/>
      <c r="D508" s="37"/>
      <c r="E508" s="37"/>
      <c r="F508" s="37"/>
      <c r="G508" s="37"/>
      <c r="V508" s="37">
        <f t="shared" si="1"/>
        <v>0</v>
      </c>
    </row>
    <row r="509">
      <c r="A509" s="37"/>
      <c r="B509" s="37"/>
      <c r="C509" s="37"/>
      <c r="D509" s="37"/>
      <c r="E509" s="37"/>
      <c r="F509" s="37"/>
      <c r="G509" s="37"/>
      <c r="V509" s="37">
        <f t="shared" si="1"/>
        <v>0</v>
      </c>
    </row>
    <row r="510">
      <c r="A510" s="37"/>
      <c r="B510" s="37"/>
      <c r="C510" s="37"/>
      <c r="D510" s="37"/>
      <c r="E510" s="37"/>
      <c r="F510" s="37"/>
      <c r="G510" s="37"/>
      <c r="V510" s="37">
        <f t="shared" si="1"/>
        <v>0</v>
      </c>
    </row>
    <row r="511">
      <c r="A511" s="37"/>
      <c r="B511" s="37"/>
      <c r="C511" s="37"/>
      <c r="D511" s="37"/>
      <c r="E511" s="37"/>
      <c r="F511" s="37"/>
      <c r="G511" s="37"/>
      <c r="V511" s="37">
        <f t="shared" si="1"/>
        <v>0</v>
      </c>
    </row>
    <row r="512">
      <c r="A512" s="37"/>
      <c r="B512" s="37"/>
      <c r="C512" s="37"/>
      <c r="D512" s="37"/>
      <c r="E512" s="37"/>
      <c r="F512" s="37"/>
      <c r="G512" s="37"/>
      <c r="V512" s="37">
        <f t="shared" si="1"/>
        <v>0</v>
      </c>
    </row>
    <row r="513">
      <c r="A513" s="37"/>
      <c r="B513" s="37"/>
      <c r="C513" s="37"/>
      <c r="D513" s="37"/>
      <c r="E513" s="37"/>
      <c r="F513" s="37"/>
      <c r="G513" s="37"/>
      <c r="V513" s="37">
        <f t="shared" si="1"/>
        <v>0</v>
      </c>
    </row>
    <row r="514">
      <c r="A514" s="37"/>
      <c r="B514" s="37"/>
      <c r="C514" s="37"/>
      <c r="D514" s="37"/>
      <c r="E514" s="37"/>
      <c r="F514" s="37"/>
      <c r="G514" s="37"/>
      <c r="V514" s="37">
        <f t="shared" si="1"/>
        <v>0</v>
      </c>
    </row>
    <row r="515">
      <c r="A515" s="37"/>
      <c r="B515" s="37"/>
      <c r="C515" s="37"/>
      <c r="D515" s="37"/>
      <c r="E515" s="37"/>
      <c r="F515" s="37"/>
      <c r="G515" s="37"/>
      <c r="V515" s="37">
        <f t="shared" si="1"/>
        <v>0</v>
      </c>
    </row>
    <row r="516">
      <c r="A516" s="37"/>
      <c r="B516" s="37"/>
      <c r="C516" s="37"/>
      <c r="D516" s="37"/>
      <c r="E516" s="37"/>
      <c r="F516" s="37"/>
      <c r="G516" s="37"/>
      <c r="V516" s="37">
        <f t="shared" si="1"/>
        <v>0</v>
      </c>
    </row>
    <row r="517">
      <c r="A517" s="37"/>
      <c r="B517" s="37"/>
      <c r="C517" s="37"/>
      <c r="D517" s="37"/>
      <c r="E517" s="37"/>
      <c r="F517" s="37"/>
      <c r="G517" s="37"/>
      <c r="V517" s="37">
        <f t="shared" si="1"/>
        <v>0</v>
      </c>
    </row>
    <row r="518">
      <c r="A518" s="37"/>
      <c r="B518" s="37"/>
      <c r="C518" s="37"/>
      <c r="D518" s="37"/>
      <c r="E518" s="37"/>
      <c r="F518" s="37"/>
      <c r="G518" s="37"/>
      <c r="V518" s="37">
        <f t="shared" si="1"/>
        <v>0</v>
      </c>
    </row>
    <row r="519">
      <c r="A519" s="37"/>
      <c r="B519" s="37"/>
      <c r="C519" s="37"/>
      <c r="D519" s="37"/>
      <c r="E519" s="37"/>
      <c r="F519" s="37"/>
      <c r="G519" s="37"/>
      <c r="V519" s="37">
        <f t="shared" si="1"/>
        <v>0</v>
      </c>
    </row>
    <row r="520">
      <c r="A520" s="37"/>
      <c r="B520" s="37"/>
      <c r="C520" s="37"/>
      <c r="D520" s="37"/>
      <c r="E520" s="37"/>
      <c r="F520" s="37"/>
      <c r="G520" s="37"/>
      <c r="V520" s="37">
        <f t="shared" si="1"/>
        <v>0</v>
      </c>
    </row>
    <row r="521">
      <c r="A521" s="37"/>
      <c r="B521" s="37"/>
      <c r="C521" s="37"/>
      <c r="D521" s="37"/>
      <c r="E521" s="37"/>
      <c r="F521" s="37"/>
      <c r="G521" s="37"/>
      <c r="V521" s="37">
        <f t="shared" si="1"/>
        <v>0</v>
      </c>
    </row>
    <row r="522">
      <c r="A522" s="37"/>
      <c r="B522" s="37"/>
      <c r="C522" s="37"/>
      <c r="D522" s="37"/>
      <c r="E522" s="37"/>
      <c r="F522" s="37"/>
      <c r="G522" s="37"/>
      <c r="V522" s="37">
        <f t="shared" si="1"/>
        <v>0</v>
      </c>
    </row>
    <row r="523">
      <c r="A523" s="37"/>
      <c r="B523" s="37"/>
      <c r="C523" s="37"/>
      <c r="D523" s="37"/>
      <c r="E523" s="37"/>
      <c r="F523" s="37"/>
      <c r="G523" s="37"/>
      <c r="V523" s="37">
        <f t="shared" si="1"/>
        <v>0</v>
      </c>
    </row>
    <row r="524">
      <c r="A524" s="37"/>
      <c r="B524" s="37"/>
      <c r="C524" s="37"/>
      <c r="D524" s="37"/>
      <c r="E524" s="37"/>
      <c r="F524" s="37"/>
      <c r="G524" s="37"/>
      <c r="V524" s="37">
        <f t="shared" si="1"/>
        <v>0</v>
      </c>
    </row>
    <row r="525">
      <c r="A525" s="37"/>
      <c r="B525" s="37"/>
      <c r="C525" s="37"/>
      <c r="D525" s="37"/>
      <c r="E525" s="37"/>
      <c r="F525" s="37"/>
      <c r="G525" s="37"/>
      <c r="V525" s="37">
        <f t="shared" si="1"/>
        <v>0</v>
      </c>
    </row>
    <row r="526">
      <c r="A526" s="37"/>
      <c r="B526" s="37"/>
      <c r="C526" s="37"/>
      <c r="D526" s="37"/>
      <c r="E526" s="37"/>
      <c r="F526" s="37"/>
      <c r="G526" s="37"/>
      <c r="V526" s="37">
        <f t="shared" si="1"/>
        <v>0</v>
      </c>
    </row>
    <row r="527">
      <c r="A527" s="37"/>
      <c r="B527" s="37"/>
      <c r="C527" s="37"/>
      <c r="D527" s="37"/>
      <c r="E527" s="37"/>
      <c r="F527" s="37"/>
      <c r="G527" s="37"/>
      <c r="V527" s="37">
        <f t="shared" si="1"/>
        <v>0</v>
      </c>
    </row>
    <row r="528">
      <c r="A528" s="37"/>
      <c r="B528" s="37"/>
      <c r="C528" s="37"/>
      <c r="D528" s="37"/>
      <c r="E528" s="37"/>
      <c r="F528" s="37"/>
      <c r="G528" s="37"/>
      <c r="V528" s="37">
        <f t="shared" si="1"/>
        <v>0</v>
      </c>
    </row>
    <row r="529">
      <c r="A529" s="37"/>
      <c r="B529" s="37"/>
      <c r="C529" s="37"/>
      <c r="D529" s="37"/>
      <c r="E529" s="37"/>
      <c r="F529" s="37"/>
      <c r="G529" s="37"/>
      <c r="V529" s="37">
        <f t="shared" si="1"/>
        <v>0</v>
      </c>
    </row>
    <row r="530">
      <c r="A530" s="37"/>
      <c r="B530" s="37"/>
      <c r="C530" s="37"/>
      <c r="D530" s="37"/>
      <c r="E530" s="37"/>
      <c r="F530" s="37"/>
      <c r="G530" s="37"/>
      <c r="V530" s="37">
        <f t="shared" si="1"/>
        <v>0</v>
      </c>
    </row>
    <row r="531">
      <c r="A531" s="37"/>
      <c r="B531" s="37"/>
      <c r="C531" s="37"/>
      <c r="D531" s="37"/>
      <c r="E531" s="37"/>
      <c r="F531" s="37"/>
      <c r="G531" s="37"/>
      <c r="V531" s="37">
        <f t="shared" si="1"/>
        <v>0</v>
      </c>
    </row>
    <row r="532">
      <c r="A532" s="37"/>
      <c r="B532" s="37"/>
      <c r="C532" s="37"/>
      <c r="D532" s="37"/>
      <c r="E532" s="37"/>
      <c r="F532" s="37"/>
      <c r="G532" s="37"/>
      <c r="V532" s="37">
        <f t="shared" si="1"/>
        <v>0</v>
      </c>
    </row>
    <row r="533">
      <c r="A533" s="37"/>
      <c r="B533" s="37"/>
      <c r="C533" s="37"/>
      <c r="D533" s="37"/>
      <c r="E533" s="37"/>
      <c r="F533" s="37"/>
      <c r="G533" s="37"/>
      <c r="V533" s="37">
        <f t="shared" si="1"/>
        <v>0</v>
      </c>
    </row>
    <row r="534">
      <c r="A534" s="37"/>
      <c r="B534" s="37"/>
      <c r="C534" s="37"/>
      <c r="D534" s="37"/>
      <c r="E534" s="37"/>
      <c r="F534" s="37"/>
      <c r="G534" s="37"/>
      <c r="V534" s="37">
        <f t="shared" si="1"/>
        <v>0</v>
      </c>
    </row>
    <row r="535">
      <c r="A535" s="37"/>
      <c r="B535" s="37"/>
      <c r="C535" s="37"/>
      <c r="D535" s="37"/>
      <c r="E535" s="37"/>
      <c r="F535" s="37"/>
      <c r="G535" s="37"/>
      <c r="V535" s="37">
        <f t="shared" si="1"/>
        <v>0</v>
      </c>
    </row>
    <row r="536">
      <c r="A536" s="37"/>
      <c r="B536" s="37"/>
      <c r="C536" s="37"/>
      <c r="D536" s="37"/>
      <c r="E536" s="37"/>
      <c r="F536" s="37"/>
      <c r="G536" s="37"/>
      <c r="V536" s="37">
        <f t="shared" si="1"/>
        <v>0</v>
      </c>
    </row>
    <row r="537">
      <c r="A537" s="37"/>
      <c r="B537" s="37"/>
      <c r="C537" s="37"/>
      <c r="D537" s="37"/>
      <c r="E537" s="37"/>
      <c r="F537" s="37"/>
      <c r="G537" s="37"/>
      <c r="V537" s="37">
        <f t="shared" si="1"/>
        <v>0</v>
      </c>
    </row>
    <row r="538">
      <c r="A538" s="37"/>
      <c r="B538" s="37"/>
      <c r="C538" s="37"/>
      <c r="D538" s="37"/>
      <c r="E538" s="37"/>
      <c r="F538" s="37"/>
      <c r="G538" s="37"/>
      <c r="V538" s="37">
        <f t="shared" si="1"/>
        <v>0</v>
      </c>
    </row>
    <row r="539">
      <c r="A539" s="37"/>
      <c r="B539" s="37"/>
      <c r="C539" s="37"/>
      <c r="D539" s="37"/>
      <c r="E539" s="37"/>
      <c r="F539" s="37"/>
      <c r="G539" s="37"/>
      <c r="V539" s="37">
        <f t="shared" si="1"/>
        <v>0</v>
      </c>
    </row>
    <row r="540">
      <c r="A540" s="37"/>
      <c r="B540" s="37"/>
      <c r="C540" s="37"/>
      <c r="D540" s="37"/>
      <c r="E540" s="37"/>
      <c r="F540" s="37"/>
      <c r="G540" s="37"/>
      <c r="V540" s="37">
        <f t="shared" si="1"/>
        <v>0</v>
      </c>
    </row>
    <row r="541">
      <c r="A541" s="37"/>
      <c r="B541" s="37"/>
      <c r="C541" s="37"/>
      <c r="D541" s="37"/>
      <c r="E541" s="37"/>
      <c r="F541" s="37"/>
      <c r="G541" s="37"/>
      <c r="V541" s="37">
        <f t="shared" si="1"/>
        <v>0</v>
      </c>
    </row>
    <row r="542">
      <c r="A542" s="37"/>
      <c r="B542" s="37"/>
      <c r="C542" s="37"/>
      <c r="D542" s="37"/>
      <c r="E542" s="37"/>
      <c r="F542" s="37"/>
      <c r="G542" s="37"/>
      <c r="V542" s="37">
        <f t="shared" si="1"/>
        <v>0</v>
      </c>
    </row>
    <row r="543">
      <c r="A543" s="37"/>
      <c r="B543" s="37"/>
      <c r="C543" s="37"/>
      <c r="D543" s="37"/>
      <c r="E543" s="37"/>
      <c r="F543" s="37"/>
      <c r="G543" s="37"/>
      <c r="V543" s="37">
        <f t="shared" si="1"/>
        <v>0</v>
      </c>
    </row>
    <row r="544">
      <c r="A544" s="37"/>
      <c r="B544" s="37"/>
      <c r="C544" s="37"/>
      <c r="D544" s="37"/>
      <c r="E544" s="37"/>
      <c r="F544" s="37"/>
      <c r="G544" s="37"/>
      <c r="V544" s="37">
        <f t="shared" si="1"/>
        <v>0</v>
      </c>
    </row>
    <row r="545">
      <c r="A545" s="37"/>
      <c r="B545" s="37"/>
      <c r="C545" s="37"/>
      <c r="D545" s="37"/>
      <c r="E545" s="37"/>
      <c r="F545" s="37"/>
      <c r="G545" s="37"/>
      <c r="V545" s="37">
        <f t="shared" si="1"/>
        <v>0</v>
      </c>
    </row>
    <row r="546">
      <c r="A546" s="37"/>
      <c r="B546" s="37"/>
      <c r="C546" s="37"/>
      <c r="D546" s="37"/>
      <c r="E546" s="37"/>
      <c r="F546" s="37"/>
      <c r="G546" s="37"/>
      <c r="V546" s="37">
        <f t="shared" si="1"/>
        <v>0</v>
      </c>
    </row>
    <row r="547">
      <c r="A547" s="37"/>
      <c r="B547" s="37"/>
      <c r="C547" s="37"/>
      <c r="D547" s="37"/>
      <c r="E547" s="37"/>
      <c r="F547" s="37"/>
      <c r="G547" s="37"/>
      <c r="V547" s="37">
        <f t="shared" si="1"/>
        <v>0</v>
      </c>
    </row>
    <row r="548">
      <c r="A548" s="37"/>
      <c r="B548" s="37"/>
      <c r="C548" s="37"/>
      <c r="D548" s="37"/>
      <c r="E548" s="37"/>
      <c r="F548" s="37"/>
      <c r="G548" s="37"/>
      <c r="V548" s="37">
        <f t="shared" si="1"/>
        <v>0</v>
      </c>
    </row>
    <row r="549">
      <c r="A549" s="37"/>
      <c r="B549" s="37"/>
      <c r="C549" s="37"/>
      <c r="D549" s="37"/>
      <c r="E549" s="37"/>
      <c r="F549" s="37"/>
      <c r="G549" s="37"/>
      <c r="V549" s="37">
        <f t="shared" si="1"/>
        <v>0</v>
      </c>
    </row>
    <row r="550">
      <c r="A550" s="37"/>
      <c r="B550" s="37"/>
      <c r="C550" s="37"/>
      <c r="D550" s="37"/>
      <c r="E550" s="37"/>
      <c r="F550" s="37"/>
      <c r="G550" s="37"/>
      <c r="V550" s="37">
        <f t="shared" si="1"/>
        <v>0</v>
      </c>
    </row>
    <row r="551">
      <c r="A551" s="37"/>
      <c r="B551" s="37"/>
      <c r="C551" s="37"/>
      <c r="D551" s="37"/>
      <c r="E551" s="37"/>
      <c r="F551" s="37"/>
      <c r="G551" s="37"/>
      <c r="V551" s="37">
        <f t="shared" si="1"/>
        <v>0</v>
      </c>
    </row>
    <row r="552">
      <c r="A552" s="37"/>
      <c r="B552" s="37"/>
      <c r="C552" s="37"/>
      <c r="D552" s="37"/>
      <c r="E552" s="37"/>
      <c r="F552" s="37"/>
      <c r="G552" s="37"/>
      <c r="V552" s="37">
        <f t="shared" si="1"/>
        <v>0</v>
      </c>
    </row>
    <row r="553">
      <c r="A553" s="37"/>
      <c r="B553" s="37"/>
      <c r="C553" s="37"/>
      <c r="D553" s="37"/>
      <c r="E553" s="37"/>
      <c r="F553" s="37"/>
      <c r="G553" s="37"/>
      <c r="V553" s="37">
        <f t="shared" si="1"/>
        <v>0</v>
      </c>
    </row>
    <row r="554">
      <c r="A554" s="37"/>
      <c r="B554" s="37"/>
      <c r="C554" s="37"/>
      <c r="D554" s="37"/>
      <c r="E554" s="37"/>
      <c r="F554" s="37"/>
      <c r="G554" s="37"/>
      <c r="V554" s="37">
        <f t="shared" si="1"/>
        <v>0</v>
      </c>
    </row>
    <row r="555">
      <c r="A555" s="37"/>
      <c r="B555" s="37"/>
      <c r="C555" s="37"/>
      <c r="D555" s="37"/>
      <c r="E555" s="37"/>
      <c r="F555" s="37"/>
      <c r="G555" s="37"/>
      <c r="V555" s="37">
        <f t="shared" si="1"/>
        <v>0</v>
      </c>
    </row>
    <row r="556">
      <c r="A556" s="37"/>
      <c r="B556" s="37"/>
      <c r="C556" s="37"/>
      <c r="D556" s="37"/>
      <c r="E556" s="37"/>
      <c r="F556" s="37"/>
      <c r="G556" s="37"/>
      <c r="V556" s="37">
        <f t="shared" si="1"/>
        <v>0</v>
      </c>
    </row>
    <row r="557">
      <c r="A557" s="37"/>
      <c r="B557" s="37"/>
      <c r="C557" s="37"/>
      <c r="D557" s="37"/>
      <c r="E557" s="37"/>
      <c r="F557" s="37"/>
      <c r="G557" s="37"/>
      <c r="V557" s="37">
        <f t="shared" si="1"/>
        <v>0</v>
      </c>
    </row>
    <row r="558">
      <c r="A558" s="37"/>
      <c r="B558" s="37"/>
      <c r="C558" s="37"/>
      <c r="D558" s="37"/>
      <c r="E558" s="37"/>
      <c r="F558" s="37"/>
      <c r="G558" s="37"/>
      <c r="V558" s="37">
        <f t="shared" si="1"/>
        <v>0</v>
      </c>
    </row>
    <row r="559">
      <c r="A559" s="37"/>
      <c r="B559" s="37"/>
      <c r="C559" s="37"/>
      <c r="D559" s="37"/>
      <c r="E559" s="37"/>
      <c r="F559" s="37"/>
      <c r="G559" s="37"/>
      <c r="V559" s="37">
        <f t="shared" si="1"/>
        <v>0</v>
      </c>
    </row>
    <row r="560">
      <c r="A560" s="37"/>
      <c r="B560" s="37"/>
      <c r="C560" s="37"/>
      <c r="D560" s="37"/>
      <c r="E560" s="37"/>
      <c r="F560" s="37"/>
      <c r="G560" s="37"/>
      <c r="V560" s="37">
        <f t="shared" si="1"/>
        <v>0</v>
      </c>
    </row>
    <row r="561">
      <c r="A561" s="37"/>
      <c r="B561" s="37"/>
      <c r="C561" s="37"/>
      <c r="D561" s="37"/>
      <c r="E561" s="37"/>
      <c r="F561" s="37"/>
      <c r="G561" s="37"/>
      <c r="V561" s="37">
        <f t="shared" si="1"/>
        <v>0</v>
      </c>
    </row>
    <row r="562">
      <c r="A562" s="37"/>
      <c r="B562" s="37"/>
      <c r="C562" s="37"/>
      <c r="D562" s="37"/>
      <c r="E562" s="37"/>
      <c r="F562" s="37"/>
      <c r="G562" s="37"/>
      <c r="V562" s="37">
        <f t="shared" si="1"/>
        <v>0</v>
      </c>
    </row>
    <row r="563">
      <c r="A563" s="37"/>
      <c r="B563" s="37"/>
      <c r="C563" s="37"/>
      <c r="D563" s="37"/>
      <c r="E563" s="37"/>
      <c r="F563" s="37"/>
      <c r="G563" s="37"/>
      <c r="V563" s="37">
        <f t="shared" si="1"/>
        <v>0</v>
      </c>
    </row>
    <row r="564">
      <c r="A564" s="37"/>
      <c r="B564" s="37"/>
      <c r="C564" s="37"/>
      <c r="D564" s="37"/>
      <c r="E564" s="37"/>
      <c r="F564" s="37"/>
      <c r="G564" s="37"/>
      <c r="V564" s="37">
        <f t="shared" si="1"/>
        <v>0</v>
      </c>
    </row>
    <row r="565">
      <c r="A565" s="37"/>
      <c r="B565" s="37"/>
      <c r="C565" s="37"/>
      <c r="D565" s="37"/>
      <c r="E565" s="37"/>
      <c r="F565" s="37"/>
      <c r="G565" s="37"/>
      <c r="V565" s="37">
        <f t="shared" si="1"/>
        <v>0</v>
      </c>
    </row>
    <row r="566">
      <c r="A566" s="37"/>
      <c r="B566" s="37"/>
      <c r="C566" s="37"/>
      <c r="D566" s="37"/>
      <c r="E566" s="37"/>
      <c r="F566" s="37"/>
      <c r="G566" s="37"/>
      <c r="V566" s="37">
        <f t="shared" si="1"/>
        <v>0</v>
      </c>
    </row>
    <row r="567">
      <c r="A567" s="37"/>
      <c r="B567" s="37"/>
      <c r="C567" s="37"/>
      <c r="D567" s="37"/>
      <c r="E567" s="37"/>
      <c r="F567" s="37"/>
      <c r="G567" s="37"/>
      <c r="V567" s="37">
        <f t="shared" si="1"/>
        <v>0</v>
      </c>
    </row>
    <row r="568">
      <c r="A568" s="37"/>
      <c r="B568" s="37"/>
      <c r="C568" s="37"/>
      <c r="D568" s="37"/>
      <c r="E568" s="37"/>
      <c r="F568" s="37"/>
      <c r="G568" s="37"/>
      <c r="V568" s="37">
        <f t="shared" si="1"/>
        <v>0</v>
      </c>
    </row>
    <row r="569">
      <c r="A569" s="37"/>
      <c r="B569" s="37"/>
      <c r="C569" s="37"/>
      <c r="D569" s="37"/>
      <c r="E569" s="37"/>
      <c r="F569" s="37"/>
      <c r="G569" s="37"/>
      <c r="V569" s="37">
        <f t="shared" si="1"/>
        <v>0</v>
      </c>
    </row>
    <row r="570">
      <c r="A570" s="37"/>
      <c r="B570" s="37"/>
      <c r="C570" s="37"/>
      <c r="D570" s="37"/>
      <c r="E570" s="37"/>
      <c r="F570" s="37"/>
      <c r="G570" s="37"/>
      <c r="V570" s="37">
        <f t="shared" si="1"/>
        <v>0</v>
      </c>
    </row>
    <row r="571">
      <c r="A571" s="37"/>
      <c r="B571" s="37"/>
      <c r="C571" s="37"/>
      <c r="D571" s="37"/>
      <c r="E571" s="37"/>
      <c r="F571" s="37"/>
      <c r="G571" s="37"/>
      <c r="V571" s="37">
        <f t="shared" si="1"/>
        <v>0</v>
      </c>
    </row>
    <row r="572">
      <c r="A572" s="37"/>
      <c r="B572" s="37"/>
      <c r="C572" s="37"/>
      <c r="D572" s="37"/>
      <c r="E572" s="37"/>
      <c r="F572" s="37"/>
      <c r="G572" s="37"/>
      <c r="V572" s="37">
        <f t="shared" si="1"/>
        <v>0</v>
      </c>
    </row>
    <row r="573">
      <c r="A573" s="37"/>
      <c r="B573" s="37"/>
      <c r="C573" s="37"/>
      <c r="D573" s="37"/>
      <c r="E573" s="37"/>
      <c r="F573" s="37"/>
      <c r="G573" s="37"/>
      <c r="V573" s="37">
        <f t="shared" si="1"/>
        <v>0</v>
      </c>
    </row>
    <row r="574">
      <c r="A574" s="37"/>
      <c r="B574" s="37"/>
      <c r="C574" s="37"/>
      <c r="D574" s="37"/>
      <c r="E574" s="37"/>
      <c r="F574" s="37"/>
      <c r="G574" s="37"/>
      <c r="V574" s="37">
        <f t="shared" si="1"/>
        <v>0</v>
      </c>
    </row>
    <row r="575">
      <c r="A575" s="37"/>
      <c r="B575" s="37"/>
      <c r="C575" s="37"/>
      <c r="D575" s="37"/>
      <c r="E575" s="37"/>
      <c r="F575" s="37"/>
      <c r="G575" s="37"/>
      <c r="V575" s="37">
        <f t="shared" si="1"/>
        <v>0</v>
      </c>
    </row>
    <row r="576">
      <c r="A576" s="37"/>
      <c r="B576" s="37"/>
      <c r="C576" s="37"/>
      <c r="D576" s="37"/>
      <c r="E576" s="37"/>
      <c r="F576" s="37"/>
      <c r="G576" s="37"/>
      <c r="V576" s="37">
        <f t="shared" si="1"/>
        <v>0</v>
      </c>
    </row>
    <row r="577">
      <c r="A577" s="37"/>
      <c r="B577" s="37"/>
      <c r="C577" s="37"/>
      <c r="D577" s="37"/>
      <c r="E577" s="37"/>
      <c r="F577" s="37"/>
      <c r="G577" s="37"/>
      <c r="V577" s="37">
        <f t="shared" si="1"/>
        <v>0</v>
      </c>
    </row>
    <row r="578">
      <c r="A578" s="37"/>
      <c r="B578" s="37"/>
      <c r="C578" s="37"/>
      <c r="D578" s="37"/>
      <c r="E578" s="37"/>
      <c r="F578" s="37"/>
      <c r="G578" s="37"/>
      <c r="V578" s="37">
        <f t="shared" si="1"/>
        <v>0</v>
      </c>
    </row>
    <row r="579">
      <c r="A579" s="37"/>
      <c r="B579" s="37"/>
      <c r="C579" s="37"/>
      <c r="D579" s="37"/>
      <c r="E579" s="37"/>
      <c r="F579" s="37"/>
      <c r="G579" s="37"/>
      <c r="V579" s="37">
        <f t="shared" si="1"/>
        <v>0</v>
      </c>
    </row>
    <row r="580">
      <c r="A580" s="37"/>
      <c r="B580" s="37"/>
      <c r="C580" s="37"/>
      <c r="D580" s="37"/>
      <c r="E580" s="37"/>
      <c r="F580" s="37"/>
      <c r="G580" s="37"/>
      <c r="V580" s="37">
        <f t="shared" si="1"/>
        <v>0</v>
      </c>
    </row>
    <row r="581">
      <c r="A581" s="37"/>
      <c r="B581" s="37"/>
      <c r="C581" s="37"/>
      <c r="D581" s="37"/>
      <c r="E581" s="37"/>
      <c r="F581" s="37"/>
      <c r="G581" s="37"/>
      <c r="V581" s="37">
        <f t="shared" si="1"/>
        <v>0</v>
      </c>
    </row>
    <row r="582">
      <c r="A582" s="37"/>
      <c r="B582" s="37"/>
      <c r="C582" s="37"/>
      <c r="D582" s="37"/>
      <c r="E582" s="37"/>
      <c r="F582" s="37"/>
      <c r="G582" s="37"/>
      <c r="V582" s="37">
        <f t="shared" si="1"/>
        <v>0</v>
      </c>
    </row>
    <row r="583">
      <c r="A583" s="37"/>
      <c r="B583" s="37"/>
      <c r="C583" s="37"/>
      <c r="D583" s="37"/>
      <c r="E583" s="37"/>
      <c r="F583" s="37"/>
      <c r="G583" s="37"/>
      <c r="V583" s="37">
        <f t="shared" si="1"/>
        <v>0</v>
      </c>
    </row>
    <row r="584">
      <c r="A584" s="37"/>
      <c r="B584" s="37"/>
      <c r="C584" s="37"/>
      <c r="D584" s="37"/>
      <c r="E584" s="37"/>
      <c r="F584" s="37"/>
      <c r="G584" s="37"/>
      <c r="V584" s="37">
        <f t="shared" si="1"/>
        <v>0</v>
      </c>
    </row>
    <row r="585">
      <c r="A585" s="37"/>
      <c r="B585" s="37"/>
      <c r="C585" s="37"/>
      <c r="D585" s="37"/>
      <c r="E585" s="37"/>
      <c r="F585" s="37"/>
      <c r="G585" s="37"/>
      <c r="V585" s="37">
        <f t="shared" si="1"/>
        <v>0</v>
      </c>
    </row>
    <row r="586">
      <c r="A586" s="37"/>
      <c r="B586" s="37"/>
      <c r="C586" s="37"/>
      <c r="D586" s="37"/>
      <c r="E586" s="37"/>
      <c r="F586" s="37"/>
      <c r="G586" s="37"/>
      <c r="V586" s="37">
        <f t="shared" si="1"/>
        <v>0</v>
      </c>
    </row>
    <row r="587">
      <c r="A587" s="37"/>
      <c r="B587" s="37"/>
      <c r="C587" s="37"/>
      <c r="D587" s="37"/>
      <c r="E587" s="37"/>
      <c r="F587" s="37"/>
      <c r="G587" s="37"/>
      <c r="V587" s="37">
        <f t="shared" si="1"/>
        <v>0</v>
      </c>
    </row>
    <row r="588">
      <c r="A588" s="37"/>
      <c r="B588" s="37"/>
      <c r="C588" s="37"/>
      <c r="D588" s="37"/>
      <c r="E588" s="37"/>
      <c r="F588" s="37"/>
      <c r="G588" s="37"/>
      <c r="V588" s="37">
        <f t="shared" si="1"/>
        <v>0</v>
      </c>
    </row>
    <row r="589">
      <c r="A589" s="37"/>
      <c r="B589" s="37"/>
      <c r="C589" s="37"/>
      <c r="D589" s="37"/>
      <c r="E589" s="37"/>
      <c r="F589" s="37"/>
      <c r="G589" s="37"/>
      <c r="V589" s="37">
        <f t="shared" si="1"/>
        <v>0</v>
      </c>
    </row>
    <row r="590">
      <c r="A590" s="37"/>
      <c r="B590" s="37"/>
      <c r="C590" s="37"/>
      <c r="D590" s="37"/>
      <c r="E590" s="37"/>
      <c r="F590" s="37"/>
      <c r="G590" s="37"/>
      <c r="V590" s="37">
        <f t="shared" si="1"/>
        <v>0</v>
      </c>
    </row>
    <row r="591">
      <c r="A591" s="37"/>
      <c r="B591" s="37"/>
      <c r="C591" s="37"/>
      <c r="D591" s="37"/>
      <c r="E591" s="37"/>
      <c r="F591" s="37"/>
      <c r="G591" s="37"/>
      <c r="V591" s="37">
        <f t="shared" si="1"/>
        <v>0</v>
      </c>
    </row>
    <row r="592">
      <c r="A592" s="37"/>
      <c r="B592" s="37"/>
      <c r="C592" s="37"/>
      <c r="D592" s="37"/>
      <c r="E592" s="37"/>
      <c r="F592" s="37"/>
      <c r="G592" s="37"/>
      <c r="V592" s="37">
        <f t="shared" si="1"/>
        <v>0</v>
      </c>
    </row>
    <row r="593">
      <c r="A593" s="37"/>
      <c r="B593" s="37"/>
      <c r="C593" s="37"/>
      <c r="D593" s="37"/>
      <c r="E593" s="37"/>
      <c r="F593" s="37"/>
      <c r="G593" s="37"/>
      <c r="V593" s="37">
        <f t="shared" si="1"/>
        <v>0</v>
      </c>
    </row>
    <row r="594">
      <c r="A594" s="37"/>
      <c r="B594" s="37"/>
      <c r="C594" s="37"/>
      <c r="D594" s="37"/>
      <c r="E594" s="37"/>
      <c r="F594" s="37"/>
      <c r="G594" s="37"/>
      <c r="V594" s="37">
        <f t="shared" si="1"/>
        <v>0</v>
      </c>
    </row>
    <row r="595">
      <c r="A595" s="37"/>
      <c r="B595" s="37"/>
      <c r="C595" s="37"/>
      <c r="D595" s="37"/>
      <c r="E595" s="37"/>
      <c r="F595" s="37"/>
      <c r="G595" s="37"/>
      <c r="V595" s="37">
        <f t="shared" si="1"/>
        <v>0</v>
      </c>
    </row>
    <row r="596">
      <c r="A596" s="37"/>
      <c r="B596" s="37"/>
      <c r="C596" s="37"/>
      <c r="D596" s="37"/>
      <c r="E596" s="37"/>
      <c r="F596" s="37"/>
      <c r="G596" s="37"/>
      <c r="V596" s="37">
        <f t="shared" si="1"/>
        <v>0</v>
      </c>
    </row>
    <row r="597">
      <c r="A597" s="37"/>
      <c r="B597" s="37"/>
      <c r="C597" s="37"/>
      <c r="D597" s="37"/>
      <c r="E597" s="37"/>
      <c r="F597" s="37"/>
      <c r="G597" s="37"/>
      <c r="V597" s="37">
        <f t="shared" si="1"/>
        <v>0</v>
      </c>
    </row>
    <row r="598">
      <c r="A598" s="37"/>
      <c r="B598" s="37"/>
      <c r="C598" s="37"/>
      <c r="D598" s="37"/>
      <c r="E598" s="37"/>
      <c r="F598" s="37"/>
      <c r="G598" s="37"/>
      <c r="V598" s="37">
        <f t="shared" si="1"/>
        <v>0</v>
      </c>
    </row>
    <row r="599">
      <c r="A599" s="37"/>
      <c r="B599" s="37"/>
      <c r="C599" s="37"/>
      <c r="D599" s="37"/>
      <c r="E599" s="37"/>
      <c r="F599" s="37"/>
      <c r="G599" s="37"/>
      <c r="V599" s="37">
        <f t="shared" si="1"/>
        <v>0</v>
      </c>
    </row>
    <row r="600">
      <c r="A600" s="37"/>
      <c r="B600" s="37"/>
      <c r="C600" s="37"/>
      <c r="D600" s="37"/>
      <c r="E600" s="37"/>
      <c r="F600" s="37"/>
      <c r="G600" s="37"/>
      <c r="V600" s="37">
        <f t="shared" si="1"/>
        <v>0</v>
      </c>
    </row>
    <row r="601">
      <c r="A601" s="37"/>
      <c r="B601" s="37"/>
      <c r="C601" s="37"/>
      <c r="D601" s="37"/>
      <c r="E601" s="37"/>
      <c r="F601" s="37"/>
      <c r="G601" s="37"/>
      <c r="V601" s="37">
        <f t="shared" si="1"/>
        <v>0</v>
      </c>
    </row>
    <row r="602">
      <c r="A602" s="37"/>
      <c r="B602" s="37"/>
      <c r="C602" s="37"/>
      <c r="D602" s="37"/>
      <c r="E602" s="37"/>
      <c r="F602" s="37"/>
      <c r="G602" s="37"/>
      <c r="V602" s="37">
        <f t="shared" si="1"/>
        <v>0</v>
      </c>
    </row>
    <row r="603">
      <c r="A603" s="37"/>
      <c r="B603" s="37"/>
      <c r="C603" s="37"/>
      <c r="D603" s="37"/>
      <c r="E603" s="37"/>
      <c r="F603" s="37"/>
      <c r="G603" s="37"/>
      <c r="V603" s="37">
        <f t="shared" si="1"/>
        <v>0</v>
      </c>
    </row>
    <row r="604">
      <c r="A604" s="37"/>
      <c r="B604" s="37"/>
      <c r="C604" s="37"/>
      <c r="D604" s="37"/>
      <c r="E604" s="37"/>
      <c r="F604" s="37"/>
      <c r="G604" s="37"/>
      <c r="V604" s="37">
        <f t="shared" si="1"/>
        <v>0</v>
      </c>
    </row>
    <row r="605">
      <c r="A605" s="37"/>
      <c r="B605" s="37"/>
      <c r="C605" s="37"/>
      <c r="D605" s="37"/>
      <c r="E605" s="37"/>
      <c r="F605" s="37"/>
      <c r="G605" s="37"/>
      <c r="V605" s="37">
        <f t="shared" si="1"/>
        <v>0</v>
      </c>
    </row>
    <row r="606">
      <c r="A606" s="37"/>
      <c r="B606" s="37"/>
      <c r="C606" s="37"/>
      <c r="D606" s="37"/>
      <c r="E606" s="37"/>
      <c r="F606" s="37"/>
      <c r="G606" s="37"/>
      <c r="V606" s="37">
        <f t="shared" si="1"/>
        <v>0</v>
      </c>
    </row>
    <row r="607">
      <c r="A607" s="37"/>
      <c r="B607" s="37"/>
      <c r="C607" s="37"/>
      <c r="D607" s="37"/>
      <c r="E607" s="37"/>
      <c r="F607" s="37"/>
      <c r="G607" s="37"/>
      <c r="V607" s="37">
        <f t="shared" si="1"/>
        <v>0</v>
      </c>
    </row>
    <row r="608">
      <c r="A608" s="37"/>
      <c r="B608" s="37"/>
      <c r="C608" s="37"/>
      <c r="D608" s="37"/>
      <c r="E608" s="37"/>
      <c r="F608" s="37"/>
      <c r="G608" s="37"/>
      <c r="V608" s="37">
        <f t="shared" si="1"/>
        <v>0</v>
      </c>
    </row>
    <row r="609">
      <c r="A609" s="37"/>
      <c r="B609" s="37"/>
      <c r="C609" s="37"/>
      <c r="D609" s="37"/>
      <c r="E609" s="37"/>
      <c r="F609" s="37"/>
      <c r="G609" s="37"/>
      <c r="V609" s="37">
        <f t="shared" si="1"/>
        <v>0</v>
      </c>
    </row>
    <row r="610">
      <c r="A610" s="37"/>
      <c r="B610" s="37"/>
      <c r="C610" s="37"/>
      <c r="D610" s="37"/>
      <c r="E610" s="37"/>
      <c r="F610" s="37"/>
      <c r="G610" s="37"/>
      <c r="V610" s="37">
        <f t="shared" si="1"/>
        <v>0</v>
      </c>
    </row>
    <row r="611">
      <c r="A611" s="37"/>
      <c r="B611" s="37"/>
      <c r="C611" s="37"/>
      <c r="D611" s="37"/>
      <c r="E611" s="37"/>
      <c r="F611" s="37"/>
      <c r="G611" s="37"/>
      <c r="V611" s="37">
        <f t="shared" si="1"/>
        <v>0</v>
      </c>
    </row>
    <row r="612">
      <c r="A612" s="37"/>
      <c r="B612" s="37"/>
      <c r="C612" s="37"/>
      <c r="D612" s="37"/>
      <c r="E612" s="37"/>
      <c r="F612" s="37"/>
      <c r="G612" s="37"/>
      <c r="V612" s="37">
        <f t="shared" si="1"/>
        <v>0</v>
      </c>
    </row>
    <row r="613">
      <c r="A613" s="37"/>
      <c r="B613" s="37"/>
      <c r="C613" s="37"/>
      <c r="D613" s="37"/>
      <c r="E613" s="37"/>
      <c r="F613" s="37"/>
      <c r="G613" s="37"/>
      <c r="V613" s="37">
        <f t="shared" si="1"/>
        <v>0</v>
      </c>
    </row>
    <row r="614">
      <c r="A614" s="37"/>
      <c r="B614" s="37"/>
      <c r="C614" s="37"/>
      <c r="D614" s="37"/>
      <c r="E614" s="37"/>
      <c r="F614" s="37"/>
      <c r="G614" s="37"/>
      <c r="V614" s="37">
        <f t="shared" si="1"/>
        <v>0</v>
      </c>
    </row>
    <row r="615">
      <c r="A615" s="37"/>
      <c r="B615" s="37"/>
      <c r="C615" s="37"/>
      <c r="D615" s="37"/>
      <c r="E615" s="37"/>
      <c r="F615" s="37"/>
      <c r="G615" s="37"/>
      <c r="V615" s="37">
        <f t="shared" si="1"/>
        <v>0</v>
      </c>
    </row>
    <row r="616">
      <c r="A616" s="37"/>
      <c r="B616" s="37"/>
      <c r="C616" s="37"/>
      <c r="D616" s="37"/>
      <c r="E616" s="37"/>
      <c r="F616" s="37"/>
      <c r="G616" s="37"/>
      <c r="V616" s="37">
        <f t="shared" si="1"/>
        <v>0</v>
      </c>
    </row>
    <row r="617">
      <c r="A617" s="37"/>
      <c r="B617" s="37"/>
      <c r="C617" s="37"/>
      <c r="D617" s="37"/>
      <c r="E617" s="37"/>
      <c r="F617" s="37"/>
      <c r="G617" s="37"/>
      <c r="V617" s="37">
        <f t="shared" si="1"/>
        <v>0</v>
      </c>
    </row>
    <row r="618">
      <c r="A618" s="37"/>
      <c r="B618" s="37"/>
      <c r="C618" s="37"/>
      <c r="D618" s="37"/>
      <c r="E618" s="37"/>
      <c r="F618" s="37"/>
      <c r="G618" s="37"/>
      <c r="V618" s="37">
        <f t="shared" si="1"/>
        <v>0</v>
      </c>
    </row>
    <row r="619">
      <c r="A619" s="37"/>
      <c r="B619" s="37"/>
      <c r="C619" s="37"/>
      <c r="D619" s="37"/>
      <c r="E619" s="37"/>
      <c r="F619" s="37"/>
      <c r="G619" s="37"/>
      <c r="V619" s="37">
        <f t="shared" si="1"/>
        <v>0</v>
      </c>
    </row>
    <row r="620">
      <c r="A620" s="37"/>
      <c r="B620" s="37"/>
      <c r="C620" s="37"/>
      <c r="D620" s="37"/>
      <c r="E620" s="37"/>
      <c r="F620" s="37"/>
      <c r="G620" s="37"/>
      <c r="V620" s="37">
        <f t="shared" si="1"/>
        <v>0</v>
      </c>
    </row>
    <row r="621">
      <c r="A621" s="37"/>
      <c r="B621" s="37"/>
      <c r="C621" s="37"/>
      <c r="D621" s="37"/>
      <c r="E621" s="37"/>
      <c r="F621" s="37"/>
      <c r="G621" s="37"/>
      <c r="V621" s="37">
        <f t="shared" si="1"/>
        <v>0</v>
      </c>
    </row>
    <row r="622">
      <c r="A622" s="37"/>
      <c r="B622" s="37"/>
      <c r="C622" s="37"/>
      <c r="D622" s="37"/>
      <c r="E622" s="37"/>
      <c r="F622" s="37"/>
      <c r="G622" s="37"/>
      <c r="V622" s="37">
        <f t="shared" si="1"/>
        <v>0</v>
      </c>
    </row>
    <row r="623">
      <c r="A623" s="37"/>
      <c r="B623" s="37"/>
      <c r="C623" s="37"/>
      <c r="D623" s="37"/>
      <c r="E623" s="37"/>
      <c r="F623" s="37"/>
      <c r="G623" s="37"/>
      <c r="V623" s="37">
        <f t="shared" si="1"/>
        <v>0</v>
      </c>
    </row>
    <row r="624">
      <c r="A624" s="37"/>
      <c r="B624" s="37"/>
      <c r="C624" s="37"/>
      <c r="D624" s="37"/>
      <c r="E624" s="37"/>
      <c r="F624" s="37"/>
      <c r="G624" s="37"/>
      <c r="V624" s="37">
        <f t="shared" si="1"/>
        <v>0</v>
      </c>
    </row>
    <row r="625">
      <c r="A625" s="37"/>
      <c r="B625" s="37"/>
      <c r="C625" s="37"/>
      <c r="D625" s="37"/>
      <c r="E625" s="37"/>
      <c r="F625" s="37"/>
      <c r="G625" s="37"/>
      <c r="V625" s="37">
        <f t="shared" si="1"/>
        <v>0</v>
      </c>
    </row>
    <row r="626">
      <c r="A626" s="37"/>
      <c r="B626" s="37"/>
      <c r="C626" s="37"/>
      <c r="D626" s="37"/>
      <c r="E626" s="37"/>
      <c r="F626" s="37"/>
      <c r="G626" s="37"/>
      <c r="V626" s="37">
        <f t="shared" si="1"/>
        <v>0</v>
      </c>
    </row>
    <row r="627">
      <c r="A627" s="37"/>
      <c r="B627" s="37"/>
      <c r="C627" s="37"/>
      <c r="D627" s="37"/>
      <c r="E627" s="37"/>
      <c r="F627" s="37"/>
      <c r="G627" s="37"/>
      <c r="V627" s="37">
        <f t="shared" si="1"/>
        <v>0</v>
      </c>
    </row>
    <row r="628">
      <c r="A628" s="37"/>
      <c r="B628" s="37"/>
      <c r="C628" s="37"/>
      <c r="D628" s="37"/>
      <c r="E628" s="37"/>
      <c r="F628" s="37"/>
      <c r="G628" s="37"/>
      <c r="V628" s="37">
        <f t="shared" si="1"/>
        <v>0</v>
      </c>
    </row>
    <row r="629">
      <c r="A629" s="37"/>
      <c r="B629" s="37"/>
      <c r="C629" s="37"/>
      <c r="D629" s="37"/>
      <c r="E629" s="37"/>
      <c r="F629" s="37"/>
      <c r="G629" s="37"/>
      <c r="V629" s="37">
        <f t="shared" si="1"/>
        <v>0</v>
      </c>
    </row>
    <row r="630">
      <c r="A630" s="37"/>
      <c r="B630" s="37"/>
      <c r="C630" s="37"/>
      <c r="D630" s="37"/>
      <c r="E630" s="37"/>
      <c r="F630" s="37"/>
      <c r="G630" s="37"/>
      <c r="V630" s="37">
        <f t="shared" si="1"/>
        <v>0</v>
      </c>
    </row>
    <row r="631">
      <c r="A631" s="37"/>
      <c r="B631" s="37"/>
      <c r="C631" s="37"/>
      <c r="D631" s="37"/>
      <c r="E631" s="37"/>
      <c r="F631" s="37"/>
      <c r="G631" s="37"/>
      <c r="V631" s="37">
        <f t="shared" si="1"/>
        <v>0</v>
      </c>
    </row>
    <row r="632">
      <c r="A632" s="37"/>
      <c r="B632" s="37"/>
      <c r="C632" s="37"/>
      <c r="D632" s="37"/>
      <c r="E632" s="37"/>
      <c r="F632" s="37"/>
      <c r="G632" s="37"/>
      <c r="V632" s="37">
        <f t="shared" si="1"/>
        <v>0</v>
      </c>
    </row>
    <row r="633">
      <c r="A633" s="37"/>
      <c r="B633" s="37"/>
      <c r="C633" s="37"/>
      <c r="D633" s="37"/>
      <c r="E633" s="37"/>
      <c r="F633" s="37"/>
      <c r="G633" s="37"/>
      <c r="V633" s="37">
        <f t="shared" si="1"/>
        <v>0</v>
      </c>
    </row>
    <row r="634">
      <c r="A634" s="37"/>
      <c r="B634" s="37"/>
      <c r="C634" s="37"/>
      <c r="D634" s="37"/>
      <c r="E634" s="37"/>
      <c r="F634" s="37"/>
      <c r="G634" s="37"/>
      <c r="V634" s="37">
        <f t="shared" si="1"/>
        <v>0</v>
      </c>
    </row>
    <row r="635">
      <c r="A635" s="37"/>
      <c r="B635" s="37"/>
      <c r="C635" s="37"/>
      <c r="D635" s="37"/>
      <c r="E635" s="37"/>
      <c r="F635" s="37"/>
      <c r="G635" s="37"/>
      <c r="V635" s="37">
        <f t="shared" si="1"/>
        <v>0</v>
      </c>
    </row>
    <row r="636">
      <c r="A636" s="37"/>
      <c r="B636" s="37"/>
      <c r="C636" s="37"/>
      <c r="D636" s="37"/>
      <c r="E636" s="37"/>
      <c r="F636" s="37"/>
      <c r="G636" s="37"/>
      <c r="V636" s="37">
        <f t="shared" si="1"/>
        <v>0</v>
      </c>
    </row>
    <row r="637">
      <c r="A637" s="37"/>
      <c r="B637" s="37"/>
      <c r="C637" s="37"/>
      <c r="D637" s="37"/>
      <c r="E637" s="37"/>
      <c r="F637" s="37"/>
      <c r="G637" s="37"/>
      <c r="V637" s="37">
        <f t="shared" si="1"/>
        <v>0</v>
      </c>
    </row>
    <row r="638">
      <c r="A638" s="37"/>
      <c r="B638" s="37"/>
      <c r="C638" s="37"/>
      <c r="D638" s="37"/>
      <c r="E638" s="37"/>
      <c r="F638" s="37"/>
      <c r="G638" s="37"/>
      <c r="V638" s="37">
        <f t="shared" si="1"/>
        <v>0</v>
      </c>
    </row>
    <row r="639">
      <c r="A639" s="37"/>
      <c r="B639" s="37"/>
      <c r="C639" s="37"/>
      <c r="D639" s="37"/>
      <c r="E639" s="37"/>
      <c r="F639" s="37"/>
      <c r="G639" s="37"/>
      <c r="V639" s="37">
        <f t="shared" si="1"/>
        <v>0</v>
      </c>
    </row>
    <row r="640">
      <c r="A640" s="37"/>
      <c r="B640" s="37"/>
      <c r="C640" s="37"/>
      <c r="D640" s="37"/>
      <c r="E640" s="37"/>
      <c r="F640" s="37"/>
      <c r="G640" s="37"/>
      <c r="V640" s="37">
        <f t="shared" si="1"/>
        <v>0</v>
      </c>
    </row>
    <row r="641">
      <c r="A641" s="37"/>
      <c r="B641" s="37"/>
      <c r="C641" s="37"/>
      <c r="D641" s="37"/>
      <c r="E641" s="37"/>
      <c r="F641" s="37"/>
      <c r="G641" s="37"/>
      <c r="V641" s="37">
        <f t="shared" si="1"/>
        <v>0</v>
      </c>
    </row>
    <row r="642">
      <c r="A642" s="37"/>
      <c r="B642" s="37"/>
      <c r="C642" s="37"/>
      <c r="D642" s="37"/>
      <c r="E642" s="37"/>
      <c r="F642" s="37"/>
      <c r="G642" s="37"/>
      <c r="V642" s="37">
        <f t="shared" si="1"/>
        <v>0</v>
      </c>
    </row>
    <row r="643">
      <c r="A643" s="37"/>
      <c r="B643" s="37"/>
      <c r="C643" s="37"/>
      <c r="D643" s="37"/>
      <c r="E643" s="37"/>
      <c r="F643" s="37"/>
      <c r="G643" s="37"/>
      <c r="V643" s="37">
        <f t="shared" si="1"/>
        <v>0</v>
      </c>
    </row>
    <row r="644">
      <c r="A644" s="37"/>
      <c r="B644" s="37"/>
      <c r="C644" s="37"/>
      <c r="D644" s="37"/>
      <c r="E644" s="37"/>
      <c r="F644" s="37"/>
      <c r="G644" s="37"/>
      <c r="V644" s="37">
        <f t="shared" si="1"/>
        <v>0</v>
      </c>
    </row>
    <row r="645">
      <c r="A645" s="37"/>
      <c r="B645" s="37"/>
      <c r="C645" s="37"/>
      <c r="D645" s="37"/>
      <c r="E645" s="37"/>
      <c r="F645" s="37"/>
      <c r="G645" s="37"/>
      <c r="V645" s="37">
        <f t="shared" si="1"/>
        <v>0</v>
      </c>
    </row>
    <row r="646">
      <c r="A646" s="37"/>
      <c r="B646" s="37"/>
      <c r="C646" s="37"/>
      <c r="D646" s="37"/>
      <c r="E646" s="37"/>
      <c r="F646" s="37"/>
      <c r="G646" s="37"/>
      <c r="V646" s="37">
        <f t="shared" si="1"/>
        <v>0</v>
      </c>
    </row>
    <row r="647">
      <c r="A647" s="37"/>
      <c r="B647" s="37"/>
      <c r="C647" s="37"/>
      <c r="D647" s="37"/>
      <c r="E647" s="37"/>
      <c r="F647" s="37"/>
      <c r="G647" s="37"/>
      <c r="V647" s="37">
        <f t="shared" si="1"/>
        <v>0</v>
      </c>
    </row>
    <row r="648">
      <c r="A648" s="37"/>
      <c r="B648" s="37"/>
      <c r="C648" s="37"/>
      <c r="D648" s="37"/>
      <c r="E648" s="37"/>
      <c r="F648" s="37"/>
      <c r="G648" s="37"/>
      <c r="V648" s="37">
        <f t="shared" si="1"/>
        <v>0</v>
      </c>
    </row>
    <row r="649">
      <c r="A649" s="37"/>
      <c r="B649" s="37"/>
      <c r="C649" s="37"/>
      <c r="D649" s="37"/>
      <c r="E649" s="37"/>
      <c r="F649" s="37"/>
      <c r="G649" s="37"/>
      <c r="V649" s="37">
        <f t="shared" si="1"/>
        <v>0</v>
      </c>
    </row>
    <row r="650">
      <c r="A650" s="37"/>
      <c r="B650" s="37"/>
      <c r="C650" s="37"/>
      <c r="D650" s="37"/>
      <c r="E650" s="37"/>
      <c r="F650" s="37"/>
      <c r="G650" s="37"/>
      <c r="V650" s="37">
        <f t="shared" si="1"/>
        <v>0</v>
      </c>
    </row>
    <row r="651">
      <c r="A651" s="37"/>
      <c r="B651" s="37"/>
      <c r="C651" s="37"/>
      <c r="D651" s="37"/>
      <c r="E651" s="37"/>
      <c r="F651" s="37"/>
      <c r="G651" s="37"/>
      <c r="V651" s="37">
        <f t="shared" si="1"/>
        <v>0</v>
      </c>
    </row>
    <row r="652">
      <c r="A652" s="37"/>
      <c r="B652" s="37"/>
      <c r="C652" s="37"/>
      <c r="D652" s="37"/>
      <c r="E652" s="37"/>
      <c r="F652" s="37"/>
      <c r="G652" s="37"/>
      <c r="V652" s="37">
        <f t="shared" si="1"/>
        <v>0</v>
      </c>
    </row>
    <row r="653">
      <c r="A653" s="37"/>
      <c r="B653" s="37"/>
      <c r="C653" s="37"/>
      <c r="D653" s="37"/>
      <c r="E653" s="37"/>
      <c r="F653" s="37"/>
      <c r="G653" s="37"/>
      <c r="V653" s="37">
        <f t="shared" si="1"/>
        <v>0</v>
      </c>
    </row>
    <row r="654">
      <c r="A654" s="37"/>
      <c r="B654" s="37"/>
      <c r="C654" s="37"/>
      <c r="D654" s="37"/>
      <c r="E654" s="37"/>
      <c r="F654" s="37"/>
      <c r="G654" s="37"/>
      <c r="V654" s="37">
        <f t="shared" si="1"/>
        <v>0</v>
      </c>
    </row>
    <row r="655">
      <c r="A655" s="37"/>
      <c r="B655" s="37"/>
      <c r="C655" s="37"/>
      <c r="D655" s="37"/>
      <c r="E655" s="37"/>
      <c r="F655" s="37"/>
      <c r="G655" s="37"/>
      <c r="V655" s="37">
        <f t="shared" si="1"/>
        <v>0</v>
      </c>
    </row>
    <row r="656">
      <c r="A656" s="37"/>
      <c r="B656" s="37"/>
      <c r="C656" s="37"/>
      <c r="D656" s="37"/>
      <c r="E656" s="37"/>
      <c r="F656" s="37"/>
      <c r="G656" s="37"/>
      <c r="V656" s="37">
        <f t="shared" si="1"/>
        <v>0</v>
      </c>
    </row>
    <row r="657">
      <c r="A657" s="37"/>
      <c r="B657" s="37"/>
      <c r="C657" s="37"/>
      <c r="D657" s="37"/>
      <c r="E657" s="37"/>
      <c r="F657" s="37"/>
      <c r="G657" s="37"/>
      <c r="V657" s="37">
        <f t="shared" si="1"/>
        <v>0</v>
      </c>
    </row>
    <row r="658">
      <c r="A658" s="37"/>
      <c r="B658" s="37"/>
      <c r="C658" s="37"/>
      <c r="D658" s="37"/>
      <c r="E658" s="37"/>
      <c r="F658" s="37"/>
      <c r="G658" s="37"/>
      <c r="V658" s="37">
        <f t="shared" si="1"/>
        <v>0</v>
      </c>
    </row>
    <row r="659">
      <c r="A659" s="37"/>
      <c r="B659" s="37"/>
      <c r="C659" s="37"/>
      <c r="D659" s="37"/>
      <c r="E659" s="37"/>
      <c r="F659" s="37"/>
      <c r="G659" s="37"/>
      <c r="V659" s="37">
        <f t="shared" si="1"/>
        <v>0</v>
      </c>
    </row>
    <row r="660">
      <c r="A660" s="37"/>
      <c r="B660" s="37"/>
      <c r="C660" s="37"/>
      <c r="D660" s="37"/>
      <c r="E660" s="37"/>
      <c r="F660" s="37"/>
      <c r="G660" s="37"/>
      <c r="V660" s="37">
        <f t="shared" si="1"/>
        <v>0</v>
      </c>
    </row>
    <row r="661">
      <c r="A661" s="37"/>
      <c r="B661" s="37"/>
      <c r="C661" s="37"/>
      <c r="D661" s="37"/>
      <c r="E661" s="37"/>
      <c r="F661" s="37"/>
      <c r="G661" s="37"/>
      <c r="V661" s="37">
        <f t="shared" si="1"/>
        <v>0</v>
      </c>
    </row>
    <row r="662">
      <c r="A662" s="37"/>
      <c r="B662" s="37"/>
      <c r="C662" s="37"/>
      <c r="D662" s="37"/>
      <c r="E662" s="37"/>
      <c r="F662" s="37"/>
      <c r="G662" s="37"/>
      <c r="V662" s="37">
        <f t="shared" si="1"/>
        <v>0</v>
      </c>
    </row>
    <row r="663">
      <c r="A663" s="37"/>
      <c r="B663" s="37"/>
      <c r="C663" s="37"/>
      <c r="D663" s="37"/>
      <c r="E663" s="37"/>
      <c r="F663" s="37"/>
      <c r="G663" s="37"/>
      <c r="V663" s="37">
        <f t="shared" si="1"/>
        <v>0</v>
      </c>
    </row>
    <row r="664">
      <c r="A664" s="37"/>
      <c r="B664" s="37"/>
      <c r="C664" s="37"/>
      <c r="D664" s="37"/>
      <c r="E664" s="37"/>
      <c r="F664" s="37"/>
      <c r="G664" s="37"/>
      <c r="V664" s="37">
        <f t="shared" si="1"/>
        <v>0</v>
      </c>
    </row>
    <row r="665">
      <c r="A665" s="37"/>
      <c r="B665" s="37"/>
      <c r="C665" s="37"/>
      <c r="D665" s="37"/>
      <c r="E665" s="37"/>
      <c r="F665" s="37"/>
      <c r="G665" s="37"/>
      <c r="V665" s="37">
        <f t="shared" si="1"/>
        <v>0</v>
      </c>
    </row>
    <row r="666">
      <c r="A666" s="37"/>
      <c r="B666" s="37"/>
      <c r="C666" s="37"/>
      <c r="D666" s="37"/>
      <c r="E666" s="37"/>
      <c r="F666" s="37"/>
      <c r="G666" s="37"/>
      <c r="V666" s="37">
        <f t="shared" si="1"/>
        <v>0</v>
      </c>
    </row>
    <row r="667">
      <c r="A667" s="37"/>
      <c r="B667" s="37"/>
      <c r="C667" s="37"/>
      <c r="D667" s="37"/>
      <c r="E667" s="37"/>
      <c r="F667" s="37"/>
      <c r="G667" s="37"/>
      <c r="V667" s="37">
        <f t="shared" si="1"/>
        <v>0</v>
      </c>
    </row>
    <row r="668">
      <c r="A668" s="37"/>
      <c r="B668" s="37"/>
      <c r="C668" s="37"/>
      <c r="D668" s="37"/>
      <c r="E668" s="37"/>
      <c r="F668" s="37"/>
      <c r="G668" s="37"/>
      <c r="V668" s="37">
        <f t="shared" si="1"/>
        <v>0</v>
      </c>
    </row>
    <row r="669">
      <c r="A669" s="37"/>
      <c r="B669" s="37"/>
      <c r="C669" s="37"/>
      <c r="D669" s="37"/>
      <c r="E669" s="37"/>
      <c r="F669" s="37"/>
      <c r="G669" s="37"/>
      <c r="V669" s="37">
        <f t="shared" si="1"/>
        <v>0</v>
      </c>
    </row>
    <row r="670">
      <c r="A670" s="37"/>
      <c r="B670" s="37"/>
      <c r="C670" s="37"/>
      <c r="D670" s="37"/>
      <c r="E670" s="37"/>
      <c r="F670" s="37"/>
      <c r="G670" s="37"/>
      <c r="V670" s="37">
        <f t="shared" si="1"/>
        <v>0</v>
      </c>
    </row>
    <row r="671">
      <c r="A671" s="37"/>
      <c r="B671" s="37"/>
      <c r="C671" s="37"/>
      <c r="D671" s="37"/>
      <c r="E671" s="37"/>
      <c r="F671" s="37"/>
      <c r="G671" s="37"/>
      <c r="V671" s="37">
        <f t="shared" si="1"/>
        <v>0</v>
      </c>
    </row>
    <row r="672">
      <c r="A672" s="37"/>
      <c r="B672" s="37"/>
      <c r="C672" s="37"/>
      <c r="D672" s="37"/>
      <c r="E672" s="37"/>
      <c r="F672" s="37"/>
      <c r="G672" s="37"/>
      <c r="V672" s="37">
        <f t="shared" si="1"/>
        <v>0</v>
      </c>
    </row>
    <row r="673">
      <c r="A673" s="37"/>
      <c r="B673" s="37"/>
      <c r="C673" s="37"/>
      <c r="D673" s="37"/>
      <c r="E673" s="37"/>
      <c r="F673" s="37"/>
      <c r="G673" s="37"/>
      <c r="V673" s="37">
        <f t="shared" si="1"/>
        <v>0</v>
      </c>
    </row>
    <row r="674">
      <c r="A674" s="37"/>
      <c r="B674" s="37"/>
      <c r="C674" s="37"/>
      <c r="D674" s="37"/>
      <c r="E674" s="37"/>
      <c r="F674" s="37"/>
      <c r="G674" s="37"/>
      <c r="V674" s="37">
        <f t="shared" si="1"/>
        <v>0</v>
      </c>
    </row>
    <row r="675">
      <c r="A675" s="37"/>
      <c r="B675" s="37"/>
      <c r="C675" s="37"/>
      <c r="D675" s="37"/>
      <c r="E675" s="37"/>
      <c r="F675" s="37"/>
      <c r="G675" s="37"/>
      <c r="V675" s="37">
        <f t="shared" si="1"/>
        <v>0</v>
      </c>
    </row>
    <row r="676">
      <c r="A676" s="37"/>
      <c r="B676" s="37"/>
      <c r="C676" s="37"/>
      <c r="D676" s="37"/>
      <c r="E676" s="37"/>
      <c r="F676" s="37"/>
      <c r="G676" s="37"/>
      <c r="V676" s="37">
        <f t="shared" si="1"/>
        <v>0</v>
      </c>
    </row>
    <row r="677">
      <c r="A677" s="37"/>
      <c r="B677" s="37"/>
      <c r="C677" s="37"/>
      <c r="D677" s="37"/>
      <c r="E677" s="37"/>
      <c r="F677" s="37"/>
      <c r="G677" s="37"/>
      <c r="V677" s="37">
        <f t="shared" si="1"/>
        <v>0</v>
      </c>
    </row>
    <row r="678">
      <c r="A678" s="37"/>
      <c r="B678" s="37"/>
      <c r="C678" s="37"/>
      <c r="D678" s="37"/>
      <c r="E678" s="37"/>
      <c r="F678" s="37"/>
      <c r="G678" s="37"/>
      <c r="V678" s="37">
        <f t="shared" si="1"/>
        <v>0</v>
      </c>
    </row>
    <row r="679">
      <c r="A679" s="37"/>
      <c r="B679" s="37"/>
      <c r="C679" s="37"/>
      <c r="D679" s="37"/>
      <c r="E679" s="37"/>
      <c r="F679" s="37"/>
      <c r="G679" s="37"/>
      <c r="V679" s="37">
        <f t="shared" si="1"/>
        <v>0</v>
      </c>
    </row>
    <row r="680">
      <c r="A680" s="37"/>
      <c r="B680" s="37"/>
      <c r="C680" s="37"/>
      <c r="D680" s="37"/>
      <c r="E680" s="37"/>
      <c r="F680" s="37"/>
      <c r="G680" s="37"/>
      <c r="V680" s="37">
        <f t="shared" si="1"/>
        <v>0</v>
      </c>
    </row>
    <row r="681">
      <c r="A681" s="37"/>
      <c r="B681" s="37"/>
      <c r="C681" s="37"/>
      <c r="D681" s="37"/>
      <c r="E681" s="37"/>
      <c r="F681" s="37"/>
      <c r="G681" s="37"/>
      <c r="V681" s="37">
        <f t="shared" si="1"/>
        <v>0</v>
      </c>
    </row>
    <row r="682">
      <c r="A682" s="37"/>
      <c r="B682" s="37"/>
      <c r="C682" s="37"/>
      <c r="D682" s="37"/>
      <c r="E682" s="37"/>
      <c r="F682" s="37"/>
      <c r="G682" s="37"/>
      <c r="V682" s="37">
        <f t="shared" si="1"/>
        <v>0</v>
      </c>
    </row>
    <row r="683">
      <c r="A683" s="37"/>
      <c r="B683" s="37"/>
      <c r="C683" s="37"/>
      <c r="D683" s="37"/>
      <c r="E683" s="37"/>
      <c r="F683" s="37"/>
      <c r="G683" s="37"/>
      <c r="V683" s="37">
        <f t="shared" si="1"/>
        <v>0</v>
      </c>
    </row>
    <row r="684">
      <c r="A684" s="37"/>
      <c r="B684" s="37"/>
      <c r="C684" s="37"/>
      <c r="D684" s="37"/>
      <c r="E684" s="37"/>
      <c r="F684" s="37"/>
      <c r="G684" s="37"/>
      <c r="V684" s="37">
        <f t="shared" si="1"/>
        <v>0</v>
      </c>
    </row>
    <row r="685">
      <c r="A685" s="37"/>
      <c r="B685" s="37"/>
      <c r="C685" s="37"/>
      <c r="D685" s="37"/>
      <c r="E685" s="37"/>
      <c r="F685" s="37"/>
      <c r="G685" s="37"/>
      <c r="V685" s="37">
        <f t="shared" si="1"/>
        <v>0</v>
      </c>
    </row>
    <row r="686">
      <c r="A686" s="37"/>
      <c r="B686" s="37"/>
      <c r="C686" s="37"/>
      <c r="D686" s="37"/>
      <c r="E686" s="37"/>
      <c r="F686" s="37"/>
      <c r="G686" s="37"/>
      <c r="V686" s="37">
        <f t="shared" si="1"/>
        <v>0</v>
      </c>
    </row>
    <row r="687">
      <c r="A687" s="37"/>
      <c r="B687" s="37"/>
      <c r="C687" s="37"/>
      <c r="D687" s="37"/>
      <c r="E687" s="37"/>
      <c r="F687" s="37"/>
      <c r="G687" s="37"/>
      <c r="V687" s="37">
        <f t="shared" si="1"/>
        <v>0</v>
      </c>
    </row>
    <row r="688">
      <c r="A688" s="37"/>
      <c r="B688" s="37"/>
      <c r="C688" s="37"/>
      <c r="D688" s="37"/>
      <c r="E688" s="37"/>
      <c r="F688" s="37"/>
      <c r="G688" s="37"/>
      <c r="V688" s="37">
        <f t="shared" si="1"/>
        <v>0</v>
      </c>
    </row>
    <row r="689">
      <c r="A689" s="37"/>
      <c r="B689" s="37"/>
      <c r="C689" s="37"/>
      <c r="D689" s="37"/>
      <c r="E689" s="37"/>
      <c r="F689" s="37"/>
      <c r="G689" s="37"/>
      <c r="V689" s="37">
        <f t="shared" si="1"/>
        <v>0</v>
      </c>
    </row>
    <row r="690">
      <c r="A690" s="37"/>
      <c r="B690" s="37"/>
      <c r="C690" s="37"/>
      <c r="D690" s="37"/>
      <c r="E690" s="37"/>
      <c r="F690" s="37"/>
      <c r="G690" s="37"/>
      <c r="V690" s="37">
        <f t="shared" si="1"/>
        <v>0</v>
      </c>
    </row>
    <row r="691">
      <c r="A691" s="37"/>
      <c r="B691" s="37"/>
      <c r="C691" s="37"/>
      <c r="D691" s="37"/>
      <c r="E691" s="37"/>
      <c r="F691" s="37"/>
      <c r="G691" s="37"/>
      <c r="V691" s="37">
        <f t="shared" si="1"/>
        <v>0</v>
      </c>
    </row>
    <row r="692">
      <c r="A692" s="37"/>
      <c r="B692" s="37"/>
      <c r="C692" s="37"/>
      <c r="D692" s="37"/>
      <c r="E692" s="37"/>
      <c r="F692" s="37"/>
      <c r="G692" s="37"/>
      <c r="V692" s="37">
        <f t="shared" si="1"/>
        <v>0</v>
      </c>
    </row>
    <row r="693">
      <c r="A693" s="37"/>
      <c r="B693" s="37"/>
      <c r="C693" s="37"/>
      <c r="D693" s="37"/>
      <c r="E693" s="37"/>
      <c r="F693" s="37"/>
      <c r="G693" s="37"/>
      <c r="V693" s="37">
        <f t="shared" si="1"/>
        <v>0</v>
      </c>
    </row>
    <row r="694">
      <c r="A694" s="37"/>
      <c r="B694" s="37"/>
      <c r="C694" s="37"/>
      <c r="D694" s="37"/>
      <c r="E694" s="37"/>
      <c r="F694" s="37"/>
      <c r="G694" s="37"/>
      <c r="V694" s="37">
        <f t="shared" si="1"/>
        <v>0</v>
      </c>
    </row>
    <row r="695">
      <c r="A695" s="37"/>
      <c r="B695" s="37"/>
      <c r="C695" s="37"/>
      <c r="D695" s="37"/>
      <c r="E695" s="37"/>
      <c r="F695" s="37"/>
      <c r="G695" s="37"/>
      <c r="V695" s="37">
        <f t="shared" si="1"/>
        <v>0</v>
      </c>
    </row>
    <row r="696">
      <c r="A696" s="37"/>
      <c r="B696" s="37"/>
      <c r="C696" s="37"/>
      <c r="D696" s="37"/>
      <c r="E696" s="37"/>
      <c r="F696" s="37"/>
      <c r="G696" s="37"/>
      <c r="V696" s="37">
        <f t="shared" si="1"/>
        <v>0</v>
      </c>
    </row>
    <row r="697">
      <c r="A697" s="37"/>
      <c r="B697" s="37"/>
      <c r="C697" s="37"/>
      <c r="D697" s="37"/>
      <c r="E697" s="37"/>
      <c r="F697" s="37"/>
      <c r="G697" s="37"/>
      <c r="V697" s="37">
        <f t="shared" si="1"/>
        <v>0</v>
      </c>
    </row>
    <row r="698">
      <c r="A698" s="37"/>
      <c r="B698" s="37"/>
      <c r="C698" s="37"/>
      <c r="D698" s="37"/>
      <c r="E698" s="37"/>
      <c r="F698" s="37"/>
      <c r="G698" s="37"/>
      <c r="V698" s="37">
        <f t="shared" si="1"/>
        <v>0</v>
      </c>
    </row>
    <row r="699">
      <c r="A699" s="37"/>
      <c r="B699" s="37"/>
      <c r="C699" s="37"/>
      <c r="D699" s="37"/>
      <c r="E699" s="37"/>
      <c r="F699" s="37"/>
      <c r="G699" s="37"/>
      <c r="V699" s="37">
        <f t="shared" si="1"/>
        <v>0</v>
      </c>
    </row>
    <row r="700">
      <c r="A700" s="37"/>
      <c r="B700" s="37"/>
      <c r="C700" s="37"/>
      <c r="D700" s="37"/>
      <c r="E700" s="37"/>
      <c r="F700" s="37"/>
      <c r="G700" s="37"/>
      <c r="V700" s="37">
        <f t="shared" si="1"/>
        <v>0</v>
      </c>
    </row>
    <row r="701">
      <c r="A701" s="37"/>
      <c r="B701" s="37"/>
      <c r="C701" s="37"/>
      <c r="D701" s="37"/>
      <c r="E701" s="37"/>
      <c r="F701" s="37"/>
      <c r="G701" s="37"/>
      <c r="V701" s="37">
        <f t="shared" si="1"/>
        <v>0</v>
      </c>
    </row>
    <row r="702">
      <c r="A702" s="37"/>
      <c r="B702" s="37"/>
      <c r="C702" s="37"/>
      <c r="D702" s="37"/>
      <c r="E702" s="37"/>
      <c r="F702" s="37"/>
      <c r="G702" s="37"/>
      <c r="V702" s="37">
        <f t="shared" si="1"/>
        <v>0</v>
      </c>
    </row>
    <row r="703">
      <c r="A703" s="37"/>
      <c r="B703" s="37"/>
      <c r="C703" s="37"/>
      <c r="D703" s="37"/>
      <c r="E703" s="37"/>
      <c r="F703" s="37"/>
      <c r="G703" s="37"/>
      <c r="V703" s="37">
        <f t="shared" si="1"/>
        <v>0</v>
      </c>
    </row>
    <row r="704">
      <c r="A704" s="37"/>
      <c r="B704" s="37"/>
      <c r="C704" s="37"/>
      <c r="D704" s="37"/>
      <c r="E704" s="37"/>
      <c r="F704" s="37"/>
      <c r="G704" s="37"/>
      <c r="V704" s="37">
        <f t="shared" si="1"/>
        <v>0</v>
      </c>
    </row>
    <row r="705">
      <c r="A705" s="37"/>
      <c r="B705" s="37"/>
      <c r="C705" s="37"/>
      <c r="D705" s="37"/>
      <c r="E705" s="37"/>
      <c r="F705" s="37"/>
      <c r="G705" s="37"/>
      <c r="V705" s="37">
        <f t="shared" si="1"/>
        <v>0</v>
      </c>
    </row>
    <row r="706">
      <c r="A706" s="37"/>
      <c r="B706" s="37"/>
      <c r="C706" s="37"/>
      <c r="D706" s="37"/>
      <c r="E706" s="37"/>
      <c r="F706" s="37"/>
      <c r="G706" s="37"/>
      <c r="V706" s="37">
        <f t="shared" si="1"/>
        <v>0</v>
      </c>
    </row>
    <row r="707">
      <c r="A707" s="37"/>
      <c r="B707" s="37"/>
      <c r="C707" s="37"/>
      <c r="D707" s="37"/>
      <c r="E707" s="37"/>
      <c r="F707" s="37"/>
      <c r="G707" s="37"/>
      <c r="V707" s="37">
        <f t="shared" si="1"/>
        <v>0</v>
      </c>
    </row>
    <row r="708">
      <c r="A708" s="37"/>
      <c r="B708" s="37"/>
      <c r="C708" s="37"/>
      <c r="D708" s="37"/>
      <c r="E708" s="37"/>
      <c r="F708" s="37"/>
      <c r="G708" s="37"/>
      <c r="V708" s="37">
        <f t="shared" si="1"/>
        <v>0</v>
      </c>
    </row>
    <row r="709">
      <c r="A709" s="37"/>
      <c r="B709" s="37"/>
      <c r="C709" s="37"/>
      <c r="D709" s="37"/>
      <c r="E709" s="37"/>
      <c r="F709" s="37"/>
      <c r="G709" s="37"/>
      <c r="V709" s="37">
        <f t="shared" si="1"/>
        <v>0</v>
      </c>
    </row>
    <row r="710">
      <c r="A710" s="37"/>
      <c r="B710" s="37"/>
      <c r="C710" s="37"/>
      <c r="D710" s="37"/>
      <c r="E710" s="37"/>
      <c r="F710" s="37"/>
      <c r="G710" s="37"/>
      <c r="V710" s="37">
        <f t="shared" si="1"/>
        <v>0</v>
      </c>
    </row>
    <row r="711">
      <c r="A711" s="37"/>
      <c r="B711" s="37"/>
      <c r="C711" s="37"/>
      <c r="D711" s="37"/>
      <c r="E711" s="37"/>
      <c r="F711" s="37"/>
      <c r="G711" s="37"/>
      <c r="V711" s="37">
        <f t="shared" si="1"/>
        <v>0</v>
      </c>
    </row>
    <row r="712">
      <c r="A712" s="37"/>
      <c r="B712" s="37"/>
      <c r="C712" s="37"/>
      <c r="D712" s="37"/>
      <c r="E712" s="37"/>
      <c r="F712" s="37"/>
      <c r="G712" s="37"/>
      <c r="V712" s="37">
        <f t="shared" si="1"/>
        <v>0</v>
      </c>
    </row>
    <row r="713">
      <c r="A713" s="37"/>
      <c r="B713" s="37"/>
      <c r="C713" s="37"/>
      <c r="D713" s="37"/>
      <c r="E713" s="37"/>
      <c r="F713" s="37"/>
      <c r="G713" s="37"/>
      <c r="V713" s="37">
        <f t="shared" si="1"/>
        <v>0</v>
      </c>
    </row>
    <row r="714">
      <c r="A714" s="37"/>
      <c r="B714" s="37"/>
      <c r="C714" s="37"/>
      <c r="D714" s="37"/>
      <c r="E714" s="37"/>
      <c r="F714" s="37"/>
      <c r="G714" s="37"/>
      <c r="V714" s="37">
        <f t="shared" si="1"/>
        <v>0</v>
      </c>
    </row>
    <row r="715">
      <c r="A715" s="37"/>
      <c r="B715" s="37"/>
      <c r="C715" s="37"/>
      <c r="D715" s="37"/>
      <c r="E715" s="37"/>
      <c r="F715" s="37"/>
      <c r="G715" s="37"/>
      <c r="V715" s="37">
        <f t="shared" si="1"/>
        <v>0</v>
      </c>
    </row>
    <row r="716">
      <c r="A716" s="37"/>
      <c r="B716" s="37"/>
      <c r="C716" s="37"/>
      <c r="D716" s="37"/>
      <c r="E716" s="37"/>
      <c r="F716" s="37"/>
      <c r="G716" s="37"/>
      <c r="V716" s="37">
        <f t="shared" si="1"/>
        <v>0</v>
      </c>
    </row>
    <row r="717">
      <c r="A717" s="37"/>
      <c r="B717" s="37"/>
      <c r="C717" s="37"/>
      <c r="D717" s="37"/>
      <c r="E717" s="37"/>
      <c r="F717" s="37"/>
      <c r="G717" s="37"/>
      <c r="V717" s="37">
        <f t="shared" si="1"/>
        <v>0</v>
      </c>
    </row>
    <row r="718">
      <c r="A718" s="37"/>
      <c r="B718" s="37"/>
      <c r="C718" s="37"/>
      <c r="D718" s="37"/>
      <c r="E718" s="37"/>
      <c r="F718" s="37"/>
      <c r="G718" s="37"/>
      <c r="V718" s="37">
        <f t="shared" si="1"/>
        <v>0</v>
      </c>
    </row>
    <row r="719">
      <c r="A719" s="37"/>
      <c r="B719" s="37"/>
      <c r="C719" s="37"/>
      <c r="D719" s="37"/>
      <c r="E719" s="37"/>
      <c r="F719" s="37"/>
      <c r="G719" s="37"/>
      <c r="V719" s="37">
        <f t="shared" si="1"/>
        <v>0</v>
      </c>
    </row>
    <row r="720">
      <c r="A720" s="37"/>
      <c r="B720" s="37"/>
      <c r="C720" s="37"/>
      <c r="D720" s="37"/>
      <c r="E720" s="37"/>
      <c r="F720" s="37"/>
      <c r="G720" s="37"/>
      <c r="V720" s="37">
        <f t="shared" si="1"/>
        <v>0</v>
      </c>
    </row>
    <row r="721">
      <c r="A721" s="37"/>
      <c r="B721" s="37"/>
      <c r="C721" s="37"/>
      <c r="D721" s="37"/>
      <c r="E721" s="37"/>
      <c r="F721" s="37"/>
      <c r="G721" s="37"/>
      <c r="V721" s="37">
        <f t="shared" si="1"/>
        <v>0</v>
      </c>
    </row>
    <row r="722">
      <c r="A722" s="37"/>
      <c r="B722" s="37"/>
      <c r="C722" s="37"/>
      <c r="D722" s="37"/>
      <c r="E722" s="37"/>
      <c r="F722" s="37"/>
      <c r="G722" s="37"/>
      <c r="V722" s="37">
        <f t="shared" si="1"/>
        <v>0</v>
      </c>
    </row>
    <row r="723">
      <c r="A723" s="37"/>
      <c r="B723" s="37"/>
      <c r="C723" s="37"/>
      <c r="D723" s="37"/>
      <c r="E723" s="37"/>
      <c r="F723" s="37"/>
      <c r="G723" s="37"/>
      <c r="V723" s="37">
        <f t="shared" si="1"/>
        <v>0</v>
      </c>
    </row>
    <row r="724">
      <c r="A724" s="37"/>
      <c r="B724" s="37"/>
      <c r="C724" s="37"/>
      <c r="D724" s="37"/>
      <c r="E724" s="37"/>
      <c r="F724" s="37"/>
      <c r="G724" s="37"/>
      <c r="V724" s="37">
        <f t="shared" si="1"/>
        <v>0</v>
      </c>
    </row>
    <row r="725">
      <c r="A725" s="37"/>
      <c r="B725" s="37"/>
      <c r="C725" s="37"/>
      <c r="D725" s="37"/>
      <c r="E725" s="37"/>
      <c r="F725" s="37"/>
      <c r="G725" s="37"/>
      <c r="V725" s="37">
        <f t="shared" si="1"/>
        <v>0</v>
      </c>
    </row>
    <row r="726">
      <c r="A726" s="37"/>
      <c r="B726" s="37"/>
      <c r="C726" s="37"/>
      <c r="D726" s="37"/>
      <c r="E726" s="37"/>
      <c r="F726" s="37"/>
      <c r="G726" s="37"/>
      <c r="V726" s="37">
        <f t="shared" si="1"/>
        <v>0</v>
      </c>
    </row>
    <row r="727">
      <c r="A727" s="37"/>
      <c r="B727" s="37"/>
      <c r="C727" s="37"/>
      <c r="D727" s="37"/>
      <c r="E727" s="37"/>
      <c r="F727" s="37"/>
      <c r="G727" s="37"/>
      <c r="V727" s="37">
        <f t="shared" si="1"/>
        <v>0</v>
      </c>
    </row>
    <row r="728">
      <c r="A728" s="37"/>
      <c r="B728" s="37"/>
      <c r="C728" s="37"/>
      <c r="D728" s="37"/>
      <c r="E728" s="37"/>
      <c r="F728" s="37"/>
      <c r="G728" s="37"/>
      <c r="V728" s="37">
        <f t="shared" si="1"/>
        <v>0</v>
      </c>
    </row>
    <row r="729">
      <c r="A729" s="37"/>
      <c r="B729" s="37"/>
      <c r="C729" s="37"/>
      <c r="D729" s="37"/>
      <c r="E729" s="37"/>
      <c r="F729" s="37"/>
      <c r="G729" s="37"/>
      <c r="V729" s="37">
        <f t="shared" si="1"/>
        <v>0</v>
      </c>
    </row>
    <row r="730">
      <c r="A730" s="37"/>
      <c r="B730" s="37"/>
      <c r="C730" s="37"/>
      <c r="D730" s="37"/>
      <c r="E730" s="37"/>
      <c r="F730" s="37"/>
      <c r="G730" s="37"/>
      <c r="V730" s="37">
        <f t="shared" si="1"/>
        <v>0</v>
      </c>
    </row>
    <row r="731">
      <c r="A731" s="37"/>
      <c r="B731" s="37"/>
      <c r="C731" s="37"/>
      <c r="D731" s="37"/>
      <c r="E731" s="37"/>
      <c r="F731" s="37"/>
      <c r="G731" s="37"/>
      <c r="V731" s="37">
        <f t="shared" si="1"/>
        <v>0</v>
      </c>
    </row>
    <row r="732">
      <c r="A732" s="37"/>
      <c r="B732" s="37"/>
      <c r="C732" s="37"/>
      <c r="D732" s="37"/>
      <c r="E732" s="37"/>
      <c r="F732" s="37"/>
      <c r="G732" s="37"/>
      <c r="V732" s="37">
        <f t="shared" si="1"/>
        <v>0</v>
      </c>
    </row>
    <row r="733">
      <c r="A733" s="37"/>
      <c r="B733" s="37"/>
      <c r="C733" s="37"/>
      <c r="D733" s="37"/>
      <c r="E733" s="37"/>
      <c r="F733" s="37"/>
      <c r="G733" s="37"/>
      <c r="V733" s="37">
        <f t="shared" si="1"/>
        <v>0</v>
      </c>
    </row>
    <row r="734">
      <c r="A734" s="37"/>
      <c r="B734" s="37"/>
      <c r="C734" s="37"/>
      <c r="D734" s="37"/>
      <c r="E734" s="37"/>
      <c r="F734" s="37"/>
      <c r="G734" s="37"/>
      <c r="V734" s="37">
        <f t="shared" si="1"/>
        <v>0</v>
      </c>
    </row>
    <row r="735">
      <c r="A735" s="37"/>
      <c r="B735" s="37"/>
      <c r="C735" s="37"/>
      <c r="D735" s="37"/>
      <c r="E735" s="37"/>
      <c r="F735" s="37"/>
      <c r="G735" s="37"/>
      <c r="V735" s="37">
        <f t="shared" si="1"/>
        <v>0</v>
      </c>
    </row>
    <row r="736">
      <c r="A736" s="37"/>
      <c r="B736" s="37"/>
      <c r="C736" s="37"/>
      <c r="D736" s="37"/>
      <c r="E736" s="37"/>
      <c r="F736" s="37"/>
      <c r="G736" s="37"/>
      <c r="V736" s="37">
        <f t="shared" si="1"/>
        <v>0</v>
      </c>
    </row>
    <row r="737">
      <c r="A737" s="37"/>
      <c r="B737" s="37"/>
      <c r="C737" s="37"/>
      <c r="D737" s="37"/>
      <c r="E737" s="37"/>
      <c r="F737" s="37"/>
      <c r="G737" s="37"/>
      <c r="V737" s="37">
        <f t="shared" si="1"/>
        <v>0</v>
      </c>
    </row>
    <row r="738">
      <c r="A738" s="37"/>
      <c r="B738" s="37"/>
      <c r="C738" s="37"/>
      <c r="D738" s="37"/>
      <c r="E738" s="37"/>
      <c r="F738" s="37"/>
      <c r="G738" s="37"/>
      <c r="V738" s="37">
        <f t="shared" si="1"/>
        <v>0</v>
      </c>
    </row>
    <row r="739">
      <c r="A739" s="37"/>
      <c r="B739" s="37"/>
      <c r="C739" s="37"/>
      <c r="D739" s="37"/>
      <c r="E739" s="37"/>
      <c r="F739" s="37"/>
      <c r="G739" s="37"/>
      <c r="V739" s="37">
        <f t="shared" si="1"/>
        <v>0</v>
      </c>
    </row>
    <row r="740">
      <c r="A740" s="37"/>
      <c r="B740" s="37"/>
      <c r="C740" s="37"/>
      <c r="D740" s="37"/>
      <c r="E740" s="37"/>
      <c r="F740" s="37"/>
      <c r="G740" s="37"/>
      <c r="V740" s="37">
        <f t="shared" si="1"/>
        <v>0</v>
      </c>
    </row>
    <row r="741">
      <c r="A741" s="37"/>
      <c r="B741" s="37"/>
      <c r="C741" s="37"/>
      <c r="D741" s="37"/>
      <c r="E741" s="37"/>
      <c r="F741" s="37"/>
      <c r="G741" s="37"/>
      <c r="V741" s="37">
        <f t="shared" si="1"/>
        <v>0</v>
      </c>
    </row>
    <row r="742">
      <c r="A742" s="37"/>
      <c r="B742" s="37"/>
      <c r="C742" s="37"/>
      <c r="D742" s="37"/>
      <c r="E742" s="37"/>
      <c r="F742" s="37"/>
      <c r="G742" s="37"/>
      <c r="V742" s="37">
        <f t="shared" si="1"/>
        <v>0</v>
      </c>
    </row>
    <row r="743">
      <c r="A743" s="37"/>
      <c r="B743" s="37"/>
      <c r="C743" s="37"/>
      <c r="D743" s="37"/>
      <c r="E743" s="37"/>
      <c r="F743" s="37"/>
      <c r="G743" s="37"/>
      <c r="V743" s="37">
        <f t="shared" si="1"/>
        <v>0</v>
      </c>
    </row>
    <row r="744">
      <c r="A744" s="37"/>
      <c r="B744" s="37"/>
      <c r="C744" s="37"/>
      <c r="D744" s="37"/>
      <c r="E744" s="37"/>
      <c r="F744" s="37"/>
      <c r="G744" s="37"/>
      <c r="V744" s="37">
        <f t="shared" si="1"/>
        <v>0</v>
      </c>
    </row>
    <row r="745">
      <c r="A745" s="37"/>
      <c r="B745" s="37"/>
      <c r="C745" s="37"/>
      <c r="D745" s="37"/>
      <c r="E745" s="37"/>
      <c r="F745" s="37"/>
      <c r="G745" s="37"/>
      <c r="V745" s="37">
        <f t="shared" si="1"/>
        <v>0</v>
      </c>
    </row>
    <row r="746">
      <c r="A746" s="37"/>
      <c r="B746" s="37"/>
      <c r="C746" s="37"/>
      <c r="D746" s="37"/>
      <c r="E746" s="37"/>
      <c r="F746" s="37"/>
      <c r="G746" s="37"/>
      <c r="V746" s="37">
        <f t="shared" si="1"/>
        <v>0</v>
      </c>
    </row>
    <row r="747">
      <c r="A747" s="37"/>
      <c r="B747" s="37"/>
      <c r="C747" s="37"/>
      <c r="D747" s="37"/>
      <c r="E747" s="37"/>
      <c r="F747" s="37"/>
      <c r="G747" s="37"/>
      <c r="V747" s="37">
        <f t="shared" si="1"/>
        <v>0</v>
      </c>
    </row>
    <row r="748">
      <c r="A748" s="37"/>
      <c r="B748" s="37"/>
      <c r="C748" s="37"/>
      <c r="D748" s="37"/>
      <c r="E748" s="37"/>
      <c r="F748" s="37"/>
      <c r="G748" s="37"/>
      <c r="V748" s="37">
        <f t="shared" si="1"/>
        <v>0</v>
      </c>
    </row>
    <row r="749">
      <c r="A749" s="37"/>
      <c r="B749" s="37"/>
      <c r="C749" s="37"/>
      <c r="D749" s="37"/>
      <c r="E749" s="37"/>
      <c r="F749" s="37"/>
      <c r="G749" s="37"/>
      <c r="V749" s="37">
        <f t="shared" si="1"/>
        <v>0</v>
      </c>
    </row>
    <row r="750">
      <c r="A750" s="37"/>
      <c r="B750" s="37"/>
      <c r="C750" s="37"/>
      <c r="D750" s="37"/>
      <c r="E750" s="37"/>
      <c r="F750" s="37"/>
      <c r="G750" s="37"/>
      <c r="V750" s="37">
        <f t="shared" si="1"/>
        <v>0</v>
      </c>
    </row>
    <row r="751">
      <c r="A751" s="37"/>
      <c r="B751" s="37"/>
      <c r="C751" s="37"/>
      <c r="D751" s="37"/>
      <c r="E751" s="37"/>
      <c r="F751" s="37"/>
      <c r="G751" s="37"/>
      <c r="V751" s="37">
        <f t="shared" si="1"/>
        <v>0</v>
      </c>
    </row>
    <row r="752">
      <c r="A752" s="37"/>
      <c r="B752" s="37"/>
      <c r="C752" s="37"/>
      <c r="D752" s="37"/>
      <c r="E752" s="37"/>
      <c r="F752" s="37"/>
      <c r="G752" s="37"/>
      <c r="V752" s="37">
        <f t="shared" si="1"/>
        <v>0</v>
      </c>
    </row>
    <row r="753">
      <c r="A753" s="37"/>
      <c r="B753" s="37"/>
      <c r="C753" s="37"/>
      <c r="D753" s="37"/>
      <c r="E753" s="37"/>
      <c r="F753" s="37"/>
      <c r="G753" s="37"/>
      <c r="V753" s="37">
        <f t="shared" si="1"/>
        <v>0</v>
      </c>
    </row>
    <row r="754">
      <c r="A754" s="37"/>
      <c r="B754" s="37"/>
      <c r="C754" s="37"/>
      <c r="D754" s="37"/>
      <c r="E754" s="37"/>
      <c r="F754" s="37"/>
      <c r="G754" s="37"/>
      <c r="V754" s="37">
        <f t="shared" si="1"/>
        <v>0</v>
      </c>
    </row>
    <row r="755">
      <c r="A755" s="37"/>
      <c r="B755" s="37"/>
      <c r="C755" s="37"/>
      <c r="D755" s="37"/>
      <c r="E755" s="37"/>
      <c r="F755" s="37"/>
      <c r="G755" s="37"/>
      <c r="V755" s="37">
        <f t="shared" si="1"/>
        <v>0</v>
      </c>
    </row>
    <row r="756">
      <c r="A756" s="37"/>
      <c r="B756" s="37"/>
      <c r="C756" s="37"/>
      <c r="D756" s="37"/>
      <c r="E756" s="37"/>
      <c r="F756" s="37"/>
      <c r="G756" s="37"/>
      <c r="V756" s="37">
        <f t="shared" si="1"/>
        <v>0</v>
      </c>
    </row>
    <row r="757">
      <c r="A757" s="37"/>
      <c r="B757" s="37"/>
      <c r="C757" s="37"/>
      <c r="D757" s="37"/>
      <c r="E757" s="37"/>
      <c r="F757" s="37"/>
      <c r="G757" s="37"/>
      <c r="V757" s="37">
        <f t="shared" si="1"/>
        <v>0</v>
      </c>
    </row>
    <row r="758">
      <c r="A758" s="37"/>
      <c r="B758" s="37"/>
      <c r="C758" s="37"/>
      <c r="D758" s="37"/>
      <c r="E758" s="37"/>
      <c r="F758" s="37"/>
      <c r="G758" s="37"/>
      <c r="V758" s="37">
        <f t="shared" si="1"/>
        <v>0</v>
      </c>
    </row>
    <row r="759">
      <c r="A759" s="37"/>
      <c r="B759" s="37"/>
      <c r="C759" s="37"/>
      <c r="D759" s="37"/>
      <c r="E759" s="37"/>
      <c r="F759" s="37"/>
      <c r="G759" s="37"/>
      <c r="V759" s="37">
        <f t="shared" si="1"/>
        <v>0</v>
      </c>
    </row>
    <row r="760">
      <c r="A760" s="37"/>
      <c r="B760" s="37"/>
      <c r="C760" s="37"/>
      <c r="D760" s="37"/>
      <c r="E760" s="37"/>
      <c r="F760" s="37"/>
      <c r="G760" s="37"/>
      <c r="V760" s="37">
        <f t="shared" si="1"/>
        <v>0</v>
      </c>
    </row>
    <row r="761">
      <c r="A761" s="37"/>
      <c r="B761" s="37"/>
      <c r="C761" s="37"/>
      <c r="D761" s="37"/>
      <c r="E761" s="37"/>
      <c r="F761" s="37"/>
      <c r="G761" s="37"/>
      <c r="V761" s="37">
        <f t="shared" si="1"/>
        <v>0</v>
      </c>
    </row>
    <row r="762">
      <c r="A762" s="37"/>
      <c r="B762" s="37"/>
      <c r="C762" s="37"/>
      <c r="D762" s="37"/>
      <c r="E762" s="37"/>
      <c r="F762" s="37"/>
      <c r="G762" s="37"/>
      <c r="V762" s="37">
        <f t="shared" si="1"/>
        <v>0</v>
      </c>
    </row>
    <row r="763">
      <c r="A763" s="37"/>
      <c r="B763" s="37"/>
      <c r="C763" s="37"/>
      <c r="D763" s="37"/>
      <c r="E763" s="37"/>
      <c r="F763" s="37"/>
      <c r="G763" s="37"/>
      <c r="V763" s="37">
        <f t="shared" si="1"/>
        <v>0</v>
      </c>
    </row>
    <row r="764">
      <c r="A764" s="37"/>
      <c r="B764" s="37"/>
      <c r="C764" s="37"/>
      <c r="D764" s="37"/>
      <c r="E764" s="37"/>
      <c r="F764" s="37"/>
      <c r="G764" s="37"/>
      <c r="V764" s="37">
        <f t="shared" si="1"/>
        <v>0</v>
      </c>
    </row>
    <row r="765">
      <c r="A765" s="37"/>
      <c r="B765" s="37"/>
      <c r="C765" s="37"/>
      <c r="D765" s="37"/>
      <c r="E765" s="37"/>
      <c r="F765" s="37"/>
      <c r="G765" s="37"/>
      <c r="V765" s="37">
        <f t="shared" si="1"/>
        <v>0</v>
      </c>
    </row>
    <row r="766">
      <c r="A766" s="37"/>
      <c r="B766" s="37"/>
      <c r="C766" s="37"/>
      <c r="D766" s="37"/>
      <c r="E766" s="37"/>
      <c r="F766" s="37"/>
      <c r="G766" s="37"/>
      <c r="V766" s="37">
        <f t="shared" si="1"/>
        <v>0</v>
      </c>
    </row>
    <row r="767">
      <c r="A767" s="37"/>
      <c r="B767" s="37"/>
      <c r="C767" s="37"/>
      <c r="D767" s="37"/>
      <c r="E767" s="37"/>
      <c r="F767" s="37"/>
      <c r="G767" s="37"/>
      <c r="V767" s="37">
        <f t="shared" si="1"/>
        <v>0</v>
      </c>
    </row>
    <row r="768">
      <c r="A768" s="37"/>
      <c r="B768" s="37"/>
      <c r="C768" s="37"/>
      <c r="D768" s="37"/>
      <c r="E768" s="37"/>
      <c r="F768" s="37"/>
      <c r="G768" s="37"/>
      <c r="V768" s="37">
        <f t="shared" si="1"/>
        <v>0</v>
      </c>
    </row>
    <row r="769">
      <c r="A769" s="37"/>
      <c r="B769" s="37"/>
      <c r="C769" s="37"/>
      <c r="D769" s="37"/>
      <c r="E769" s="37"/>
      <c r="F769" s="37"/>
      <c r="G769" s="37"/>
      <c r="V769" s="37">
        <f t="shared" si="1"/>
        <v>0</v>
      </c>
    </row>
    <row r="770">
      <c r="A770" s="37"/>
      <c r="B770" s="37"/>
      <c r="C770" s="37"/>
      <c r="D770" s="37"/>
      <c r="E770" s="37"/>
      <c r="F770" s="37"/>
      <c r="G770" s="37"/>
      <c r="V770" s="37">
        <f t="shared" si="1"/>
        <v>0</v>
      </c>
    </row>
    <row r="771">
      <c r="A771" s="37"/>
      <c r="B771" s="37"/>
      <c r="C771" s="37"/>
      <c r="D771" s="37"/>
      <c r="E771" s="37"/>
      <c r="F771" s="37"/>
      <c r="G771" s="37"/>
      <c r="V771" s="37">
        <f t="shared" si="1"/>
        <v>0</v>
      </c>
    </row>
    <row r="772">
      <c r="A772" s="37"/>
      <c r="B772" s="37"/>
      <c r="C772" s="37"/>
      <c r="D772" s="37"/>
      <c r="E772" s="37"/>
      <c r="F772" s="37"/>
      <c r="G772" s="37"/>
      <c r="V772" s="37">
        <f t="shared" si="1"/>
        <v>0</v>
      </c>
    </row>
    <row r="773">
      <c r="A773" s="37"/>
      <c r="B773" s="37"/>
      <c r="C773" s="37"/>
      <c r="D773" s="37"/>
      <c r="E773" s="37"/>
      <c r="F773" s="37"/>
      <c r="G773" s="37"/>
      <c r="V773" s="37">
        <f t="shared" si="1"/>
        <v>0</v>
      </c>
    </row>
    <row r="774">
      <c r="A774" s="37"/>
      <c r="B774" s="37"/>
      <c r="C774" s="37"/>
      <c r="D774" s="37"/>
      <c r="E774" s="37"/>
      <c r="F774" s="37"/>
      <c r="G774" s="37"/>
      <c r="V774" s="37">
        <f t="shared" si="1"/>
        <v>0</v>
      </c>
    </row>
    <row r="775">
      <c r="A775" s="37"/>
      <c r="B775" s="37"/>
      <c r="C775" s="37"/>
      <c r="D775" s="37"/>
      <c r="E775" s="37"/>
      <c r="F775" s="37"/>
      <c r="G775" s="37"/>
      <c r="V775" s="37">
        <f t="shared" si="1"/>
        <v>0</v>
      </c>
    </row>
    <row r="776">
      <c r="A776" s="37"/>
      <c r="B776" s="37"/>
      <c r="C776" s="37"/>
      <c r="D776" s="37"/>
      <c r="E776" s="37"/>
      <c r="F776" s="37"/>
      <c r="G776" s="37"/>
      <c r="V776" s="37">
        <f t="shared" si="1"/>
        <v>0</v>
      </c>
    </row>
    <row r="777">
      <c r="A777" s="37"/>
      <c r="B777" s="37"/>
      <c r="C777" s="37"/>
      <c r="D777" s="37"/>
      <c r="E777" s="37"/>
      <c r="F777" s="37"/>
      <c r="G777" s="37"/>
      <c r="V777" s="37">
        <f t="shared" si="1"/>
        <v>0</v>
      </c>
    </row>
    <row r="778">
      <c r="A778" s="37"/>
      <c r="B778" s="37"/>
      <c r="C778" s="37"/>
      <c r="D778" s="37"/>
      <c r="E778" s="37"/>
      <c r="F778" s="37"/>
      <c r="G778" s="37"/>
      <c r="V778" s="37">
        <f t="shared" si="1"/>
        <v>0</v>
      </c>
    </row>
    <row r="779">
      <c r="A779" s="37"/>
      <c r="B779" s="37"/>
      <c r="C779" s="37"/>
      <c r="D779" s="37"/>
      <c r="E779" s="37"/>
      <c r="F779" s="37"/>
      <c r="G779" s="37"/>
      <c r="V779" s="37">
        <f t="shared" si="1"/>
        <v>0</v>
      </c>
    </row>
    <row r="780">
      <c r="A780" s="37"/>
      <c r="B780" s="37"/>
      <c r="C780" s="37"/>
      <c r="D780" s="37"/>
      <c r="E780" s="37"/>
      <c r="F780" s="37"/>
      <c r="G780" s="37"/>
      <c r="V780" s="37">
        <f t="shared" si="1"/>
        <v>0</v>
      </c>
    </row>
    <row r="781">
      <c r="A781" s="37"/>
      <c r="B781" s="37"/>
      <c r="C781" s="37"/>
      <c r="D781" s="37"/>
      <c r="E781" s="37"/>
      <c r="F781" s="37"/>
      <c r="G781" s="37"/>
      <c r="V781" s="37">
        <f t="shared" si="1"/>
        <v>0</v>
      </c>
    </row>
    <row r="782">
      <c r="A782" s="37"/>
      <c r="B782" s="37"/>
      <c r="C782" s="37"/>
      <c r="D782" s="37"/>
      <c r="E782" s="37"/>
      <c r="F782" s="37"/>
      <c r="G782" s="37"/>
      <c r="V782" s="37">
        <f t="shared" si="1"/>
        <v>0</v>
      </c>
    </row>
    <row r="783">
      <c r="A783" s="37"/>
      <c r="B783" s="37"/>
      <c r="C783" s="37"/>
      <c r="D783" s="37"/>
      <c r="E783" s="37"/>
      <c r="F783" s="37"/>
      <c r="G783" s="37"/>
      <c r="V783" s="37">
        <f t="shared" si="1"/>
        <v>0</v>
      </c>
    </row>
    <row r="784">
      <c r="A784" s="37"/>
      <c r="B784" s="37"/>
      <c r="C784" s="37"/>
      <c r="D784" s="37"/>
      <c r="E784" s="37"/>
      <c r="F784" s="37"/>
      <c r="G784" s="37"/>
      <c r="V784" s="37">
        <f t="shared" si="1"/>
        <v>0</v>
      </c>
    </row>
    <row r="785">
      <c r="A785" s="37"/>
      <c r="B785" s="37"/>
      <c r="C785" s="37"/>
      <c r="D785" s="37"/>
      <c r="E785" s="37"/>
      <c r="F785" s="37"/>
      <c r="G785" s="37"/>
      <c r="V785" s="37">
        <f t="shared" si="1"/>
        <v>0</v>
      </c>
    </row>
    <row r="786">
      <c r="A786" s="37"/>
      <c r="B786" s="37"/>
      <c r="C786" s="37"/>
      <c r="D786" s="37"/>
      <c r="E786" s="37"/>
      <c r="F786" s="37"/>
      <c r="G786" s="37"/>
      <c r="V786" s="37">
        <f t="shared" si="1"/>
        <v>0</v>
      </c>
    </row>
    <row r="787">
      <c r="A787" s="37"/>
      <c r="B787" s="37"/>
      <c r="C787" s="37"/>
      <c r="D787" s="37"/>
      <c r="E787" s="37"/>
      <c r="F787" s="37"/>
      <c r="G787" s="37"/>
      <c r="V787" s="37">
        <f t="shared" si="1"/>
        <v>0</v>
      </c>
    </row>
    <row r="788">
      <c r="A788" s="37"/>
      <c r="B788" s="37"/>
      <c r="C788" s="37"/>
      <c r="D788" s="37"/>
      <c r="E788" s="37"/>
      <c r="F788" s="37"/>
      <c r="G788" s="37"/>
      <c r="V788" s="37">
        <f t="shared" si="1"/>
        <v>0</v>
      </c>
    </row>
    <row r="789">
      <c r="A789" s="37"/>
      <c r="B789" s="37"/>
      <c r="C789" s="37"/>
      <c r="D789" s="37"/>
      <c r="E789" s="37"/>
      <c r="F789" s="37"/>
      <c r="G789" s="37"/>
      <c r="V789" s="37">
        <f t="shared" si="1"/>
        <v>0</v>
      </c>
    </row>
    <row r="790">
      <c r="A790" s="37"/>
      <c r="B790" s="37"/>
      <c r="C790" s="37"/>
      <c r="D790" s="37"/>
      <c r="E790" s="37"/>
      <c r="F790" s="37"/>
      <c r="G790" s="37"/>
      <c r="V790" s="37">
        <f t="shared" si="1"/>
        <v>0</v>
      </c>
    </row>
    <row r="791">
      <c r="A791" s="37"/>
      <c r="B791" s="37"/>
      <c r="C791" s="37"/>
      <c r="D791" s="37"/>
      <c r="E791" s="37"/>
      <c r="F791" s="37"/>
      <c r="G791" s="37"/>
      <c r="V791" s="37">
        <f t="shared" si="1"/>
        <v>0</v>
      </c>
    </row>
    <row r="792">
      <c r="A792" s="37"/>
      <c r="B792" s="37"/>
      <c r="C792" s="37"/>
      <c r="D792" s="37"/>
      <c r="E792" s="37"/>
      <c r="F792" s="37"/>
      <c r="G792" s="37"/>
      <c r="V792" s="37">
        <f t="shared" si="1"/>
        <v>0</v>
      </c>
    </row>
    <row r="793">
      <c r="A793" s="37"/>
      <c r="B793" s="37"/>
      <c r="C793" s="37"/>
      <c r="D793" s="37"/>
      <c r="E793" s="37"/>
      <c r="F793" s="37"/>
      <c r="G793" s="37"/>
      <c r="V793" s="37">
        <f t="shared" si="1"/>
        <v>0</v>
      </c>
    </row>
    <row r="794">
      <c r="A794" s="37"/>
      <c r="B794" s="37"/>
      <c r="C794" s="37"/>
      <c r="D794" s="37"/>
      <c r="E794" s="37"/>
      <c r="F794" s="37"/>
      <c r="G794" s="37"/>
      <c r="V794" s="37">
        <f t="shared" si="1"/>
        <v>0</v>
      </c>
    </row>
    <row r="795">
      <c r="A795" s="37"/>
      <c r="B795" s="37"/>
      <c r="C795" s="37"/>
      <c r="D795" s="37"/>
      <c r="E795" s="37"/>
      <c r="F795" s="37"/>
      <c r="G795" s="37"/>
      <c r="V795" s="37">
        <f t="shared" si="1"/>
        <v>0</v>
      </c>
    </row>
    <row r="796">
      <c r="A796" s="37"/>
      <c r="B796" s="37"/>
      <c r="C796" s="37"/>
      <c r="D796" s="37"/>
      <c r="E796" s="37"/>
      <c r="F796" s="37"/>
      <c r="G796" s="37"/>
      <c r="V796" s="37">
        <f t="shared" si="1"/>
        <v>0</v>
      </c>
    </row>
    <row r="797">
      <c r="A797" s="37"/>
      <c r="B797" s="37"/>
      <c r="C797" s="37"/>
      <c r="D797" s="37"/>
      <c r="E797" s="37"/>
      <c r="F797" s="37"/>
      <c r="G797" s="37"/>
      <c r="V797" s="37">
        <f t="shared" si="1"/>
        <v>0</v>
      </c>
    </row>
    <row r="798">
      <c r="A798" s="37"/>
      <c r="B798" s="37"/>
      <c r="C798" s="37"/>
      <c r="D798" s="37"/>
      <c r="E798" s="37"/>
      <c r="F798" s="37"/>
      <c r="G798" s="37"/>
      <c r="V798" s="37">
        <f t="shared" si="1"/>
        <v>0</v>
      </c>
    </row>
    <row r="799">
      <c r="A799" s="37"/>
      <c r="B799" s="37"/>
      <c r="C799" s="37"/>
      <c r="D799" s="37"/>
      <c r="E799" s="37"/>
      <c r="F799" s="37"/>
      <c r="G799" s="37"/>
      <c r="V799" s="37">
        <f t="shared" si="1"/>
        <v>0</v>
      </c>
    </row>
    <row r="800">
      <c r="A800" s="37"/>
      <c r="B800" s="37"/>
      <c r="C800" s="37"/>
      <c r="D800" s="37"/>
      <c r="E800" s="37"/>
      <c r="F800" s="37"/>
      <c r="G800" s="37"/>
      <c r="V800" s="37">
        <f t="shared" si="1"/>
        <v>0</v>
      </c>
    </row>
    <row r="801">
      <c r="A801" s="37"/>
      <c r="B801" s="37"/>
      <c r="C801" s="37"/>
      <c r="D801" s="37"/>
      <c r="E801" s="37"/>
      <c r="F801" s="37"/>
      <c r="G801" s="37"/>
      <c r="V801" s="37">
        <f t="shared" si="1"/>
        <v>0</v>
      </c>
    </row>
    <row r="802">
      <c r="A802" s="37"/>
      <c r="B802" s="37"/>
      <c r="C802" s="37"/>
      <c r="D802" s="37"/>
      <c r="E802" s="37"/>
      <c r="F802" s="37"/>
      <c r="G802" s="37"/>
      <c r="V802" s="37">
        <f t="shared" si="1"/>
        <v>0</v>
      </c>
    </row>
    <row r="803">
      <c r="A803" s="37"/>
      <c r="B803" s="37"/>
      <c r="C803" s="37"/>
      <c r="D803" s="37"/>
      <c r="E803" s="37"/>
      <c r="F803" s="37"/>
      <c r="G803" s="37"/>
      <c r="V803" s="37">
        <f t="shared" si="1"/>
        <v>0</v>
      </c>
    </row>
    <row r="804">
      <c r="A804" s="37"/>
      <c r="B804" s="37"/>
      <c r="C804" s="37"/>
      <c r="D804" s="37"/>
      <c r="E804" s="37"/>
      <c r="F804" s="37"/>
      <c r="G804" s="37"/>
      <c r="V804" s="37">
        <f t="shared" si="1"/>
        <v>0</v>
      </c>
    </row>
    <row r="805">
      <c r="A805" s="37"/>
      <c r="B805" s="37"/>
      <c r="C805" s="37"/>
      <c r="D805" s="37"/>
      <c r="E805" s="37"/>
      <c r="F805" s="37"/>
      <c r="G805" s="37"/>
      <c r="V805" s="37">
        <f t="shared" si="1"/>
        <v>0</v>
      </c>
    </row>
    <row r="806">
      <c r="A806" s="37"/>
      <c r="B806" s="37"/>
      <c r="C806" s="37"/>
      <c r="D806" s="37"/>
      <c r="E806" s="37"/>
      <c r="F806" s="37"/>
      <c r="G806" s="37"/>
      <c r="V806" s="37">
        <f t="shared" si="1"/>
        <v>0</v>
      </c>
    </row>
    <row r="807">
      <c r="A807" s="37"/>
      <c r="B807" s="37"/>
      <c r="C807" s="37"/>
      <c r="D807" s="37"/>
      <c r="E807" s="37"/>
      <c r="F807" s="37"/>
      <c r="G807" s="37"/>
      <c r="V807" s="37">
        <f t="shared" si="1"/>
        <v>0</v>
      </c>
    </row>
    <row r="808">
      <c r="A808" s="37"/>
      <c r="B808" s="37"/>
      <c r="C808" s="37"/>
      <c r="D808" s="37"/>
      <c r="E808" s="37"/>
      <c r="F808" s="37"/>
      <c r="G808" s="37"/>
      <c r="V808" s="37">
        <f t="shared" si="1"/>
        <v>0</v>
      </c>
    </row>
    <row r="809">
      <c r="A809" s="37"/>
      <c r="B809" s="37"/>
      <c r="C809" s="37"/>
      <c r="D809" s="37"/>
      <c r="E809" s="37"/>
      <c r="F809" s="37"/>
      <c r="G809" s="37"/>
      <c r="V809" s="37">
        <f t="shared" si="1"/>
        <v>0</v>
      </c>
    </row>
    <row r="810">
      <c r="A810" s="37"/>
      <c r="B810" s="37"/>
      <c r="C810" s="37"/>
      <c r="D810" s="37"/>
      <c r="E810" s="37"/>
      <c r="F810" s="37"/>
      <c r="G810" s="37"/>
      <c r="V810" s="37">
        <f t="shared" si="1"/>
        <v>0</v>
      </c>
    </row>
    <row r="811">
      <c r="A811" s="37"/>
      <c r="B811" s="37"/>
      <c r="C811" s="37"/>
      <c r="D811" s="37"/>
      <c r="E811" s="37"/>
      <c r="F811" s="37"/>
      <c r="G811" s="37"/>
      <c r="V811" s="37">
        <f t="shared" si="1"/>
        <v>0</v>
      </c>
    </row>
    <row r="812">
      <c r="A812" s="37"/>
      <c r="B812" s="37"/>
      <c r="C812" s="37"/>
      <c r="D812" s="37"/>
      <c r="E812" s="37"/>
      <c r="F812" s="37"/>
      <c r="G812" s="37"/>
      <c r="V812" s="37">
        <f t="shared" si="1"/>
        <v>0</v>
      </c>
    </row>
    <row r="813">
      <c r="A813" s="37"/>
      <c r="B813" s="37"/>
      <c r="C813" s="37"/>
      <c r="D813" s="37"/>
      <c r="E813" s="37"/>
      <c r="F813" s="37"/>
      <c r="G813" s="37"/>
      <c r="V813" s="37">
        <f t="shared" si="1"/>
        <v>0</v>
      </c>
    </row>
    <row r="814">
      <c r="A814" s="37"/>
      <c r="B814" s="37"/>
      <c r="C814" s="37"/>
      <c r="D814" s="37"/>
      <c r="E814" s="37"/>
      <c r="F814" s="37"/>
      <c r="G814" s="37"/>
      <c r="V814" s="37">
        <f t="shared" si="1"/>
        <v>0</v>
      </c>
    </row>
    <row r="815">
      <c r="A815" s="37"/>
      <c r="B815" s="37"/>
      <c r="C815" s="37"/>
      <c r="D815" s="37"/>
      <c r="E815" s="37"/>
      <c r="F815" s="37"/>
      <c r="G815" s="37"/>
      <c r="V815" s="37">
        <f t="shared" si="1"/>
        <v>0</v>
      </c>
    </row>
    <row r="816">
      <c r="A816" s="37"/>
      <c r="B816" s="37"/>
      <c r="C816" s="37"/>
      <c r="D816" s="37"/>
      <c r="E816" s="37"/>
      <c r="F816" s="37"/>
      <c r="G816" s="37"/>
      <c r="V816" s="37">
        <f t="shared" si="1"/>
        <v>0</v>
      </c>
    </row>
    <row r="817">
      <c r="A817" s="37"/>
      <c r="B817" s="37"/>
      <c r="C817" s="37"/>
      <c r="D817" s="37"/>
      <c r="E817" s="37"/>
      <c r="F817" s="37"/>
      <c r="G817" s="37"/>
      <c r="V817" s="37">
        <f t="shared" si="1"/>
        <v>0</v>
      </c>
    </row>
    <row r="818">
      <c r="A818" s="37"/>
      <c r="B818" s="37"/>
      <c r="C818" s="37"/>
      <c r="D818" s="37"/>
      <c r="E818" s="37"/>
      <c r="F818" s="37"/>
      <c r="G818" s="37"/>
      <c r="V818" s="37">
        <f t="shared" si="1"/>
        <v>0</v>
      </c>
    </row>
    <row r="819">
      <c r="A819" s="37"/>
      <c r="B819" s="37"/>
      <c r="C819" s="37"/>
      <c r="D819" s="37"/>
      <c r="E819" s="37"/>
      <c r="F819" s="37"/>
      <c r="G819" s="37"/>
      <c r="V819" s="37">
        <f t="shared" si="1"/>
        <v>0</v>
      </c>
    </row>
    <row r="820">
      <c r="A820" s="37"/>
      <c r="B820" s="37"/>
      <c r="C820" s="37"/>
      <c r="D820" s="37"/>
      <c r="E820" s="37"/>
      <c r="F820" s="37"/>
      <c r="G820" s="37"/>
      <c r="V820" s="37">
        <f t="shared" si="1"/>
        <v>0</v>
      </c>
    </row>
    <row r="821">
      <c r="A821" s="37"/>
      <c r="B821" s="37"/>
      <c r="C821" s="37"/>
      <c r="D821" s="37"/>
      <c r="E821" s="37"/>
      <c r="F821" s="37"/>
      <c r="G821" s="37"/>
      <c r="V821" s="37">
        <f t="shared" si="1"/>
        <v>0</v>
      </c>
    </row>
    <row r="822">
      <c r="A822" s="37"/>
      <c r="B822" s="37"/>
      <c r="C822" s="37"/>
      <c r="D822" s="37"/>
      <c r="E822" s="37"/>
      <c r="F822" s="37"/>
      <c r="G822" s="37"/>
      <c r="V822" s="37">
        <f t="shared" si="1"/>
        <v>0</v>
      </c>
    </row>
    <row r="823">
      <c r="A823" s="37"/>
      <c r="B823" s="37"/>
      <c r="C823" s="37"/>
      <c r="D823" s="37"/>
      <c r="E823" s="37"/>
      <c r="F823" s="37"/>
      <c r="G823" s="37"/>
      <c r="V823" s="37">
        <f t="shared" si="1"/>
        <v>0</v>
      </c>
    </row>
    <row r="824">
      <c r="A824" s="37"/>
      <c r="B824" s="37"/>
      <c r="C824" s="37"/>
      <c r="D824" s="37"/>
      <c r="E824" s="37"/>
      <c r="F824" s="37"/>
      <c r="G824" s="37"/>
      <c r="V824" s="37">
        <f t="shared" si="1"/>
        <v>0</v>
      </c>
    </row>
    <row r="825">
      <c r="A825" s="37"/>
      <c r="B825" s="37"/>
      <c r="C825" s="37"/>
      <c r="D825" s="37"/>
      <c r="E825" s="37"/>
      <c r="F825" s="37"/>
      <c r="G825" s="37"/>
      <c r="V825" s="37">
        <f t="shared" si="1"/>
        <v>0</v>
      </c>
    </row>
    <row r="826">
      <c r="A826" s="37"/>
      <c r="B826" s="37"/>
      <c r="C826" s="37"/>
      <c r="D826" s="37"/>
      <c r="E826" s="37"/>
      <c r="F826" s="37"/>
      <c r="G826" s="37"/>
      <c r="V826" s="37">
        <f t="shared" si="1"/>
        <v>0</v>
      </c>
    </row>
    <row r="827">
      <c r="A827" s="37"/>
      <c r="B827" s="37"/>
      <c r="C827" s="37"/>
      <c r="D827" s="37"/>
      <c r="E827" s="37"/>
      <c r="F827" s="37"/>
      <c r="G827" s="37"/>
      <c r="V827" s="37">
        <f t="shared" si="1"/>
        <v>0</v>
      </c>
    </row>
    <row r="828">
      <c r="A828" s="37"/>
      <c r="B828" s="37"/>
      <c r="C828" s="37"/>
      <c r="D828" s="37"/>
      <c r="E828" s="37"/>
      <c r="F828" s="37"/>
      <c r="G828" s="37"/>
      <c r="V828" s="37">
        <f t="shared" si="1"/>
        <v>0</v>
      </c>
    </row>
    <row r="829">
      <c r="A829" s="37"/>
      <c r="B829" s="37"/>
      <c r="C829" s="37"/>
      <c r="D829" s="37"/>
      <c r="E829" s="37"/>
      <c r="F829" s="37"/>
      <c r="G829" s="37"/>
      <c r="V829" s="37">
        <f t="shared" si="1"/>
        <v>0</v>
      </c>
    </row>
    <row r="830">
      <c r="A830" s="37"/>
      <c r="B830" s="37"/>
      <c r="C830" s="37"/>
      <c r="D830" s="37"/>
      <c r="E830" s="37"/>
      <c r="F830" s="37"/>
      <c r="G830" s="37"/>
      <c r="V830" s="37">
        <f t="shared" si="1"/>
        <v>0</v>
      </c>
    </row>
    <row r="831">
      <c r="A831" s="37"/>
      <c r="B831" s="37"/>
      <c r="C831" s="37"/>
      <c r="D831" s="37"/>
      <c r="E831" s="37"/>
      <c r="F831" s="37"/>
      <c r="G831" s="37"/>
      <c r="V831" s="37">
        <f t="shared" si="1"/>
        <v>0</v>
      </c>
    </row>
    <row r="832">
      <c r="A832" s="37"/>
      <c r="B832" s="37"/>
      <c r="C832" s="37"/>
      <c r="D832" s="37"/>
      <c r="E832" s="37"/>
      <c r="F832" s="37"/>
      <c r="G832" s="37"/>
      <c r="V832" s="37">
        <f t="shared" si="1"/>
        <v>0</v>
      </c>
    </row>
    <row r="833">
      <c r="A833" s="37"/>
      <c r="B833" s="37"/>
      <c r="C833" s="37"/>
      <c r="D833" s="37"/>
      <c r="E833" s="37"/>
      <c r="F833" s="37"/>
      <c r="G833" s="37"/>
      <c r="V833" s="37">
        <f t="shared" si="1"/>
        <v>0</v>
      </c>
    </row>
    <row r="834">
      <c r="A834" s="37"/>
      <c r="B834" s="37"/>
      <c r="C834" s="37"/>
      <c r="D834" s="37"/>
      <c r="E834" s="37"/>
      <c r="F834" s="37"/>
      <c r="G834" s="37"/>
      <c r="V834" s="37">
        <f t="shared" si="1"/>
        <v>0</v>
      </c>
    </row>
    <row r="835">
      <c r="A835" s="37"/>
      <c r="B835" s="37"/>
      <c r="C835" s="37"/>
      <c r="D835" s="37"/>
      <c r="E835" s="37"/>
      <c r="F835" s="37"/>
      <c r="G835" s="37"/>
      <c r="V835" s="37">
        <f t="shared" si="1"/>
        <v>0</v>
      </c>
    </row>
    <row r="836">
      <c r="A836" s="37"/>
      <c r="B836" s="37"/>
      <c r="C836" s="37"/>
      <c r="D836" s="37"/>
      <c r="E836" s="37"/>
      <c r="F836" s="37"/>
      <c r="G836" s="37"/>
      <c r="V836" s="37">
        <f t="shared" si="1"/>
        <v>0</v>
      </c>
    </row>
    <row r="837">
      <c r="A837" s="37"/>
      <c r="B837" s="37"/>
      <c r="C837" s="37"/>
      <c r="D837" s="37"/>
      <c r="E837" s="37"/>
      <c r="F837" s="37"/>
      <c r="G837" s="37"/>
      <c r="V837" s="37">
        <f t="shared" si="1"/>
        <v>0</v>
      </c>
    </row>
    <row r="838">
      <c r="A838" s="37"/>
      <c r="B838" s="37"/>
      <c r="C838" s="37"/>
      <c r="D838" s="37"/>
      <c r="E838" s="37"/>
      <c r="F838" s="37"/>
      <c r="G838" s="37"/>
      <c r="V838" s="37">
        <f t="shared" si="1"/>
        <v>0</v>
      </c>
    </row>
    <row r="839">
      <c r="A839" s="37"/>
      <c r="B839" s="37"/>
      <c r="C839" s="37"/>
      <c r="D839" s="37"/>
      <c r="E839" s="37"/>
      <c r="F839" s="37"/>
      <c r="G839" s="37"/>
      <c r="V839" s="37">
        <f t="shared" si="1"/>
        <v>0</v>
      </c>
    </row>
    <row r="840">
      <c r="A840" s="37"/>
      <c r="B840" s="37"/>
      <c r="C840" s="37"/>
      <c r="D840" s="37"/>
      <c r="E840" s="37"/>
      <c r="F840" s="37"/>
      <c r="G840" s="37"/>
      <c r="V840" s="37">
        <f t="shared" si="1"/>
        <v>0</v>
      </c>
    </row>
    <row r="841">
      <c r="A841" s="37"/>
      <c r="B841" s="37"/>
      <c r="C841" s="37"/>
      <c r="D841" s="37"/>
      <c r="E841" s="37"/>
      <c r="F841" s="37"/>
      <c r="G841" s="37"/>
      <c r="V841" s="37">
        <f t="shared" si="1"/>
        <v>0</v>
      </c>
    </row>
    <row r="842">
      <c r="A842" s="37"/>
      <c r="B842" s="37"/>
      <c r="C842" s="37"/>
      <c r="D842" s="37"/>
      <c r="E842" s="37"/>
      <c r="F842" s="37"/>
      <c r="G842" s="37"/>
      <c r="V842" s="37">
        <f t="shared" si="1"/>
        <v>0</v>
      </c>
    </row>
    <row r="843">
      <c r="A843" s="37"/>
      <c r="B843" s="37"/>
      <c r="C843" s="37"/>
      <c r="D843" s="37"/>
      <c r="E843" s="37"/>
      <c r="F843" s="37"/>
      <c r="G843" s="37"/>
      <c r="V843" s="37">
        <f t="shared" si="1"/>
        <v>0</v>
      </c>
    </row>
    <row r="844">
      <c r="A844" s="37"/>
      <c r="B844" s="37"/>
      <c r="C844" s="37"/>
      <c r="D844" s="37"/>
      <c r="E844" s="37"/>
      <c r="F844" s="37"/>
      <c r="G844" s="37"/>
      <c r="V844" s="37">
        <f t="shared" si="1"/>
        <v>0</v>
      </c>
    </row>
    <row r="845">
      <c r="A845" s="37"/>
      <c r="B845" s="37"/>
      <c r="C845" s="37"/>
      <c r="D845" s="37"/>
      <c r="E845" s="37"/>
      <c r="F845" s="37"/>
      <c r="G845" s="37"/>
      <c r="V845" s="37">
        <f t="shared" si="1"/>
        <v>0</v>
      </c>
    </row>
    <row r="846">
      <c r="A846" s="37"/>
      <c r="B846" s="37"/>
      <c r="C846" s="37"/>
      <c r="D846" s="37"/>
      <c r="E846" s="37"/>
      <c r="F846" s="37"/>
      <c r="G846" s="37"/>
      <c r="V846" s="37">
        <f t="shared" si="1"/>
        <v>0</v>
      </c>
    </row>
    <row r="847">
      <c r="A847" s="37"/>
      <c r="B847" s="37"/>
      <c r="C847" s="37"/>
      <c r="D847" s="37"/>
      <c r="E847" s="37"/>
      <c r="F847" s="37"/>
      <c r="G847" s="37"/>
      <c r="V847" s="37">
        <f t="shared" si="1"/>
        <v>0</v>
      </c>
    </row>
    <row r="848">
      <c r="A848" s="37"/>
      <c r="B848" s="37"/>
      <c r="C848" s="37"/>
      <c r="D848" s="37"/>
      <c r="E848" s="37"/>
      <c r="F848" s="37"/>
      <c r="G848" s="37"/>
      <c r="V848" s="37">
        <f t="shared" si="1"/>
        <v>0</v>
      </c>
    </row>
    <row r="849">
      <c r="A849" s="37"/>
      <c r="B849" s="37"/>
      <c r="C849" s="37"/>
      <c r="D849" s="37"/>
      <c r="E849" s="37"/>
      <c r="F849" s="37"/>
      <c r="G849" s="37"/>
      <c r="V849" s="37">
        <f t="shared" si="1"/>
        <v>0</v>
      </c>
    </row>
    <row r="850">
      <c r="A850" s="37"/>
      <c r="B850" s="37"/>
      <c r="C850" s="37"/>
      <c r="D850" s="37"/>
      <c r="E850" s="37"/>
      <c r="F850" s="37"/>
      <c r="G850" s="37"/>
      <c r="V850" s="37">
        <f t="shared" si="1"/>
        <v>0</v>
      </c>
    </row>
    <row r="851">
      <c r="A851" s="37"/>
      <c r="B851" s="37"/>
      <c r="C851" s="37"/>
      <c r="D851" s="37"/>
      <c r="E851" s="37"/>
      <c r="F851" s="37"/>
      <c r="G851" s="37"/>
      <c r="V851" s="37">
        <f t="shared" si="1"/>
        <v>0</v>
      </c>
    </row>
    <row r="852">
      <c r="A852" s="37"/>
      <c r="B852" s="37"/>
      <c r="C852" s="37"/>
      <c r="D852" s="37"/>
      <c r="E852" s="37"/>
      <c r="F852" s="37"/>
      <c r="G852" s="37"/>
      <c r="V852" s="37">
        <f t="shared" si="1"/>
        <v>0</v>
      </c>
    </row>
    <row r="853">
      <c r="A853" s="37"/>
      <c r="B853" s="37"/>
      <c r="C853" s="37"/>
      <c r="D853" s="37"/>
      <c r="E853" s="37"/>
      <c r="F853" s="37"/>
      <c r="G853" s="37"/>
      <c r="V853" s="37">
        <f t="shared" si="1"/>
        <v>0</v>
      </c>
    </row>
    <row r="854">
      <c r="A854" s="37"/>
      <c r="B854" s="37"/>
      <c r="C854" s="37"/>
      <c r="D854" s="37"/>
      <c r="E854" s="37"/>
      <c r="F854" s="37"/>
      <c r="G854" s="37"/>
      <c r="V854" s="37">
        <f t="shared" si="1"/>
        <v>0</v>
      </c>
    </row>
    <row r="855">
      <c r="A855" s="37"/>
      <c r="B855" s="37"/>
      <c r="C855" s="37"/>
      <c r="D855" s="37"/>
      <c r="E855" s="37"/>
      <c r="F855" s="37"/>
      <c r="G855" s="37"/>
      <c r="V855" s="37">
        <f t="shared" si="1"/>
        <v>0</v>
      </c>
    </row>
    <row r="856">
      <c r="A856" s="37"/>
      <c r="B856" s="37"/>
      <c r="C856" s="37"/>
      <c r="D856" s="37"/>
      <c r="E856" s="37"/>
      <c r="F856" s="37"/>
      <c r="G856" s="37"/>
      <c r="V856" s="37">
        <f t="shared" si="1"/>
        <v>0</v>
      </c>
    </row>
    <row r="857">
      <c r="A857" s="37"/>
      <c r="B857" s="37"/>
      <c r="C857" s="37"/>
      <c r="D857" s="37"/>
      <c r="E857" s="37"/>
      <c r="F857" s="37"/>
      <c r="G857" s="37"/>
      <c r="V857" s="37">
        <f t="shared" si="1"/>
        <v>0</v>
      </c>
    </row>
    <row r="858">
      <c r="A858" s="37"/>
      <c r="B858" s="37"/>
      <c r="C858" s="37"/>
      <c r="D858" s="37"/>
      <c r="E858" s="37"/>
      <c r="F858" s="37"/>
      <c r="G858" s="37"/>
      <c r="V858" s="37">
        <f t="shared" si="1"/>
        <v>0</v>
      </c>
    </row>
    <row r="859">
      <c r="A859" s="37"/>
      <c r="B859" s="37"/>
      <c r="C859" s="37"/>
      <c r="D859" s="37"/>
      <c r="E859" s="37"/>
      <c r="F859" s="37"/>
      <c r="G859" s="37"/>
      <c r="V859" s="37">
        <f t="shared" si="1"/>
        <v>0</v>
      </c>
    </row>
    <row r="860">
      <c r="A860" s="37"/>
      <c r="B860" s="37"/>
      <c r="C860" s="37"/>
      <c r="D860" s="37"/>
      <c r="E860" s="37"/>
      <c r="F860" s="37"/>
      <c r="G860" s="37"/>
      <c r="V860" s="37">
        <f t="shared" si="1"/>
        <v>0</v>
      </c>
    </row>
    <row r="861">
      <c r="A861" s="37"/>
      <c r="B861" s="37"/>
      <c r="C861" s="37"/>
      <c r="D861" s="37"/>
      <c r="E861" s="37"/>
      <c r="F861" s="37"/>
      <c r="G861" s="37"/>
      <c r="V861" s="37">
        <f t="shared" si="1"/>
        <v>0</v>
      </c>
    </row>
    <row r="862">
      <c r="A862" s="37"/>
      <c r="B862" s="37"/>
      <c r="C862" s="37"/>
      <c r="D862" s="37"/>
      <c r="E862" s="37"/>
      <c r="F862" s="37"/>
      <c r="G862" s="37"/>
      <c r="V862" s="37">
        <f t="shared" si="1"/>
        <v>0</v>
      </c>
    </row>
    <row r="863">
      <c r="A863" s="37"/>
      <c r="B863" s="37"/>
      <c r="C863" s="37"/>
      <c r="D863" s="37"/>
      <c r="E863" s="37"/>
      <c r="F863" s="37"/>
      <c r="G863" s="37"/>
      <c r="V863" s="37">
        <f t="shared" si="1"/>
        <v>0</v>
      </c>
    </row>
    <row r="864">
      <c r="A864" s="37"/>
      <c r="B864" s="37"/>
      <c r="C864" s="37"/>
      <c r="D864" s="37"/>
      <c r="E864" s="37"/>
      <c r="F864" s="37"/>
      <c r="G864" s="37"/>
      <c r="V864" s="37">
        <f t="shared" si="1"/>
        <v>0</v>
      </c>
    </row>
    <row r="865">
      <c r="A865" s="37"/>
      <c r="B865" s="37"/>
      <c r="C865" s="37"/>
      <c r="D865" s="37"/>
      <c r="E865" s="37"/>
      <c r="F865" s="37"/>
      <c r="G865" s="37"/>
      <c r="V865" s="37">
        <f t="shared" si="1"/>
        <v>0</v>
      </c>
    </row>
    <row r="866">
      <c r="A866" s="37"/>
      <c r="B866" s="37"/>
      <c r="C866" s="37"/>
      <c r="D866" s="37"/>
      <c r="E866" s="37"/>
      <c r="F866" s="37"/>
      <c r="G866" s="37"/>
      <c r="V866" s="37">
        <f t="shared" si="1"/>
        <v>0</v>
      </c>
    </row>
    <row r="867">
      <c r="A867" s="37"/>
      <c r="B867" s="37"/>
      <c r="C867" s="37"/>
      <c r="D867" s="37"/>
      <c r="E867" s="37"/>
      <c r="F867" s="37"/>
      <c r="G867" s="37"/>
      <c r="V867" s="37">
        <f t="shared" si="1"/>
        <v>0</v>
      </c>
    </row>
    <row r="868">
      <c r="A868" s="37"/>
      <c r="B868" s="37"/>
      <c r="C868" s="37"/>
      <c r="D868" s="37"/>
      <c r="E868" s="37"/>
      <c r="F868" s="37"/>
      <c r="G868" s="37"/>
      <c r="V868" s="37">
        <f t="shared" si="1"/>
        <v>0</v>
      </c>
    </row>
    <row r="869">
      <c r="A869" s="37"/>
      <c r="B869" s="37"/>
      <c r="C869" s="37"/>
      <c r="D869" s="37"/>
      <c r="E869" s="37"/>
      <c r="F869" s="37"/>
      <c r="G869" s="37"/>
      <c r="V869" s="37">
        <f t="shared" si="1"/>
        <v>0</v>
      </c>
    </row>
    <row r="870">
      <c r="A870" s="37"/>
      <c r="B870" s="37"/>
      <c r="C870" s="37"/>
      <c r="D870" s="37"/>
      <c r="E870" s="37"/>
      <c r="F870" s="37"/>
      <c r="G870" s="37"/>
      <c r="V870" s="37">
        <f t="shared" si="1"/>
        <v>0</v>
      </c>
    </row>
    <row r="871">
      <c r="A871" s="37"/>
      <c r="B871" s="37"/>
      <c r="C871" s="37"/>
      <c r="D871" s="37"/>
      <c r="E871" s="37"/>
      <c r="F871" s="37"/>
      <c r="G871" s="37"/>
      <c r="V871" s="37">
        <f t="shared" si="1"/>
        <v>0</v>
      </c>
    </row>
    <row r="872">
      <c r="A872" s="37"/>
      <c r="B872" s="37"/>
      <c r="C872" s="37"/>
      <c r="D872" s="37"/>
      <c r="E872" s="37"/>
      <c r="F872" s="37"/>
      <c r="G872" s="37"/>
      <c r="V872" s="37">
        <f t="shared" si="1"/>
        <v>0</v>
      </c>
    </row>
    <row r="873">
      <c r="A873" s="37"/>
      <c r="B873" s="37"/>
      <c r="C873" s="37"/>
      <c r="D873" s="37"/>
      <c r="E873" s="37"/>
      <c r="F873" s="37"/>
      <c r="G873" s="37"/>
      <c r="V873" s="37">
        <f t="shared" si="1"/>
        <v>0</v>
      </c>
    </row>
    <row r="874">
      <c r="A874" s="37"/>
      <c r="B874" s="37"/>
      <c r="C874" s="37"/>
      <c r="D874" s="37"/>
      <c r="E874" s="37"/>
      <c r="F874" s="37"/>
      <c r="G874" s="37"/>
      <c r="V874" s="37">
        <f t="shared" si="1"/>
        <v>0</v>
      </c>
    </row>
    <row r="875">
      <c r="A875" s="37"/>
      <c r="B875" s="37"/>
      <c r="C875" s="37"/>
      <c r="D875" s="37"/>
      <c r="E875" s="37"/>
      <c r="F875" s="37"/>
      <c r="G875" s="37"/>
      <c r="V875" s="37">
        <f t="shared" si="1"/>
        <v>0</v>
      </c>
    </row>
    <row r="876">
      <c r="A876" s="37"/>
      <c r="B876" s="37"/>
      <c r="C876" s="37"/>
      <c r="D876" s="37"/>
      <c r="E876" s="37"/>
      <c r="F876" s="37"/>
      <c r="G876" s="37"/>
      <c r="V876" s="37">
        <f t="shared" si="1"/>
        <v>0</v>
      </c>
    </row>
    <row r="877">
      <c r="A877" s="37"/>
      <c r="B877" s="37"/>
      <c r="C877" s="37"/>
      <c r="D877" s="37"/>
      <c r="E877" s="37"/>
      <c r="F877" s="37"/>
      <c r="G877" s="37"/>
      <c r="V877" s="37">
        <f t="shared" si="1"/>
        <v>0</v>
      </c>
    </row>
    <row r="878">
      <c r="A878" s="37"/>
      <c r="B878" s="37"/>
      <c r="C878" s="37"/>
      <c r="D878" s="37"/>
      <c r="E878" s="37"/>
      <c r="F878" s="37"/>
      <c r="G878" s="37"/>
      <c r="V878" s="37">
        <f t="shared" si="1"/>
        <v>0</v>
      </c>
    </row>
    <row r="879">
      <c r="A879" s="37"/>
      <c r="B879" s="37"/>
      <c r="C879" s="37"/>
      <c r="D879" s="37"/>
      <c r="E879" s="37"/>
      <c r="F879" s="37"/>
      <c r="G879" s="37"/>
      <c r="V879" s="37">
        <f t="shared" si="1"/>
        <v>0</v>
      </c>
    </row>
    <row r="880">
      <c r="A880" s="37"/>
      <c r="B880" s="37"/>
      <c r="C880" s="37"/>
      <c r="D880" s="37"/>
      <c r="E880" s="37"/>
      <c r="F880" s="37"/>
      <c r="G880" s="37"/>
      <c r="V880" s="37">
        <f t="shared" si="1"/>
        <v>0</v>
      </c>
    </row>
    <row r="881">
      <c r="A881" s="37"/>
      <c r="B881" s="37"/>
      <c r="C881" s="37"/>
      <c r="D881" s="37"/>
      <c r="E881" s="37"/>
      <c r="F881" s="37"/>
      <c r="G881" s="37"/>
      <c r="V881" s="37">
        <f t="shared" si="1"/>
        <v>0</v>
      </c>
    </row>
    <row r="882">
      <c r="A882" s="37"/>
      <c r="B882" s="37"/>
      <c r="C882" s="37"/>
      <c r="D882" s="37"/>
      <c r="E882" s="37"/>
      <c r="F882" s="37"/>
      <c r="G882" s="37"/>
      <c r="V882" s="37">
        <f t="shared" si="1"/>
        <v>0</v>
      </c>
    </row>
    <row r="883">
      <c r="A883" s="37"/>
      <c r="B883" s="37"/>
      <c r="C883" s="37"/>
      <c r="D883" s="37"/>
      <c r="E883" s="37"/>
      <c r="F883" s="37"/>
      <c r="G883" s="37"/>
      <c r="V883" s="37">
        <f t="shared" si="1"/>
        <v>0</v>
      </c>
    </row>
    <row r="884">
      <c r="A884" s="37"/>
      <c r="B884" s="37"/>
      <c r="C884" s="37"/>
      <c r="D884" s="37"/>
      <c r="E884" s="37"/>
      <c r="F884" s="37"/>
      <c r="G884" s="37"/>
      <c r="V884" s="37">
        <f t="shared" si="1"/>
        <v>0</v>
      </c>
    </row>
    <row r="885">
      <c r="A885" s="37"/>
      <c r="B885" s="37"/>
      <c r="C885" s="37"/>
      <c r="D885" s="37"/>
      <c r="E885" s="37"/>
      <c r="F885" s="37"/>
      <c r="G885" s="37"/>
      <c r="V885" s="37">
        <f t="shared" si="1"/>
        <v>0</v>
      </c>
    </row>
    <row r="886">
      <c r="A886" s="37"/>
      <c r="B886" s="37"/>
      <c r="C886" s="37"/>
      <c r="D886" s="37"/>
      <c r="E886" s="37"/>
      <c r="F886" s="37"/>
      <c r="G886" s="37"/>
      <c r="V886" s="37">
        <f t="shared" si="1"/>
        <v>0</v>
      </c>
    </row>
    <row r="887">
      <c r="A887" s="37"/>
      <c r="B887" s="37"/>
      <c r="C887" s="37"/>
      <c r="D887" s="37"/>
      <c r="E887" s="37"/>
      <c r="F887" s="37"/>
      <c r="G887" s="37"/>
      <c r="V887" s="37">
        <f t="shared" si="1"/>
        <v>0</v>
      </c>
    </row>
    <row r="888">
      <c r="A888" s="37"/>
      <c r="B888" s="37"/>
      <c r="C888" s="37"/>
      <c r="D888" s="37"/>
      <c r="E888" s="37"/>
      <c r="F888" s="37"/>
      <c r="G888" s="37"/>
      <c r="V888" s="37">
        <f t="shared" si="1"/>
        <v>0</v>
      </c>
    </row>
    <row r="889">
      <c r="A889" s="37"/>
      <c r="B889" s="37"/>
      <c r="C889" s="37"/>
      <c r="D889" s="37"/>
      <c r="E889" s="37"/>
      <c r="F889" s="37"/>
      <c r="G889" s="37"/>
      <c r="V889" s="37">
        <f t="shared" si="1"/>
        <v>0</v>
      </c>
    </row>
    <row r="890">
      <c r="A890" s="37"/>
      <c r="B890" s="37"/>
      <c r="C890" s="37"/>
      <c r="D890" s="37"/>
      <c r="E890" s="37"/>
      <c r="F890" s="37"/>
      <c r="G890" s="37"/>
      <c r="V890" s="37">
        <f t="shared" si="1"/>
        <v>0</v>
      </c>
    </row>
    <row r="891">
      <c r="A891" s="37"/>
      <c r="B891" s="37"/>
      <c r="C891" s="37"/>
      <c r="D891" s="37"/>
      <c r="E891" s="37"/>
      <c r="F891" s="37"/>
      <c r="G891" s="37"/>
      <c r="V891" s="37">
        <f t="shared" si="1"/>
        <v>0</v>
      </c>
    </row>
    <row r="892">
      <c r="A892" s="37"/>
      <c r="B892" s="37"/>
      <c r="C892" s="37"/>
      <c r="D892" s="37"/>
      <c r="E892" s="37"/>
      <c r="F892" s="37"/>
      <c r="G892" s="37"/>
      <c r="V892" s="37">
        <f t="shared" si="1"/>
        <v>0</v>
      </c>
    </row>
    <row r="893">
      <c r="A893" s="37"/>
      <c r="B893" s="37"/>
      <c r="C893" s="37"/>
      <c r="D893" s="37"/>
      <c r="E893" s="37"/>
      <c r="F893" s="37"/>
      <c r="G893" s="37"/>
      <c r="V893" s="37">
        <f t="shared" si="1"/>
        <v>0</v>
      </c>
    </row>
    <row r="894">
      <c r="A894" s="37"/>
      <c r="B894" s="37"/>
      <c r="C894" s="37"/>
      <c r="D894" s="37"/>
      <c r="E894" s="37"/>
      <c r="F894" s="37"/>
      <c r="G894" s="37"/>
      <c r="V894" s="37">
        <f t="shared" si="1"/>
        <v>0</v>
      </c>
    </row>
    <row r="895">
      <c r="A895" s="37"/>
      <c r="B895" s="37"/>
      <c r="C895" s="37"/>
      <c r="D895" s="37"/>
      <c r="E895" s="37"/>
      <c r="F895" s="37"/>
      <c r="G895" s="37"/>
      <c r="V895" s="37">
        <f t="shared" si="1"/>
        <v>0</v>
      </c>
    </row>
    <row r="896">
      <c r="A896" s="37"/>
      <c r="B896" s="37"/>
      <c r="C896" s="37"/>
      <c r="D896" s="37"/>
      <c r="E896" s="37"/>
      <c r="F896" s="37"/>
      <c r="G896" s="37"/>
      <c r="V896" s="37">
        <f t="shared" si="1"/>
        <v>0</v>
      </c>
    </row>
    <row r="897">
      <c r="A897" s="37"/>
      <c r="B897" s="37"/>
      <c r="C897" s="37"/>
      <c r="D897" s="37"/>
      <c r="E897" s="37"/>
      <c r="F897" s="37"/>
      <c r="G897" s="37"/>
      <c r="V897" s="37">
        <f t="shared" si="1"/>
        <v>0</v>
      </c>
    </row>
    <row r="898">
      <c r="A898" s="37"/>
      <c r="B898" s="37"/>
      <c r="C898" s="37"/>
      <c r="D898" s="37"/>
      <c r="E898" s="37"/>
      <c r="F898" s="37"/>
      <c r="G898" s="37"/>
      <c r="V898" s="37">
        <f t="shared" si="1"/>
        <v>0</v>
      </c>
    </row>
    <row r="899">
      <c r="A899" s="37"/>
      <c r="B899" s="37"/>
      <c r="C899" s="37"/>
      <c r="D899" s="37"/>
      <c r="E899" s="37"/>
      <c r="F899" s="37"/>
      <c r="G899" s="37"/>
      <c r="V899" s="37">
        <f t="shared" si="1"/>
        <v>0</v>
      </c>
    </row>
    <row r="900">
      <c r="A900" s="37"/>
      <c r="B900" s="37"/>
      <c r="C900" s="37"/>
      <c r="D900" s="37"/>
      <c r="E900" s="37"/>
      <c r="F900" s="37"/>
      <c r="G900" s="37"/>
      <c r="V900" s="37">
        <f t="shared" si="1"/>
        <v>0</v>
      </c>
    </row>
    <row r="901">
      <c r="A901" s="37"/>
      <c r="B901" s="37"/>
      <c r="C901" s="37"/>
      <c r="D901" s="37"/>
      <c r="E901" s="37"/>
      <c r="F901" s="37"/>
      <c r="G901" s="37"/>
      <c r="V901" s="37">
        <f t="shared" si="1"/>
        <v>0</v>
      </c>
    </row>
    <row r="902">
      <c r="A902" s="37"/>
      <c r="B902" s="37"/>
      <c r="C902" s="37"/>
      <c r="D902" s="37"/>
      <c r="E902" s="37"/>
      <c r="F902" s="37"/>
      <c r="G902" s="37"/>
      <c r="V902" s="37">
        <f t="shared" si="1"/>
        <v>0</v>
      </c>
    </row>
    <row r="903">
      <c r="A903" s="37"/>
      <c r="B903" s="37"/>
      <c r="C903" s="37"/>
      <c r="D903" s="37"/>
      <c r="E903" s="37"/>
      <c r="F903" s="37"/>
      <c r="G903" s="37"/>
      <c r="V903" s="37">
        <f t="shared" si="1"/>
        <v>0</v>
      </c>
    </row>
    <row r="904">
      <c r="A904" s="37"/>
      <c r="B904" s="37"/>
      <c r="C904" s="37"/>
      <c r="D904" s="37"/>
      <c r="E904" s="37"/>
      <c r="F904" s="37"/>
      <c r="G904" s="37"/>
      <c r="V904" s="37">
        <f t="shared" si="1"/>
        <v>0</v>
      </c>
    </row>
    <row r="905">
      <c r="A905" s="37"/>
      <c r="B905" s="37"/>
      <c r="C905" s="37"/>
      <c r="D905" s="37"/>
      <c r="E905" s="37"/>
      <c r="F905" s="37"/>
      <c r="G905" s="37"/>
      <c r="V905" s="37">
        <f t="shared" si="1"/>
        <v>0</v>
      </c>
    </row>
    <row r="906">
      <c r="A906" s="37"/>
      <c r="B906" s="37"/>
      <c r="C906" s="37"/>
      <c r="D906" s="37"/>
      <c r="E906" s="37"/>
      <c r="F906" s="37"/>
      <c r="G906" s="37"/>
      <c r="V906" s="37">
        <f t="shared" si="1"/>
        <v>0</v>
      </c>
    </row>
    <row r="907">
      <c r="A907" s="37"/>
      <c r="B907" s="37"/>
      <c r="C907" s="37"/>
      <c r="D907" s="37"/>
      <c r="E907" s="37"/>
      <c r="F907" s="37"/>
      <c r="G907" s="37"/>
      <c r="V907" s="37">
        <f t="shared" si="1"/>
        <v>0</v>
      </c>
    </row>
    <row r="908">
      <c r="A908" s="37"/>
      <c r="B908" s="37"/>
      <c r="C908" s="37"/>
      <c r="D908" s="37"/>
      <c r="E908" s="37"/>
      <c r="F908" s="37"/>
      <c r="G908" s="37"/>
      <c r="V908" s="37">
        <f t="shared" si="1"/>
        <v>0</v>
      </c>
    </row>
    <row r="909">
      <c r="A909" s="37"/>
      <c r="B909" s="37"/>
      <c r="C909" s="37"/>
      <c r="D909" s="37"/>
      <c r="E909" s="37"/>
      <c r="F909" s="37"/>
      <c r="G909" s="37"/>
      <c r="V909" s="37">
        <f t="shared" si="1"/>
        <v>0</v>
      </c>
    </row>
    <row r="910">
      <c r="A910" s="37"/>
      <c r="B910" s="37"/>
      <c r="C910" s="37"/>
      <c r="D910" s="37"/>
      <c r="E910" s="37"/>
      <c r="F910" s="37"/>
      <c r="G910" s="37"/>
      <c r="V910" s="37">
        <f t="shared" si="1"/>
        <v>0</v>
      </c>
    </row>
    <row r="911">
      <c r="A911" s="37"/>
      <c r="B911" s="37"/>
      <c r="C911" s="37"/>
      <c r="D911" s="37"/>
      <c r="E911" s="37"/>
      <c r="F911" s="37"/>
      <c r="G911" s="37"/>
      <c r="V911" s="37">
        <f t="shared" si="1"/>
        <v>0</v>
      </c>
    </row>
    <row r="912">
      <c r="A912" s="37"/>
      <c r="B912" s="37"/>
      <c r="C912" s="37"/>
      <c r="D912" s="37"/>
      <c r="E912" s="37"/>
      <c r="F912" s="37"/>
      <c r="G912" s="37"/>
      <c r="V912" s="37">
        <f t="shared" si="1"/>
        <v>0</v>
      </c>
    </row>
    <row r="913">
      <c r="A913" s="37"/>
      <c r="B913" s="37"/>
      <c r="C913" s="37"/>
      <c r="D913" s="37"/>
      <c r="E913" s="37"/>
      <c r="F913" s="37"/>
      <c r="G913" s="37"/>
      <c r="V913" s="37">
        <f t="shared" si="1"/>
        <v>0</v>
      </c>
    </row>
    <row r="914">
      <c r="A914" s="37"/>
      <c r="B914" s="37"/>
      <c r="C914" s="37"/>
      <c r="D914" s="37"/>
      <c r="E914" s="37"/>
      <c r="F914" s="37"/>
      <c r="G914" s="37"/>
      <c r="V914" s="37">
        <f t="shared" si="1"/>
        <v>0</v>
      </c>
    </row>
    <row r="915">
      <c r="A915" s="37"/>
      <c r="B915" s="37"/>
      <c r="C915" s="37"/>
      <c r="D915" s="37"/>
      <c r="E915" s="37"/>
      <c r="F915" s="37"/>
      <c r="G915" s="37"/>
      <c r="V915" s="37">
        <f t="shared" si="1"/>
        <v>0</v>
      </c>
    </row>
    <row r="916">
      <c r="A916" s="37"/>
      <c r="B916" s="37"/>
      <c r="C916" s="37"/>
      <c r="D916" s="37"/>
      <c r="E916" s="37"/>
      <c r="F916" s="37"/>
      <c r="G916" s="37"/>
      <c r="V916" s="37">
        <f t="shared" si="1"/>
        <v>0</v>
      </c>
    </row>
    <row r="917">
      <c r="A917" s="37"/>
      <c r="B917" s="37"/>
      <c r="C917" s="37"/>
      <c r="D917" s="37"/>
      <c r="E917" s="37"/>
      <c r="F917" s="37"/>
      <c r="G917" s="37"/>
      <c r="V917" s="37">
        <f t="shared" si="1"/>
        <v>0</v>
      </c>
    </row>
    <row r="918">
      <c r="A918" s="37"/>
      <c r="B918" s="37"/>
      <c r="C918" s="37"/>
      <c r="D918" s="37"/>
      <c r="E918" s="37"/>
      <c r="F918" s="37"/>
      <c r="G918" s="37"/>
      <c r="V918" s="37">
        <f t="shared" si="1"/>
        <v>0</v>
      </c>
    </row>
    <row r="919">
      <c r="A919" s="37"/>
      <c r="B919" s="37"/>
      <c r="C919" s="37"/>
      <c r="D919" s="37"/>
      <c r="E919" s="37"/>
      <c r="F919" s="37"/>
      <c r="G919" s="37"/>
      <c r="V919" s="37">
        <f t="shared" si="1"/>
        <v>0</v>
      </c>
    </row>
    <row r="920">
      <c r="A920" s="37"/>
      <c r="B920" s="37"/>
      <c r="C920" s="37"/>
      <c r="D920" s="37"/>
      <c r="E920" s="37"/>
      <c r="F920" s="37"/>
      <c r="G920" s="37"/>
      <c r="V920" s="37">
        <f t="shared" si="1"/>
        <v>0</v>
      </c>
    </row>
    <row r="921">
      <c r="A921" s="37"/>
      <c r="B921" s="37"/>
      <c r="C921" s="37"/>
      <c r="D921" s="37"/>
      <c r="E921" s="37"/>
      <c r="F921" s="37"/>
      <c r="G921" s="37"/>
      <c r="V921" s="37">
        <f t="shared" si="1"/>
        <v>0</v>
      </c>
    </row>
    <row r="922">
      <c r="A922" s="37"/>
      <c r="B922" s="37"/>
      <c r="C922" s="37"/>
      <c r="D922" s="37"/>
      <c r="E922" s="37"/>
      <c r="F922" s="37"/>
      <c r="G922" s="37"/>
      <c r="V922" s="37">
        <f t="shared" si="1"/>
        <v>0</v>
      </c>
    </row>
    <row r="923">
      <c r="A923" s="37"/>
      <c r="B923" s="37"/>
      <c r="C923" s="37"/>
      <c r="D923" s="37"/>
      <c r="E923" s="37"/>
      <c r="F923" s="37"/>
      <c r="G923" s="37"/>
      <c r="V923" s="37">
        <f t="shared" si="1"/>
        <v>0</v>
      </c>
    </row>
    <row r="924">
      <c r="A924" s="37"/>
      <c r="B924" s="37"/>
      <c r="C924" s="37"/>
      <c r="D924" s="37"/>
      <c r="E924" s="37"/>
      <c r="F924" s="37"/>
      <c r="G924" s="37"/>
      <c r="V924" s="37">
        <f t="shared" si="1"/>
        <v>0</v>
      </c>
    </row>
    <row r="925">
      <c r="A925" s="37"/>
      <c r="B925" s="37"/>
      <c r="C925" s="37"/>
      <c r="D925" s="37"/>
      <c r="E925" s="37"/>
      <c r="F925" s="37"/>
      <c r="G925" s="37"/>
      <c r="V925" s="37">
        <f t="shared" si="1"/>
        <v>0</v>
      </c>
    </row>
    <row r="926">
      <c r="A926" s="37"/>
      <c r="B926" s="37"/>
      <c r="C926" s="37"/>
      <c r="D926" s="37"/>
      <c r="E926" s="37"/>
      <c r="F926" s="37"/>
      <c r="G926" s="37"/>
      <c r="V926" s="37">
        <f t="shared" si="1"/>
        <v>0</v>
      </c>
    </row>
    <row r="927">
      <c r="A927" s="37"/>
      <c r="B927" s="37"/>
      <c r="C927" s="37"/>
      <c r="D927" s="37"/>
      <c r="E927" s="37"/>
      <c r="F927" s="37"/>
      <c r="G927" s="37"/>
      <c r="V927" s="37">
        <f t="shared" si="1"/>
        <v>0</v>
      </c>
    </row>
    <row r="928">
      <c r="A928" s="37"/>
      <c r="B928" s="37"/>
      <c r="C928" s="37"/>
      <c r="D928" s="37"/>
      <c r="E928" s="37"/>
      <c r="F928" s="37"/>
      <c r="G928" s="37"/>
      <c r="V928" s="37">
        <f t="shared" si="1"/>
        <v>0</v>
      </c>
    </row>
    <row r="929">
      <c r="A929" s="37"/>
      <c r="B929" s="37"/>
      <c r="C929" s="37"/>
      <c r="D929" s="37"/>
      <c r="E929" s="37"/>
      <c r="F929" s="37"/>
      <c r="G929" s="37"/>
      <c r="V929" s="37">
        <f t="shared" si="1"/>
        <v>0</v>
      </c>
    </row>
    <row r="930">
      <c r="A930" s="37"/>
      <c r="B930" s="37"/>
      <c r="C930" s="37"/>
      <c r="D930" s="37"/>
      <c r="E930" s="37"/>
      <c r="F930" s="37"/>
      <c r="G930" s="37"/>
      <c r="V930" s="37">
        <f t="shared" si="1"/>
        <v>0</v>
      </c>
    </row>
    <row r="931">
      <c r="A931" s="37"/>
      <c r="B931" s="37"/>
      <c r="C931" s="37"/>
      <c r="D931" s="37"/>
      <c r="E931" s="37"/>
      <c r="F931" s="37"/>
      <c r="G931" s="37"/>
      <c r="V931" s="37">
        <f t="shared" si="1"/>
        <v>0</v>
      </c>
    </row>
    <row r="932">
      <c r="A932" s="37"/>
      <c r="B932" s="37"/>
      <c r="C932" s="37"/>
      <c r="D932" s="37"/>
      <c r="E932" s="37"/>
      <c r="F932" s="37"/>
      <c r="G932" s="37"/>
      <c r="V932" s="37">
        <f t="shared" si="1"/>
        <v>0</v>
      </c>
    </row>
    <row r="933">
      <c r="A933" s="37"/>
      <c r="B933" s="37"/>
      <c r="C933" s="37"/>
      <c r="D933" s="37"/>
      <c r="E933" s="37"/>
      <c r="F933" s="37"/>
      <c r="G933" s="37"/>
      <c r="V933" s="37">
        <f t="shared" si="1"/>
        <v>0</v>
      </c>
    </row>
    <row r="934">
      <c r="A934" s="37"/>
      <c r="B934" s="37"/>
      <c r="C934" s="37"/>
      <c r="D934" s="37"/>
      <c r="E934" s="37"/>
      <c r="F934" s="37"/>
      <c r="G934" s="37"/>
      <c r="V934" s="37">
        <f t="shared" si="1"/>
        <v>0</v>
      </c>
    </row>
    <row r="935">
      <c r="A935" s="37"/>
      <c r="B935" s="37"/>
      <c r="C935" s="37"/>
      <c r="D935" s="37"/>
      <c r="E935" s="37"/>
      <c r="F935" s="37"/>
      <c r="G935" s="37"/>
      <c r="V935" s="37">
        <f t="shared" si="1"/>
        <v>0</v>
      </c>
    </row>
    <row r="936">
      <c r="A936" s="37"/>
      <c r="B936" s="37"/>
      <c r="C936" s="37"/>
      <c r="D936" s="37"/>
      <c r="E936" s="37"/>
      <c r="F936" s="37"/>
      <c r="G936" s="37"/>
      <c r="V936" s="37">
        <f t="shared" si="1"/>
        <v>0</v>
      </c>
    </row>
    <row r="937">
      <c r="A937" s="37"/>
      <c r="B937" s="37"/>
      <c r="C937" s="37"/>
      <c r="D937" s="37"/>
      <c r="E937" s="37"/>
      <c r="F937" s="37"/>
      <c r="G937" s="37"/>
      <c r="V937" s="37">
        <f t="shared" si="1"/>
        <v>0</v>
      </c>
    </row>
    <row r="938">
      <c r="A938" s="37"/>
      <c r="B938" s="37"/>
      <c r="C938" s="37"/>
      <c r="D938" s="37"/>
      <c r="E938" s="37"/>
      <c r="F938" s="37"/>
      <c r="G938" s="37"/>
      <c r="V938" s="37">
        <f t="shared" si="1"/>
        <v>0</v>
      </c>
    </row>
    <row r="939">
      <c r="A939" s="37"/>
      <c r="B939" s="37"/>
      <c r="C939" s="37"/>
      <c r="D939" s="37"/>
      <c r="E939" s="37"/>
      <c r="F939" s="37"/>
      <c r="G939" s="37"/>
      <c r="V939" s="37">
        <f t="shared" si="1"/>
        <v>0</v>
      </c>
    </row>
    <row r="940">
      <c r="A940" s="37"/>
      <c r="B940" s="37"/>
      <c r="C940" s="37"/>
      <c r="D940" s="37"/>
      <c r="E940" s="37"/>
      <c r="F940" s="37"/>
      <c r="G940" s="37"/>
      <c r="V940" s="37">
        <f t="shared" si="1"/>
        <v>0</v>
      </c>
    </row>
    <row r="941">
      <c r="A941" s="37"/>
      <c r="B941" s="37"/>
      <c r="C941" s="37"/>
      <c r="D941" s="37"/>
      <c r="E941" s="37"/>
      <c r="F941" s="37"/>
      <c r="G941" s="37"/>
      <c r="V941" s="37">
        <f t="shared" si="1"/>
        <v>0</v>
      </c>
    </row>
    <row r="942">
      <c r="A942" s="37"/>
      <c r="B942" s="37"/>
      <c r="C942" s="37"/>
      <c r="D942" s="37"/>
      <c r="E942" s="37"/>
      <c r="F942" s="37"/>
      <c r="G942" s="37"/>
      <c r="V942" s="37">
        <f t="shared" si="1"/>
        <v>0</v>
      </c>
    </row>
    <row r="943">
      <c r="A943" s="37"/>
      <c r="B943" s="37"/>
      <c r="C943" s="37"/>
      <c r="D943" s="37"/>
      <c r="E943" s="37"/>
      <c r="F943" s="37"/>
      <c r="G943" s="37"/>
      <c r="V943" s="37">
        <f t="shared" si="1"/>
        <v>0</v>
      </c>
    </row>
    <row r="944">
      <c r="A944" s="37"/>
      <c r="B944" s="37"/>
      <c r="C944" s="37"/>
      <c r="D944" s="37"/>
      <c r="E944" s="37"/>
      <c r="F944" s="37"/>
      <c r="G944" s="37"/>
      <c r="V944" s="37">
        <f t="shared" si="1"/>
        <v>0</v>
      </c>
    </row>
    <row r="945">
      <c r="A945" s="37"/>
      <c r="B945" s="37"/>
      <c r="C945" s="37"/>
      <c r="D945" s="37"/>
      <c r="E945" s="37"/>
      <c r="F945" s="37"/>
      <c r="G945" s="37"/>
      <c r="V945" s="37">
        <f t="shared" si="1"/>
        <v>0</v>
      </c>
    </row>
    <row r="946">
      <c r="A946" s="37"/>
      <c r="B946" s="37"/>
      <c r="C946" s="37"/>
      <c r="D946" s="37"/>
      <c r="E946" s="37"/>
      <c r="F946" s="37"/>
      <c r="G946" s="37"/>
      <c r="V946" s="37">
        <f t="shared" si="1"/>
        <v>0</v>
      </c>
    </row>
    <row r="947">
      <c r="A947" s="37"/>
      <c r="B947" s="37"/>
      <c r="C947" s="37"/>
      <c r="D947" s="37"/>
      <c r="E947" s="37"/>
      <c r="F947" s="37"/>
      <c r="G947" s="37"/>
      <c r="V947" s="37">
        <f t="shared" si="1"/>
        <v>0</v>
      </c>
    </row>
    <row r="948">
      <c r="A948" s="37"/>
      <c r="B948" s="37"/>
      <c r="C948" s="37"/>
      <c r="D948" s="37"/>
      <c r="E948" s="37"/>
      <c r="F948" s="37"/>
      <c r="G948" s="37"/>
      <c r="V948" s="37">
        <f t="shared" si="1"/>
        <v>0</v>
      </c>
    </row>
    <row r="949">
      <c r="A949" s="37"/>
      <c r="B949" s="37"/>
      <c r="C949" s="37"/>
      <c r="D949" s="37"/>
      <c r="E949" s="37"/>
      <c r="F949" s="37"/>
      <c r="G949" s="37"/>
      <c r="V949" s="37">
        <f t="shared" si="1"/>
        <v>0</v>
      </c>
    </row>
    <row r="950">
      <c r="A950" s="37"/>
      <c r="B950" s="37"/>
      <c r="C950" s="37"/>
      <c r="D950" s="37"/>
      <c r="E950" s="37"/>
      <c r="F950" s="37"/>
      <c r="G950" s="37"/>
      <c r="V950" s="37">
        <f t="shared" si="1"/>
        <v>0</v>
      </c>
    </row>
    <row r="951">
      <c r="A951" s="37"/>
      <c r="B951" s="37"/>
      <c r="C951" s="37"/>
      <c r="D951" s="37"/>
      <c r="E951" s="37"/>
      <c r="F951" s="37"/>
      <c r="G951" s="37"/>
      <c r="V951" s="37">
        <f t="shared" si="1"/>
        <v>0</v>
      </c>
    </row>
    <row r="952">
      <c r="A952" s="37"/>
      <c r="B952" s="37"/>
      <c r="C952" s="37"/>
      <c r="D952" s="37"/>
      <c r="E952" s="37"/>
      <c r="F952" s="37"/>
      <c r="G952" s="37"/>
      <c r="V952" s="37">
        <f t="shared" si="1"/>
        <v>0</v>
      </c>
    </row>
    <row r="953">
      <c r="A953" s="37"/>
      <c r="B953" s="37"/>
      <c r="C953" s="37"/>
      <c r="D953" s="37"/>
      <c r="E953" s="37"/>
      <c r="F953" s="37"/>
      <c r="G953" s="37"/>
      <c r="V953" s="37">
        <f t="shared" si="1"/>
        <v>0</v>
      </c>
    </row>
    <row r="954">
      <c r="A954" s="37"/>
      <c r="B954" s="37"/>
      <c r="C954" s="37"/>
      <c r="D954" s="37"/>
      <c r="E954" s="37"/>
      <c r="F954" s="37"/>
      <c r="G954" s="37"/>
      <c r="V954" s="37">
        <f t="shared" si="1"/>
        <v>0</v>
      </c>
    </row>
    <row r="955">
      <c r="A955" s="37"/>
      <c r="B955" s="37"/>
      <c r="C955" s="37"/>
      <c r="D955" s="37"/>
      <c r="E955" s="37"/>
      <c r="F955" s="37"/>
      <c r="G955" s="37"/>
      <c r="V955" s="37">
        <f t="shared" si="1"/>
        <v>0</v>
      </c>
    </row>
    <row r="956">
      <c r="A956" s="37"/>
      <c r="B956" s="37"/>
      <c r="C956" s="37"/>
      <c r="D956" s="37"/>
      <c r="E956" s="37"/>
      <c r="F956" s="37"/>
      <c r="G956" s="37"/>
      <c r="V956" s="37">
        <f t="shared" si="1"/>
        <v>0</v>
      </c>
    </row>
    <row r="957">
      <c r="A957" s="37"/>
      <c r="B957" s="37"/>
      <c r="C957" s="37"/>
      <c r="D957" s="37"/>
      <c r="E957" s="37"/>
      <c r="F957" s="37"/>
      <c r="G957" s="37"/>
      <c r="V957" s="37">
        <f t="shared" si="1"/>
        <v>0</v>
      </c>
    </row>
    <row r="958">
      <c r="A958" s="37"/>
      <c r="B958" s="37"/>
      <c r="C958" s="37"/>
      <c r="D958" s="37"/>
      <c r="E958" s="37"/>
      <c r="F958" s="37"/>
      <c r="G958" s="37"/>
      <c r="V958" s="37">
        <f t="shared" si="1"/>
        <v>0</v>
      </c>
    </row>
    <row r="959">
      <c r="A959" s="37"/>
      <c r="B959" s="37"/>
      <c r="C959" s="37"/>
      <c r="D959" s="37"/>
      <c r="E959" s="37"/>
      <c r="F959" s="37"/>
      <c r="G959" s="37"/>
      <c r="V959" s="37">
        <f t="shared" si="1"/>
        <v>0</v>
      </c>
    </row>
    <row r="960">
      <c r="A960" s="37"/>
      <c r="B960" s="37"/>
      <c r="C960" s="37"/>
      <c r="D960" s="37"/>
      <c r="E960" s="37"/>
      <c r="F960" s="37"/>
      <c r="G960" s="37"/>
      <c r="V960" s="37">
        <f t="shared" si="1"/>
        <v>0</v>
      </c>
    </row>
    <row r="961">
      <c r="A961" s="37"/>
      <c r="B961" s="37"/>
      <c r="C961" s="37"/>
      <c r="D961" s="37"/>
      <c r="E961" s="37"/>
      <c r="F961" s="37"/>
      <c r="G961" s="37"/>
      <c r="V961" s="37">
        <f t="shared" si="1"/>
        <v>0</v>
      </c>
    </row>
    <row r="962">
      <c r="A962" s="37"/>
      <c r="B962" s="37"/>
      <c r="C962" s="37"/>
      <c r="D962" s="37"/>
      <c r="E962" s="37"/>
      <c r="F962" s="37"/>
      <c r="G962" s="37"/>
      <c r="V962" s="37">
        <f t="shared" si="1"/>
        <v>0</v>
      </c>
    </row>
    <row r="963">
      <c r="A963" s="37"/>
      <c r="B963" s="37"/>
      <c r="C963" s="37"/>
      <c r="D963" s="37"/>
      <c r="E963" s="37"/>
      <c r="F963" s="37"/>
      <c r="G963" s="37"/>
      <c r="V963" s="37">
        <f t="shared" si="1"/>
        <v>0</v>
      </c>
    </row>
    <row r="964">
      <c r="A964" s="37"/>
      <c r="B964" s="37"/>
      <c r="C964" s="37"/>
      <c r="D964" s="37"/>
      <c r="E964" s="37"/>
      <c r="F964" s="37"/>
      <c r="G964" s="37"/>
      <c r="V964" s="37">
        <f t="shared" si="1"/>
        <v>0</v>
      </c>
    </row>
    <row r="965">
      <c r="A965" s="37"/>
      <c r="B965" s="37"/>
      <c r="C965" s="37"/>
      <c r="D965" s="37"/>
      <c r="E965" s="37"/>
      <c r="F965" s="37"/>
      <c r="G965" s="37"/>
      <c r="V965" s="37">
        <f t="shared" si="1"/>
        <v>0</v>
      </c>
    </row>
    <row r="966">
      <c r="A966" s="37"/>
      <c r="B966" s="37"/>
      <c r="C966" s="37"/>
      <c r="D966" s="37"/>
      <c r="E966" s="37"/>
      <c r="F966" s="37"/>
      <c r="G966" s="37"/>
      <c r="V966" s="37">
        <f t="shared" si="1"/>
        <v>0</v>
      </c>
    </row>
    <row r="967">
      <c r="A967" s="37"/>
      <c r="B967" s="37"/>
      <c r="C967" s="37"/>
      <c r="D967" s="37"/>
      <c r="E967" s="37"/>
      <c r="F967" s="37"/>
      <c r="G967" s="37"/>
      <c r="V967" s="37">
        <f t="shared" si="1"/>
        <v>0</v>
      </c>
    </row>
    <row r="968">
      <c r="A968" s="37"/>
      <c r="B968" s="37"/>
      <c r="C968" s="37"/>
      <c r="D968" s="37"/>
      <c r="E968" s="37"/>
      <c r="F968" s="37"/>
      <c r="G968" s="37"/>
      <c r="V968" s="37">
        <f t="shared" si="1"/>
        <v>0</v>
      </c>
    </row>
    <row r="969">
      <c r="A969" s="37"/>
      <c r="B969" s="37"/>
      <c r="C969" s="37"/>
      <c r="D969" s="37"/>
      <c r="E969" s="37"/>
      <c r="F969" s="37"/>
      <c r="G969" s="37"/>
      <c r="V969" s="37">
        <f t="shared" si="1"/>
        <v>0</v>
      </c>
    </row>
    <row r="970">
      <c r="A970" s="37"/>
      <c r="B970" s="37"/>
      <c r="C970" s="37"/>
      <c r="D970" s="37"/>
      <c r="E970" s="37"/>
      <c r="F970" s="37"/>
      <c r="G970" s="37"/>
      <c r="V970" s="37">
        <f t="shared" si="1"/>
        <v>0</v>
      </c>
    </row>
    <row r="971">
      <c r="A971" s="37"/>
      <c r="B971" s="37"/>
      <c r="C971" s="37"/>
      <c r="D971" s="37"/>
      <c r="E971" s="37"/>
      <c r="F971" s="37"/>
      <c r="G971" s="37"/>
      <c r="V971" s="37">
        <f t="shared" si="1"/>
        <v>0</v>
      </c>
    </row>
    <row r="972">
      <c r="A972" s="37"/>
      <c r="B972" s="37"/>
      <c r="C972" s="37"/>
      <c r="D972" s="37"/>
      <c r="E972" s="37"/>
      <c r="F972" s="37"/>
      <c r="G972" s="37"/>
      <c r="V972" s="37">
        <f t="shared" si="1"/>
        <v>0</v>
      </c>
    </row>
    <row r="973">
      <c r="A973" s="37"/>
      <c r="B973" s="37"/>
      <c r="C973" s="37"/>
      <c r="D973" s="37"/>
      <c r="E973" s="37"/>
      <c r="F973" s="37"/>
      <c r="G973" s="37"/>
      <c r="V973" s="37">
        <f t="shared" si="1"/>
        <v>0</v>
      </c>
    </row>
    <row r="974">
      <c r="A974" s="37"/>
      <c r="B974" s="37"/>
      <c r="C974" s="37"/>
      <c r="D974" s="37"/>
      <c r="E974" s="37"/>
      <c r="F974" s="37"/>
      <c r="G974" s="37"/>
      <c r="V974" s="37">
        <f t="shared" si="1"/>
        <v>0</v>
      </c>
    </row>
    <row r="975">
      <c r="A975" s="37"/>
      <c r="B975" s="37"/>
      <c r="C975" s="37"/>
      <c r="D975" s="37"/>
      <c r="E975" s="37"/>
      <c r="F975" s="37"/>
      <c r="G975" s="37"/>
      <c r="V975" s="37">
        <f t="shared" si="1"/>
        <v>0</v>
      </c>
    </row>
    <row r="976">
      <c r="A976" s="37"/>
      <c r="B976" s="37"/>
      <c r="C976" s="37"/>
      <c r="D976" s="37"/>
      <c r="E976" s="37"/>
      <c r="F976" s="37"/>
      <c r="G976" s="37"/>
      <c r="V976" s="37">
        <f t="shared" si="1"/>
        <v>0</v>
      </c>
    </row>
    <row r="977">
      <c r="A977" s="37"/>
      <c r="B977" s="37"/>
      <c r="C977" s="37"/>
      <c r="D977" s="37"/>
      <c r="E977" s="37"/>
      <c r="F977" s="37"/>
      <c r="G977" s="37"/>
      <c r="V977" s="37">
        <f t="shared" si="1"/>
        <v>0</v>
      </c>
    </row>
    <row r="978">
      <c r="A978" s="37"/>
      <c r="B978" s="37"/>
      <c r="C978" s="37"/>
      <c r="D978" s="37"/>
      <c r="E978" s="37"/>
      <c r="F978" s="37"/>
      <c r="G978" s="37"/>
      <c r="V978" s="37">
        <f t="shared" si="1"/>
        <v>0</v>
      </c>
    </row>
    <row r="979">
      <c r="A979" s="37"/>
      <c r="B979" s="37"/>
      <c r="C979" s="37"/>
      <c r="D979" s="37"/>
      <c r="E979" s="37"/>
      <c r="F979" s="37"/>
      <c r="G979" s="37"/>
      <c r="V979" s="37">
        <f t="shared" si="1"/>
        <v>0</v>
      </c>
    </row>
    <row r="980">
      <c r="A980" s="37"/>
      <c r="B980" s="37"/>
      <c r="C980" s="37"/>
      <c r="D980" s="37"/>
      <c r="E980" s="37"/>
      <c r="F980" s="37"/>
      <c r="G980" s="37"/>
      <c r="V980" s="37">
        <f t="shared" si="1"/>
        <v>0</v>
      </c>
    </row>
    <row r="981">
      <c r="A981" s="37"/>
      <c r="B981" s="37"/>
      <c r="C981" s="37"/>
      <c r="D981" s="37"/>
      <c r="E981" s="37"/>
      <c r="F981" s="37"/>
      <c r="G981" s="37"/>
      <c r="V981" s="37">
        <f t="shared" si="1"/>
        <v>0</v>
      </c>
    </row>
    <row r="982">
      <c r="A982" s="37"/>
      <c r="B982" s="37"/>
      <c r="C982" s="37"/>
      <c r="D982" s="37"/>
      <c r="E982" s="37"/>
      <c r="F982" s="37"/>
      <c r="G982" s="37"/>
      <c r="V982" s="37">
        <f t="shared" si="1"/>
        <v>0</v>
      </c>
    </row>
    <row r="983">
      <c r="A983" s="37"/>
      <c r="B983" s="37"/>
      <c r="C983" s="37"/>
      <c r="D983" s="37"/>
      <c r="E983" s="37"/>
      <c r="F983" s="37"/>
      <c r="G983" s="37"/>
      <c r="V983" s="37">
        <f t="shared" si="1"/>
        <v>0</v>
      </c>
    </row>
    <row r="984">
      <c r="A984" s="37"/>
      <c r="B984" s="37"/>
      <c r="C984" s="37"/>
      <c r="D984" s="37"/>
      <c r="E984" s="37"/>
      <c r="F984" s="37"/>
      <c r="G984" s="37"/>
      <c r="V984" s="37">
        <f t="shared" si="1"/>
        <v>0</v>
      </c>
    </row>
    <row r="985">
      <c r="A985" s="37"/>
      <c r="B985" s="37"/>
      <c r="C985" s="37"/>
      <c r="D985" s="37"/>
      <c r="E985" s="37"/>
      <c r="F985" s="37"/>
      <c r="G985" s="37"/>
      <c r="V985" s="37">
        <f t="shared" si="1"/>
        <v>0</v>
      </c>
    </row>
    <row r="986">
      <c r="A986" s="37"/>
      <c r="B986" s="37"/>
      <c r="C986" s="37"/>
      <c r="D986" s="37"/>
      <c r="E986" s="37"/>
      <c r="F986" s="37"/>
      <c r="G986" s="37"/>
      <c r="V986" s="37">
        <f t="shared" si="1"/>
        <v>0</v>
      </c>
    </row>
    <row r="987">
      <c r="A987" s="37"/>
      <c r="B987" s="37"/>
      <c r="C987" s="37"/>
      <c r="D987" s="37"/>
      <c r="E987" s="37"/>
      <c r="F987" s="37"/>
      <c r="G987" s="37"/>
      <c r="V987" s="37">
        <f t="shared" si="1"/>
        <v>0</v>
      </c>
    </row>
    <row r="988">
      <c r="A988" s="37"/>
      <c r="B988" s="37"/>
      <c r="C988" s="37"/>
      <c r="D988" s="37"/>
      <c r="E988" s="37"/>
      <c r="F988" s="37"/>
      <c r="G988" s="37"/>
      <c r="V988" s="37">
        <f t="shared" si="1"/>
        <v>0</v>
      </c>
    </row>
    <row r="989">
      <c r="A989" s="37"/>
      <c r="B989" s="37"/>
      <c r="C989" s="37"/>
      <c r="D989" s="37"/>
      <c r="E989" s="37"/>
      <c r="F989" s="37"/>
      <c r="G989" s="37"/>
      <c r="V989" s="37">
        <f t="shared" si="1"/>
        <v>0</v>
      </c>
    </row>
    <row r="990">
      <c r="A990" s="37"/>
      <c r="B990" s="37"/>
      <c r="C990" s="37"/>
      <c r="D990" s="37"/>
      <c r="E990" s="37"/>
      <c r="F990" s="37"/>
      <c r="G990" s="37"/>
      <c r="V990" s="37">
        <f t="shared" si="1"/>
        <v>0</v>
      </c>
    </row>
    <row r="991">
      <c r="A991" s="37"/>
      <c r="B991" s="37"/>
      <c r="C991" s="37"/>
      <c r="D991" s="37"/>
      <c r="E991" s="37"/>
      <c r="F991" s="37"/>
      <c r="G991" s="37"/>
      <c r="V991" s="37">
        <f t="shared" si="1"/>
        <v>0</v>
      </c>
    </row>
    <row r="992">
      <c r="A992" s="37"/>
      <c r="B992" s="37"/>
      <c r="C992" s="37"/>
      <c r="D992" s="37"/>
      <c r="E992" s="37"/>
      <c r="F992" s="37"/>
      <c r="G992" s="37"/>
      <c r="V992" s="37">
        <f t="shared" si="1"/>
        <v>0</v>
      </c>
    </row>
    <row r="993">
      <c r="A993" s="37"/>
      <c r="B993" s="37"/>
      <c r="C993" s="37"/>
      <c r="D993" s="37"/>
      <c r="E993" s="37"/>
      <c r="F993" s="37"/>
      <c r="G993" s="37"/>
      <c r="V993" s="37">
        <f t="shared" si="1"/>
        <v>0</v>
      </c>
    </row>
    <row r="994">
      <c r="A994" s="37"/>
      <c r="B994" s="37"/>
      <c r="C994" s="37"/>
      <c r="D994" s="37"/>
      <c r="E994" s="37"/>
      <c r="F994" s="37"/>
      <c r="G994" s="37"/>
      <c r="V994" s="37">
        <f t="shared" si="1"/>
        <v>0</v>
      </c>
    </row>
    <row r="995">
      <c r="A995" s="37"/>
      <c r="B995" s="37"/>
      <c r="C995" s="37"/>
      <c r="D995" s="37"/>
      <c r="E995" s="37"/>
      <c r="F995" s="37"/>
      <c r="G995" s="37"/>
      <c r="V995" s="37">
        <f t="shared" si="1"/>
        <v>0</v>
      </c>
    </row>
    <row r="996">
      <c r="A996" s="37"/>
      <c r="B996" s="37"/>
      <c r="C996" s="37"/>
      <c r="D996" s="37"/>
      <c r="E996" s="37"/>
      <c r="F996" s="37"/>
      <c r="G996" s="37"/>
      <c r="V996" s="37">
        <f t="shared" si="1"/>
        <v>0</v>
      </c>
    </row>
    <row r="997">
      <c r="A997" s="37"/>
      <c r="B997" s="37"/>
      <c r="C997" s="37"/>
      <c r="D997" s="37"/>
      <c r="E997" s="37"/>
      <c r="F997" s="37"/>
      <c r="G997" s="37"/>
      <c r="V997" s="37">
        <f t="shared" si="1"/>
        <v>0</v>
      </c>
    </row>
    <row r="998">
      <c r="A998" s="37"/>
      <c r="B998" s="37"/>
      <c r="C998" s="37"/>
      <c r="D998" s="37"/>
      <c r="E998" s="37"/>
      <c r="F998" s="37"/>
      <c r="G998" s="37"/>
      <c r="V998" s="37">
        <f t="shared" si="1"/>
        <v>0</v>
      </c>
    </row>
    <row r="999">
      <c r="A999" s="37"/>
      <c r="B999" s="37"/>
      <c r="C999" s="37"/>
      <c r="D999" s="37"/>
      <c r="E999" s="37"/>
      <c r="F999" s="37"/>
      <c r="G999" s="37"/>
      <c r="V999" s="37">
        <f t="shared" si="1"/>
        <v>0</v>
      </c>
    </row>
    <row r="1000">
      <c r="A1000" s="37"/>
      <c r="B1000" s="37"/>
      <c r="C1000" s="37"/>
      <c r="D1000" s="37"/>
      <c r="E1000" s="37"/>
      <c r="F1000" s="37"/>
      <c r="G1000" s="37"/>
      <c r="V1000" s="37">
        <f t="shared" si="1"/>
        <v>0</v>
      </c>
    </row>
  </sheetData>
  <dataValidations>
    <dataValidation type="list" allowBlank="1" showErrorMessage="1" sqref="C2:C1000">
      <formula1>'預算欄位參數表'!$E$2:$E1000</formula1>
    </dataValidation>
    <dataValidation type="list" allowBlank="1" showErrorMessage="1" sqref="A2:A1000">
      <formula1>'預算欄位參數表'!$A$1:$A1000</formula1>
    </dataValidation>
    <dataValidation type="list" allowBlank="1" showErrorMessage="1" sqref="E2:E1000">
      <formula1>'預算欄位參數表'!$I$2:$I1000</formula1>
    </dataValidation>
    <dataValidation type="list" allowBlank="1" showErrorMessage="1" sqref="B2:B1000">
      <formula1>'預算欄位參數表'!$C$2:$C$22</formula1>
    </dataValidation>
    <dataValidation type="list" allowBlank="1" showErrorMessage="1" sqref="D2:D1000">
      <formula1>'預算欄位參數表'!$G$2:$G1000</formula1>
    </dataValidation>
    <dataValidation type="list" allowBlank="1" showErrorMessage="1" sqref="F2:F1000">
      <formula1>'預算欄位參數表'!$L$2:L1000</formula1>
    </dataValidation>
    <dataValidation type="list" allowBlank="1" showErrorMessage="1" sqref="G2:G1000">
      <formula1>'預算欄位參數表'!$J$2:J1000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5" max="5" width="16.0"/>
    <col customWidth="1" min="6" max="6" width="14.0"/>
    <col customWidth="1" min="7" max="7" width="13.13"/>
    <col customWidth="1" min="8" max="8" width="16.0"/>
    <col customWidth="1" min="9" max="9" width="15.5"/>
  </cols>
  <sheetData>
    <row r="1">
      <c r="A1" s="27" t="s">
        <v>0</v>
      </c>
      <c r="B1" s="34" t="s">
        <v>1</v>
      </c>
      <c r="C1" s="34" t="s">
        <v>2</v>
      </c>
      <c r="D1" s="27" t="s">
        <v>3</v>
      </c>
      <c r="E1" s="34" t="s">
        <v>4</v>
      </c>
      <c r="F1" s="27" t="s">
        <v>5</v>
      </c>
      <c r="G1" s="34" t="s">
        <v>6</v>
      </c>
      <c r="H1" s="34" t="s">
        <v>44</v>
      </c>
      <c r="I1" s="38" t="s">
        <v>8</v>
      </c>
      <c r="J1" s="29">
        <v>46023.0</v>
      </c>
      <c r="K1" s="29">
        <v>46054.0</v>
      </c>
      <c r="L1" s="29">
        <v>46082.0</v>
      </c>
      <c r="M1" s="29">
        <v>46113.0</v>
      </c>
      <c r="N1" s="29">
        <v>46143.0</v>
      </c>
      <c r="O1" s="29">
        <v>46174.0</v>
      </c>
      <c r="P1" s="29">
        <v>46204.0</v>
      </c>
      <c r="Q1" s="29">
        <v>46235.0</v>
      </c>
      <c r="R1" s="29">
        <v>46266.0</v>
      </c>
      <c r="S1" s="29">
        <v>46296.0</v>
      </c>
      <c r="T1" s="29">
        <v>46327.0</v>
      </c>
      <c r="U1" s="29">
        <v>46357.0</v>
      </c>
      <c r="V1" s="27" t="s">
        <v>21</v>
      </c>
      <c r="W1" s="27"/>
      <c r="X1" s="27"/>
      <c r="Y1" s="27"/>
      <c r="Z1" s="27"/>
      <c r="AA1" s="27"/>
    </row>
    <row r="2">
      <c r="A2" s="35" t="s">
        <v>27</v>
      </c>
      <c r="B2" s="35" t="s">
        <v>39</v>
      </c>
      <c r="C2" s="35" t="s">
        <v>39</v>
      </c>
      <c r="D2" s="35" t="s">
        <v>40</v>
      </c>
      <c r="E2" s="35" t="s">
        <v>42</v>
      </c>
      <c r="F2" s="35" t="s">
        <v>43</v>
      </c>
      <c r="G2" s="35" t="s">
        <v>33</v>
      </c>
      <c r="H2" s="35" t="s">
        <v>41</v>
      </c>
      <c r="I2" s="36"/>
      <c r="J2" s="35">
        <v>50000.0</v>
      </c>
      <c r="K2" s="35">
        <v>50000.0</v>
      </c>
      <c r="L2" s="35">
        <v>50000.0</v>
      </c>
      <c r="M2" s="35">
        <v>50000.0</v>
      </c>
      <c r="N2" s="35">
        <v>50000.0</v>
      </c>
      <c r="O2" s="35">
        <v>50000.0</v>
      </c>
      <c r="P2" s="35">
        <v>50000.0</v>
      </c>
      <c r="Q2" s="36"/>
      <c r="R2" s="36"/>
      <c r="S2" s="36"/>
      <c r="T2" s="36"/>
      <c r="U2" s="36"/>
      <c r="V2" s="36">
        <f t="shared" ref="V2:V1000" si="1">SUM(B2:U2)</f>
        <v>350000</v>
      </c>
      <c r="W2" s="36"/>
      <c r="X2" s="36"/>
      <c r="Y2" s="36"/>
      <c r="Z2" s="36"/>
      <c r="AA2" s="36"/>
    </row>
    <row r="3">
      <c r="A3" s="35"/>
      <c r="B3" s="35"/>
      <c r="C3" s="35"/>
      <c r="D3" s="35"/>
      <c r="E3" s="35"/>
      <c r="F3" s="35"/>
      <c r="G3" s="35"/>
      <c r="V3" s="36">
        <f t="shared" si="1"/>
        <v>0</v>
      </c>
      <c r="W3" s="36"/>
    </row>
    <row r="4">
      <c r="A4" s="35"/>
      <c r="B4" s="35"/>
      <c r="C4" s="35"/>
      <c r="D4" s="35"/>
      <c r="E4" s="35"/>
      <c r="F4" s="35"/>
      <c r="G4" s="35"/>
      <c r="V4" s="37">
        <f t="shared" si="1"/>
        <v>0</v>
      </c>
    </row>
    <row r="5">
      <c r="A5" s="35"/>
      <c r="B5" s="35"/>
      <c r="C5" s="35"/>
      <c r="D5" s="35"/>
      <c r="E5" s="35"/>
      <c r="F5" s="35"/>
      <c r="G5" s="35"/>
      <c r="V5" s="37">
        <f t="shared" si="1"/>
        <v>0</v>
      </c>
    </row>
    <row r="6">
      <c r="A6" s="35"/>
      <c r="B6" s="35"/>
      <c r="C6" s="35"/>
      <c r="D6" s="35"/>
      <c r="E6" s="35"/>
      <c r="F6" s="35"/>
      <c r="G6" s="35"/>
      <c r="V6" s="37">
        <f t="shared" si="1"/>
        <v>0</v>
      </c>
    </row>
    <row r="7">
      <c r="A7" s="35"/>
      <c r="B7" s="35"/>
      <c r="C7" s="35"/>
      <c r="D7" s="35"/>
      <c r="E7" s="35"/>
      <c r="F7" s="35"/>
      <c r="G7" s="35"/>
      <c r="V7" s="37">
        <f t="shared" si="1"/>
        <v>0</v>
      </c>
    </row>
    <row r="8">
      <c r="A8" s="35"/>
      <c r="B8" s="35"/>
      <c r="C8" s="35"/>
      <c r="D8" s="35"/>
      <c r="E8" s="35"/>
      <c r="F8" s="35"/>
      <c r="G8" s="35"/>
      <c r="V8" s="37">
        <f t="shared" si="1"/>
        <v>0</v>
      </c>
    </row>
    <row r="9">
      <c r="A9" s="35"/>
      <c r="B9" s="35"/>
      <c r="C9" s="35"/>
      <c r="D9" s="35"/>
      <c r="E9" s="35"/>
      <c r="F9" s="35"/>
      <c r="G9" s="35"/>
      <c r="V9" s="37">
        <f t="shared" si="1"/>
        <v>0</v>
      </c>
    </row>
    <row r="10">
      <c r="A10" s="35"/>
      <c r="B10" s="35"/>
      <c r="C10" s="35"/>
      <c r="D10" s="35"/>
      <c r="E10" s="35"/>
      <c r="F10" s="35"/>
      <c r="G10" s="35"/>
      <c r="V10" s="37">
        <f t="shared" si="1"/>
        <v>0</v>
      </c>
    </row>
    <row r="11">
      <c r="A11" s="35"/>
      <c r="B11" s="35"/>
      <c r="C11" s="35"/>
      <c r="D11" s="35"/>
      <c r="E11" s="35"/>
      <c r="F11" s="35"/>
      <c r="G11" s="35"/>
      <c r="V11" s="37">
        <f t="shared" si="1"/>
        <v>0</v>
      </c>
    </row>
    <row r="12">
      <c r="A12" s="35"/>
      <c r="B12" s="35"/>
      <c r="C12" s="35"/>
      <c r="D12" s="35"/>
      <c r="E12" s="35"/>
      <c r="F12" s="35"/>
      <c r="G12" s="35"/>
      <c r="V12" s="37">
        <f t="shared" si="1"/>
        <v>0</v>
      </c>
    </row>
    <row r="13">
      <c r="A13" s="35"/>
      <c r="B13" s="35"/>
      <c r="C13" s="35"/>
      <c r="D13" s="35"/>
      <c r="E13" s="35"/>
      <c r="F13" s="35"/>
      <c r="G13" s="35"/>
      <c r="V13" s="37">
        <f t="shared" si="1"/>
        <v>0</v>
      </c>
    </row>
    <row r="14">
      <c r="A14" s="35"/>
      <c r="B14" s="35"/>
      <c r="C14" s="35"/>
      <c r="D14" s="35"/>
      <c r="E14" s="35"/>
      <c r="F14" s="35"/>
      <c r="G14" s="35"/>
      <c r="V14" s="37">
        <f t="shared" si="1"/>
        <v>0</v>
      </c>
    </row>
    <row r="15">
      <c r="A15" s="35"/>
      <c r="B15" s="35"/>
      <c r="C15" s="35"/>
      <c r="D15" s="35"/>
      <c r="E15" s="35"/>
      <c r="F15" s="35"/>
      <c r="G15" s="35"/>
      <c r="V15" s="37">
        <f t="shared" si="1"/>
        <v>0</v>
      </c>
    </row>
    <row r="16">
      <c r="A16" s="35"/>
      <c r="B16" s="35"/>
      <c r="C16" s="35"/>
      <c r="D16" s="35"/>
      <c r="E16" s="35"/>
      <c r="F16" s="35"/>
      <c r="G16" s="35"/>
      <c r="V16" s="37">
        <f t="shared" si="1"/>
        <v>0</v>
      </c>
    </row>
    <row r="17">
      <c r="A17" s="35"/>
      <c r="B17" s="35"/>
      <c r="C17" s="35"/>
      <c r="D17" s="35"/>
      <c r="E17" s="35"/>
      <c r="F17" s="35"/>
      <c r="G17" s="35"/>
      <c r="V17" s="37">
        <f t="shared" si="1"/>
        <v>0</v>
      </c>
    </row>
    <row r="18">
      <c r="A18" s="35"/>
      <c r="B18" s="35"/>
      <c r="C18" s="35"/>
      <c r="D18" s="35"/>
      <c r="E18" s="35"/>
      <c r="F18" s="35"/>
      <c r="G18" s="35"/>
      <c r="V18" s="37">
        <f t="shared" si="1"/>
        <v>0</v>
      </c>
    </row>
    <row r="19">
      <c r="A19" s="35"/>
      <c r="B19" s="35"/>
      <c r="C19" s="35"/>
      <c r="D19" s="35"/>
      <c r="E19" s="35"/>
      <c r="F19" s="35"/>
      <c r="G19" s="35"/>
      <c r="V19" s="37">
        <f t="shared" si="1"/>
        <v>0</v>
      </c>
    </row>
    <row r="20">
      <c r="A20" s="35"/>
      <c r="B20" s="35"/>
      <c r="C20" s="35"/>
      <c r="D20" s="35"/>
      <c r="E20" s="35"/>
      <c r="F20" s="35"/>
      <c r="G20" s="35"/>
      <c r="V20" s="37">
        <f t="shared" si="1"/>
        <v>0</v>
      </c>
    </row>
    <row r="21">
      <c r="A21" s="35"/>
      <c r="B21" s="35"/>
      <c r="C21" s="35"/>
      <c r="D21" s="35"/>
      <c r="E21" s="35"/>
      <c r="F21" s="35"/>
      <c r="G21" s="35"/>
      <c r="V21" s="37">
        <f t="shared" si="1"/>
        <v>0</v>
      </c>
    </row>
    <row r="22">
      <c r="A22" s="35"/>
      <c r="B22" s="35"/>
      <c r="C22" s="35"/>
      <c r="D22" s="35"/>
      <c r="E22" s="35"/>
      <c r="F22" s="35"/>
      <c r="G22" s="35"/>
      <c r="V22" s="37">
        <f t="shared" si="1"/>
        <v>0</v>
      </c>
    </row>
    <row r="23">
      <c r="A23" s="35"/>
      <c r="B23" s="35"/>
      <c r="C23" s="35"/>
      <c r="D23" s="35"/>
      <c r="E23" s="35"/>
      <c r="F23" s="35"/>
      <c r="G23" s="35"/>
      <c r="V23" s="37">
        <f t="shared" si="1"/>
        <v>0</v>
      </c>
    </row>
    <row r="24">
      <c r="A24" s="35"/>
      <c r="B24" s="35"/>
      <c r="C24" s="35"/>
      <c r="D24" s="35"/>
      <c r="E24" s="35"/>
      <c r="F24" s="35"/>
      <c r="G24" s="35"/>
      <c r="V24" s="37">
        <f t="shared" si="1"/>
        <v>0</v>
      </c>
    </row>
    <row r="25">
      <c r="A25" s="35"/>
      <c r="B25" s="35"/>
      <c r="C25" s="35"/>
      <c r="D25" s="35"/>
      <c r="E25" s="35"/>
      <c r="F25" s="35"/>
      <c r="G25" s="35"/>
      <c r="V25" s="37">
        <f t="shared" si="1"/>
        <v>0</v>
      </c>
    </row>
    <row r="26">
      <c r="A26" s="35"/>
      <c r="B26" s="35"/>
      <c r="C26" s="35"/>
      <c r="D26" s="35"/>
      <c r="E26" s="35"/>
      <c r="F26" s="35"/>
      <c r="G26" s="35"/>
      <c r="V26" s="37">
        <f t="shared" si="1"/>
        <v>0</v>
      </c>
    </row>
    <row r="27">
      <c r="A27" s="35"/>
      <c r="B27" s="35"/>
      <c r="C27" s="35"/>
      <c r="D27" s="35"/>
      <c r="E27" s="35"/>
      <c r="F27" s="35"/>
      <c r="G27" s="35"/>
      <c r="V27" s="37">
        <f t="shared" si="1"/>
        <v>0</v>
      </c>
    </row>
    <row r="28">
      <c r="A28" s="35"/>
      <c r="B28" s="35"/>
      <c r="C28" s="35"/>
      <c r="D28" s="35"/>
      <c r="E28" s="35"/>
      <c r="F28" s="35"/>
      <c r="G28" s="35"/>
      <c r="V28" s="37">
        <f t="shared" si="1"/>
        <v>0</v>
      </c>
    </row>
    <row r="29">
      <c r="A29" s="35"/>
      <c r="B29" s="35"/>
      <c r="C29" s="35"/>
      <c r="D29" s="35"/>
      <c r="E29" s="35"/>
      <c r="F29" s="35"/>
      <c r="G29" s="35"/>
      <c r="V29" s="37">
        <f t="shared" si="1"/>
        <v>0</v>
      </c>
    </row>
    <row r="30">
      <c r="A30" s="35"/>
      <c r="B30" s="35"/>
      <c r="C30" s="35"/>
      <c r="D30" s="35"/>
      <c r="E30" s="35"/>
      <c r="F30" s="35"/>
      <c r="G30" s="35"/>
      <c r="V30" s="37">
        <f t="shared" si="1"/>
        <v>0</v>
      </c>
    </row>
    <row r="31">
      <c r="A31" s="35"/>
      <c r="B31" s="35"/>
      <c r="C31" s="35"/>
      <c r="D31" s="35"/>
      <c r="E31" s="35"/>
      <c r="F31" s="35"/>
      <c r="G31" s="35"/>
      <c r="V31" s="37">
        <f t="shared" si="1"/>
        <v>0</v>
      </c>
    </row>
    <row r="32">
      <c r="A32" s="35"/>
      <c r="B32" s="35"/>
      <c r="C32" s="35"/>
      <c r="D32" s="35"/>
      <c r="E32" s="35"/>
      <c r="F32" s="35"/>
      <c r="G32" s="35"/>
      <c r="V32" s="37">
        <f t="shared" si="1"/>
        <v>0</v>
      </c>
    </row>
    <row r="33">
      <c r="A33" s="35"/>
      <c r="B33" s="35"/>
      <c r="C33" s="35"/>
      <c r="D33" s="35"/>
      <c r="E33" s="35"/>
      <c r="F33" s="35"/>
      <c r="G33" s="35"/>
      <c r="V33" s="37">
        <f t="shared" si="1"/>
        <v>0</v>
      </c>
    </row>
    <row r="34">
      <c r="A34" s="35"/>
      <c r="B34" s="35"/>
      <c r="C34" s="35"/>
      <c r="D34" s="35"/>
      <c r="E34" s="35"/>
      <c r="F34" s="35"/>
      <c r="G34" s="35"/>
      <c r="V34" s="37">
        <f t="shared" si="1"/>
        <v>0</v>
      </c>
    </row>
    <row r="35">
      <c r="A35" s="35"/>
      <c r="B35" s="35"/>
      <c r="C35" s="35"/>
      <c r="D35" s="35"/>
      <c r="E35" s="35"/>
      <c r="F35" s="35"/>
      <c r="G35" s="35"/>
      <c r="V35" s="37">
        <f t="shared" si="1"/>
        <v>0</v>
      </c>
    </row>
    <row r="36">
      <c r="A36" s="35"/>
      <c r="B36" s="35"/>
      <c r="C36" s="35"/>
      <c r="D36" s="35"/>
      <c r="E36" s="35"/>
      <c r="F36" s="35"/>
      <c r="G36" s="35"/>
      <c r="V36" s="37">
        <f t="shared" si="1"/>
        <v>0</v>
      </c>
    </row>
    <row r="37">
      <c r="A37" s="35"/>
      <c r="B37" s="35"/>
      <c r="C37" s="35"/>
      <c r="D37" s="35"/>
      <c r="E37" s="35"/>
      <c r="F37" s="35"/>
      <c r="G37" s="35"/>
      <c r="V37" s="37">
        <f t="shared" si="1"/>
        <v>0</v>
      </c>
    </row>
    <row r="38">
      <c r="A38" s="35"/>
      <c r="B38" s="35"/>
      <c r="C38" s="35"/>
      <c r="D38" s="35"/>
      <c r="E38" s="35"/>
      <c r="F38" s="35"/>
      <c r="G38" s="35"/>
      <c r="V38" s="37">
        <f t="shared" si="1"/>
        <v>0</v>
      </c>
    </row>
    <row r="39">
      <c r="A39" s="35"/>
      <c r="B39" s="35"/>
      <c r="C39" s="35"/>
      <c r="D39" s="35"/>
      <c r="E39" s="35"/>
      <c r="F39" s="35"/>
      <c r="G39" s="35"/>
      <c r="V39" s="37">
        <f t="shared" si="1"/>
        <v>0</v>
      </c>
    </row>
    <row r="40">
      <c r="A40" s="35"/>
      <c r="B40" s="35"/>
      <c r="C40" s="35"/>
      <c r="D40" s="35"/>
      <c r="E40" s="35"/>
      <c r="F40" s="35"/>
      <c r="G40" s="35"/>
      <c r="V40" s="37">
        <f t="shared" si="1"/>
        <v>0</v>
      </c>
    </row>
    <row r="41">
      <c r="A41" s="35"/>
      <c r="B41" s="35"/>
      <c r="C41" s="35"/>
      <c r="D41" s="35"/>
      <c r="E41" s="35"/>
      <c r="F41" s="35"/>
      <c r="G41" s="35"/>
      <c r="V41" s="37">
        <f t="shared" si="1"/>
        <v>0</v>
      </c>
    </row>
    <row r="42">
      <c r="A42" s="35"/>
      <c r="B42" s="35"/>
      <c r="C42" s="35"/>
      <c r="D42" s="35"/>
      <c r="E42" s="35"/>
      <c r="F42" s="35"/>
      <c r="G42" s="35"/>
      <c r="V42" s="37">
        <f t="shared" si="1"/>
        <v>0</v>
      </c>
    </row>
    <row r="43">
      <c r="A43" s="35"/>
      <c r="B43" s="35"/>
      <c r="C43" s="35"/>
      <c r="D43" s="35"/>
      <c r="E43" s="35"/>
      <c r="F43" s="35"/>
      <c r="G43" s="35"/>
      <c r="V43" s="37">
        <f t="shared" si="1"/>
        <v>0</v>
      </c>
    </row>
    <row r="44">
      <c r="A44" s="35"/>
      <c r="B44" s="35"/>
      <c r="C44" s="35"/>
      <c r="D44" s="35"/>
      <c r="E44" s="35"/>
      <c r="F44" s="35"/>
      <c r="G44" s="35"/>
      <c r="V44" s="37">
        <f t="shared" si="1"/>
        <v>0</v>
      </c>
    </row>
    <row r="45">
      <c r="A45" s="35"/>
      <c r="B45" s="35"/>
      <c r="C45" s="35"/>
      <c r="D45" s="35"/>
      <c r="E45" s="35"/>
      <c r="F45" s="35"/>
      <c r="G45" s="35"/>
      <c r="V45" s="37">
        <f t="shared" si="1"/>
        <v>0</v>
      </c>
    </row>
    <row r="46">
      <c r="A46" s="35"/>
      <c r="B46" s="35"/>
      <c r="C46" s="35"/>
      <c r="D46" s="35"/>
      <c r="E46" s="35"/>
      <c r="F46" s="35"/>
      <c r="G46" s="35"/>
      <c r="V46" s="37">
        <f t="shared" si="1"/>
        <v>0</v>
      </c>
    </row>
    <row r="47">
      <c r="A47" s="35"/>
      <c r="B47" s="35"/>
      <c r="C47" s="35"/>
      <c r="D47" s="35"/>
      <c r="E47" s="35"/>
      <c r="F47" s="35"/>
      <c r="G47" s="35"/>
      <c r="V47" s="37">
        <f t="shared" si="1"/>
        <v>0</v>
      </c>
    </row>
    <row r="48">
      <c r="A48" s="35"/>
      <c r="B48" s="35"/>
      <c r="C48" s="35"/>
      <c r="D48" s="35"/>
      <c r="E48" s="35"/>
      <c r="F48" s="35"/>
      <c r="G48" s="35"/>
      <c r="V48" s="37">
        <f t="shared" si="1"/>
        <v>0</v>
      </c>
    </row>
    <row r="49">
      <c r="A49" s="35"/>
      <c r="B49" s="35"/>
      <c r="C49" s="35"/>
      <c r="D49" s="35"/>
      <c r="E49" s="35"/>
      <c r="F49" s="35"/>
      <c r="G49" s="35"/>
      <c r="V49" s="37">
        <f t="shared" si="1"/>
        <v>0</v>
      </c>
    </row>
    <row r="50">
      <c r="A50" s="35"/>
      <c r="B50" s="35"/>
      <c r="C50" s="35"/>
      <c r="D50" s="35"/>
      <c r="E50" s="35"/>
      <c r="F50" s="35"/>
      <c r="G50" s="35"/>
      <c r="V50" s="37">
        <f t="shared" si="1"/>
        <v>0</v>
      </c>
    </row>
    <row r="51">
      <c r="A51" s="35"/>
      <c r="B51" s="35"/>
      <c r="C51" s="35"/>
      <c r="D51" s="35"/>
      <c r="E51" s="35"/>
      <c r="F51" s="35"/>
      <c r="G51" s="35"/>
      <c r="V51" s="37">
        <f t="shared" si="1"/>
        <v>0</v>
      </c>
    </row>
    <row r="52">
      <c r="A52" s="35"/>
      <c r="B52" s="35"/>
      <c r="C52" s="35"/>
      <c r="D52" s="35"/>
      <c r="E52" s="35"/>
      <c r="F52" s="35"/>
      <c r="G52" s="35"/>
      <c r="V52" s="37">
        <f t="shared" si="1"/>
        <v>0</v>
      </c>
    </row>
    <row r="53">
      <c r="A53" s="35"/>
      <c r="B53" s="35"/>
      <c r="C53" s="35"/>
      <c r="D53" s="35"/>
      <c r="E53" s="35"/>
      <c r="F53" s="35"/>
      <c r="G53" s="35"/>
      <c r="V53" s="37">
        <f t="shared" si="1"/>
        <v>0</v>
      </c>
    </row>
    <row r="54">
      <c r="A54" s="35"/>
      <c r="B54" s="35"/>
      <c r="C54" s="35"/>
      <c r="D54" s="35"/>
      <c r="E54" s="35"/>
      <c r="F54" s="35"/>
      <c r="G54" s="35"/>
      <c r="V54" s="37">
        <f t="shared" si="1"/>
        <v>0</v>
      </c>
    </row>
    <row r="55">
      <c r="A55" s="35"/>
      <c r="B55" s="35"/>
      <c r="C55" s="35"/>
      <c r="D55" s="35"/>
      <c r="E55" s="35"/>
      <c r="F55" s="35"/>
      <c r="G55" s="35"/>
      <c r="V55" s="37">
        <f t="shared" si="1"/>
        <v>0</v>
      </c>
    </row>
    <row r="56">
      <c r="A56" s="35"/>
      <c r="B56" s="35"/>
      <c r="C56" s="35"/>
      <c r="D56" s="35"/>
      <c r="E56" s="35"/>
      <c r="F56" s="35"/>
      <c r="G56" s="35"/>
      <c r="V56" s="37">
        <f t="shared" si="1"/>
        <v>0</v>
      </c>
    </row>
    <row r="57">
      <c r="A57" s="35"/>
      <c r="B57" s="35"/>
      <c r="C57" s="35"/>
      <c r="D57" s="35"/>
      <c r="E57" s="35"/>
      <c r="F57" s="35"/>
      <c r="G57" s="35"/>
      <c r="V57" s="37">
        <f t="shared" si="1"/>
        <v>0</v>
      </c>
    </row>
    <row r="58">
      <c r="A58" s="35"/>
      <c r="B58" s="35"/>
      <c r="C58" s="35"/>
      <c r="D58" s="35"/>
      <c r="E58" s="35"/>
      <c r="F58" s="35"/>
      <c r="G58" s="35"/>
      <c r="V58" s="37">
        <f t="shared" si="1"/>
        <v>0</v>
      </c>
    </row>
    <row r="59">
      <c r="A59" s="35"/>
      <c r="B59" s="35"/>
      <c r="C59" s="35"/>
      <c r="D59" s="35"/>
      <c r="E59" s="35"/>
      <c r="F59" s="35"/>
      <c r="G59" s="35"/>
      <c r="V59" s="37">
        <f t="shared" si="1"/>
        <v>0</v>
      </c>
    </row>
    <row r="60">
      <c r="A60" s="35"/>
      <c r="B60" s="35"/>
      <c r="C60" s="35"/>
      <c r="D60" s="35"/>
      <c r="E60" s="35"/>
      <c r="F60" s="35"/>
      <c r="G60" s="35"/>
      <c r="V60" s="37">
        <f t="shared" si="1"/>
        <v>0</v>
      </c>
    </row>
    <row r="61">
      <c r="A61" s="35"/>
      <c r="B61" s="35"/>
      <c r="C61" s="35"/>
      <c r="D61" s="35"/>
      <c r="E61" s="35"/>
      <c r="F61" s="35"/>
      <c r="G61" s="35"/>
      <c r="V61" s="37">
        <f t="shared" si="1"/>
        <v>0</v>
      </c>
    </row>
    <row r="62">
      <c r="A62" s="35"/>
      <c r="B62" s="35"/>
      <c r="C62" s="35"/>
      <c r="D62" s="35"/>
      <c r="E62" s="35"/>
      <c r="F62" s="35"/>
      <c r="G62" s="35"/>
      <c r="V62" s="37">
        <f t="shared" si="1"/>
        <v>0</v>
      </c>
    </row>
    <row r="63">
      <c r="A63" s="35"/>
      <c r="B63" s="35"/>
      <c r="C63" s="35"/>
      <c r="D63" s="35"/>
      <c r="E63" s="35"/>
      <c r="F63" s="35"/>
      <c r="G63" s="35"/>
      <c r="V63" s="37">
        <f t="shared" si="1"/>
        <v>0</v>
      </c>
    </row>
    <row r="64">
      <c r="A64" s="35"/>
      <c r="B64" s="35"/>
      <c r="C64" s="35"/>
      <c r="D64" s="35"/>
      <c r="E64" s="35"/>
      <c r="F64" s="35"/>
      <c r="G64" s="35"/>
      <c r="V64" s="37">
        <f t="shared" si="1"/>
        <v>0</v>
      </c>
    </row>
    <row r="65">
      <c r="A65" s="35"/>
      <c r="B65" s="35"/>
      <c r="C65" s="35"/>
      <c r="D65" s="35"/>
      <c r="E65" s="35"/>
      <c r="F65" s="35"/>
      <c r="G65" s="35"/>
      <c r="V65" s="37">
        <f t="shared" si="1"/>
        <v>0</v>
      </c>
    </row>
    <row r="66">
      <c r="A66" s="35"/>
      <c r="B66" s="35"/>
      <c r="C66" s="35"/>
      <c r="D66" s="35"/>
      <c r="E66" s="35"/>
      <c r="F66" s="35"/>
      <c r="G66" s="35"/>
      <c r="V66" s="37">
        <f t="shared" si="1"/>
        <v>0</v>
      </c>
    </row>
    <row r="67">
      <c r="A67" s="35"/>
      <c r="B67" s="35"/>
      <c r="C67" s="35"/>
      <c r="D67" s="35"/>
      <c r="E67" s="35"/>
      <c r="F67" s="35"/>
      <c r="G67" s="35"/>
      <c r="V67" s="37">
        <f t="shared" si="1"/>
        <v>0</v>
      </c>
    </row>
    <row r="68">
      <c r="A68" s="35"/>
      <c r="B68" s="35"/>
      <c r="C68" s="35"/>
      <c r="D68" s="35"/>
      <c r="E68" s="35"/>
      <c r="F68" s="35"/>
      <c r="G68" s="35"/>
      <c r="V68" s="37">
        <f t="shared" si="1"/>
        <v>0</v>
      </c>
    </row>
    <row r="69">
      <c r="A69" s="35"/>
      <c r="B69" s="35"/>
      <c r="C69" s="35"/>
      <c r="D69" s="35"/>
      <c r="E69" s="35"/>
      <c r="F69" s="35"/>
      <c r="G69" s="35"/>
      <c r="V69" s="37">
        <f t="shared" si="1"/>
        <v>0</v>
      </c>
    </row>
    <row r="70">
      <c r="A70" s="35"/>
      <c r="B70" s="35"/>
      <c r="C70" s="35"/>
      <c r="D70" s="35"/>
      <c r="E70" s="35"/>
      <c r="F70" s="35"/>
      <c r="G70" s="35"/>
      <c r="V70" s="37">
        <f t="shared" si="1"/>
        <v>0</v>
      </c>
    </row>
    <row r="71">
      <c r="A71" s="35"/>
      <c r="B71" s="35"/>
      <c r="C71" s="35"/>
      <c r="D71" s="35"/>
      <c r="E71" s="35"/>
      <c r="F71" s="35"/>
      <c r="G71" s="35"/>
      <c r="V71" s="37">
        <f t="shared" si="1"/>
        <v>0</v>
      </c>
    </row>
    <row r="72">
      <c r="A72" s="35"/>
      <c r="B72" s="35"/>
      <c r="C72" s="35"/>
      <c r="D72" s="35"/>
      <c r="E72" s="35"/>
      <c r="F72" s="35"/>
      <c r="G72" s="35"/>
      <c r="V72" s="37">
        <f t="shared" si="1"/>
        <v>0</v>
      </c>
    </row>
    <row r="73">
      <c r="A73" s="35"/>
      <c r="B73" s="35"/>
      <c r="C73" s="35"/>
      <c r="D73" s="35"/>
      <c r="E73" s="35"/>
      <c r="F73" s="35"/>
      <c r="G73" s="35"/>
      <c r="V73" s="37">
        <f t="shared" si="1"/>
        <v>0</v>
      </c>
    </row>
    <row r="74">
      <c r="A74" s="35"/>
      <c r="B74" s="35"/>
      <c r="C74" s="35"/>
      <c r="D74" s="35"/>
      <c r="E74" s="35"/>
      <c r="F74" s="35"/>
      <c r="G74" s="35"/>
      <c r="V74" s="37">
        <f t="shared" si="1"/>
        <v>0</v>
      </c>
    </row>
    <row r="75">
      <c r="A75" s="35"/>
      <c r="B75" s="35"/>
      <c r="C75" s="35"/>
      <c r="D75" s="35"/>
      <c r="E75" s="35"/>
      <c r="F75" s="35"/>
      <c r="G75" s="35"/>
      <c r="V75" s="37">
        <f t="shared" si="1"/>
        <v>0</v>
      </c>
    </row>
    <row r="76">
      <c r="A76" s="35"/>
      <c r="B76" s="35"/>
      <c r="C76" s="35"/>
      <c r="D76" s="35"/>
      <c r="E76" s="35"/>
      <c r="F76" s="35"/>
      <c r="G76" s="35"/>
      <c r="V76" s="37">
        <f t="shared" si="1"/>
        <v>0</v>
      </c>
    </row>
    <row r="77">
      <c r="A77" s="35"/>
      <c r="B77" s="35"/>
      <c r="C77" s="35"/>
      <c r="D77" s="35"/>
      <c r="E77" s="35"/>
      <c r="F77" s="35"/>
      <c r="G77" s="35"/>
      <c r="V77" s="37">
        <f t="shared" si="1"/>
        <v>0</v>
      </c>
    </row>
    <row r="78">
      <c r="A78" s="35"/>
      <c r="B78" s="35"/>
      <c r="C78" s="35"/>
      <c r="D78" s="35"/>
      <c r="E78" s="35"/>
      <c r="F78" s="35"/>
      <c r="G78" s="35"/>
      <c r="V78" s="37">
        <f t="shared" si="1"/>
        <v>0</v>
      </c>
    </row>
    <row r="79">
      <c r="A79" s="35"/>
      <c r="B79" s="35"/>
      <c r="C79" s="35"/>
      <c r="D79" s="35"/>
      <c r="E79" s="35"/>
      <c r="F79" s="35"/>
      <c r="G79" s="35"/>
      <c r="V79" s="37">
        <f t="shared" si="1"/>
        <v>0</v>
      </c>
    </row>
    <row r="80">
      <c r="A80" s="35"/>
      <c r="B80" s="35"/>
      <c r="C80" s="35"/>
      <c r="D80" s="35"/>
      <c r="E80" s="35"/>
      <c r="F80" s="35"/>
      <c r="G80" s="35"/>
      <c r="V80" s="37">
        <f t="shared" si="1"/>
        <v>0</v>
      </c>
    </row>
    <row r="81">
      <c r="A81" s="35"/>
      <c r="B81" s="35"/>
      <c r="C81" s="35"/>
      <c r="D81" s="35"/>
      <c r="E81" s="35"/>
      <c r="F81" s="35"/>
      <c r="G81" s="35"/>
      <c r="V81" s="37">
        <f t="shared" si="1"/>
        <v>0</v>
      </c>
    </row>
    <row r="82">
      <c r="A82" s="35"/>
      <c r="B82" s="35"/>
      <c r="C82" s="35"/>
      <c r="D82" s="35"/>
      <c r="E82" s="35"/>
      <c r="F82" s="35"/>
      <c r="G82" s="35"/>
      <c r="V82" s="37">
        <f t="shared" si="1"/>
        <v>0</v>
      </c>
    </row>
    <row r="83">
      <c r="A83" s="35"/>
      <c r="B83" s="35"/>
      <c r="C83" s="35"/>
      <c r="D83" s="35"/>
      <c r="E83" s="35"/>
      <c r="F83" s="35"/>
      <c r="G83" s="35"/>
      <c r="V83" s="37">
        <f t="shared" si="1"/>
        <v>0</v>
      </c>
    </row>
    <row r="84">
      <c r="A84" s="35"/>
      <c r="B84" s="35"/>
      <c r="C84" s="35"/>
      <c r="D84" s="35"/>
      <c r="E84" s="35"/>
      <c r="F84" s="35"/>
      <c r="G84" s="35"/>
      <c r="V84" s="37">
        <f t="shared" si="1"/>
        <v>0</v>
      </c>
    </row>
    <row r="85">
      <c r="A85" s="35"/>
      <c r="B85" s="35"/>
      <c r="C85" s="35"/>
      <c r="D85" s="35"/>
      <c r="E85" s="35"/>
      <c r="F85" s="35"/>
      <c r="G85" s="35"/>
      <c r="V85" s="37">
        <f t="shared" si="1"/>
        <v>0</v>
      </c>
    </row>
    <row r="86">
      <c r="A86" s="35"/>
      <c r="B86" s="35"/>
      <c r="C86" s="35"/>
      <c r="D86" s="35"/>
      <c r="E86" s="35"/>
      <c r="F86" s="35"/>
      <c r="G86" s="35"/>
      <c r="V86" s="37">
        <f t="shared" si="1"/>
        <v>0</v>
      </c>
    </row>
    <row r="87">
      <c r="A87" s="35"/>
      <c r="B87" s="35"/>
      <c r="C87" s="35"/>
      <c r="D87" s="35"/>
      <c r="E87" s="35"/>
      <c r="F87" s="35"/>
      <c r="G87" s="35"/>
      <c r="V87" s="37">
        <f t="shared" si="1"/>
        <v>0</v>
      </c>
    </row>
    <row r="88">
      <c r="A88" s="35"/>
      <c r="B88" s="35"/>
      <c r="C88" s="35"/>
      <c r="D88" s="35"/>
      <c r="E88" s="35"/>
      <c r="F88" s="35"/>
      <c r="G88" s="35"/>
      <c r="V88" s="37">
        <f t="shared" si="1"/>
        <v>0</v>
      </c>
    </row>
    <row r="89">
      <c r="A89" s="35"/>
      <c r="B89" s="35"/>
      <c r="C89" s="35"/>
      <c r="D89" s="35"/>
      <c r="E89" s="35"/>
      <c r="F89" s="35"/>
      <c r="G89" s="35"/>
      <c r="V89" s="37">
        <f t="shared" si="1"/>
        <v>0</v>
      </c>
    </row>
    <row r="90">
      <c r="A90" s="35"/>
      <c r="B90" s="35"/>
      <c r="C90" s="35"/>
      <c r="D90" s="35"/>
      <c r="E90" s="35"/>
      <c r="F90" s="35"/>
      <c r="G90" s="35"/>
      <c r="V90" s="37">
        <f t="shared" si="1"/>
        <v>0</v>
      </c>
    </row>
    <row r="91">
      <c r="A91" s="35"/>
      <c r="B91" s="35"/>
      <c r="C91" s="35"/>
      <c r="D91" s="35"/>
      <c r="E91" s="35"/>
      <c r="F91" s="35"/>
      <c r="G91" s="35"/>
      <c r="V91" s="37">
        <f t="shared" si="1"/>
        <v>0</v>
      </c>
    </row>
    <row r="92">
      <c r="A92" s="35"/>
      <c r="B92" s="35"/>
      <c r="C92" s="35"/>
      <c r="D92" s="35"/>
      <c r="E92" s="35"/>
      <c r="F92" s="35"/>
      <c r="G92" s="35"/>
      <c r="V92" s="37">
        <f t="shared" si="1"/>
        <v>0</v>
      </c>
    </row>
    <row r="93">
      <c r="A93" s="35"/>
      <c r="B93" s="35"/>
      <c r="C93" s="35"/>
      <c r="D93" s="35"/>
      <c r="E93" s="35"/>
      <c r="F93" s="35"/>
      <c r="G93" s="35"/>
      <c r="V93" s="37">
        <f t="shared" si="1"/>
        <v>0</v>
      </c>
    </row>
    <row r="94">
      <c r="A94" s="35"/>
      <c r="B94" s="35"/>
      <c r="C94" s="35"/>
      <c r="D94" s="35"/>
      <c r="E94" s="35"/>
      <c r="F94" s="35"/>
      <c r="G94" s="35"/>
      <c r="V94" s="37">
        <f t="shared" si="1"/>
        <v>0</v>
      </c>
    </row>
    <row r="95">
      <c r="A95" s="35"/>
      <c r="B95" s="35"/>
      <c r="C95" s="35"/>
      <c r="D95" s="35"/>
      <c r="E95" s="35"/>
      <c r="F95" s="35"/>
      <c r="G95" s="35"/>
      <c r="V95" s="37">
        <f t="shared" si="1"/>
        <v>0</v>
      </c>
    </row>
    <row r="96">
      <c r="A96" s="35"/>
      <c r="B96" s="35"/>
      <c r="C96" s="35"/>
      <c r="D96" s="35"/>
      <c r="E96" s="35"/>
      <c r="F96" s="35"/>
      <c r="G96" s="35"/>
      <c r="V96" s="37">
        <f t="shared" si="1"/>
        <v>0</v>
      </c>
    </row>
    <row r="97">
      <c r="A97" s="35"/>
      <c r="B97" s="35"/>
      <c r="C97" s="35"/>
      <c r="D97" s="35"/>
      <c r="E97" s="35"/>
      <c r="F97" s="35"/>
      <c r="G97" s="35"/>
      <c r="V97" s="37">
        <f t="shared" si="1"/>
        <v>0</v>
      </c>
    </row>
    <row r="98">
      <c r="A98" s="35"/>
      <c r="B98" s="35"/>
      <c r="C98" s="35"/>
      <c r="D98" s="35"/>
      <c r="E98" s="35"/>
      <c r="F98" s="35"/>
      <c r="G98" s="35"/>
      <c r="V98" s="37">
        <f t="shared" si="1"/>
        <v>0</v>
      </c>
    </row>
    <row r="99">
      <c r="A99" s="35"/>
      <c r="B99" s="35"/>
      <c r="C99" s="35"/>
      <c r="D99" s="35"/>
      <c r="E99" s="35"/>
      <c r="F99" s="35"/>
      <c r="G99" s="35"/>
      <c r="V99" s="37">
        <f t="shared" si="1"/>
        <v>0</v>
      </c>
    </row>
    <row r="100">
      <c r="A100" s="35"/>
      <c r="B100" s="35"/>
      <c r="C100" s="35"/>
      <c r="D100" s="35"/>
      <c r="E100" s="35"/>
      <c r="F100" s="35"/>
      <c r="G100" s="35"/>
      <c r="V100" s="37">
        <f t="shared" si="1"/>
        <v>0</v>
      </c>
    </row>
    <row r="101">
      <c r="A101" s="35"/>
      <c r="B101" s="35"/>
      <c r="C101" s="35"/>
      <c r="D101" s="35"/>
      <c r="E101" s="35"/>
      <c r="F101" s="35"/>
      <c r="G101" s="35"/>
      <c r="V101" s="37">
        <f t="shared" si="1"/>
        <v>0</v>
      </c>
    </row>
    <row r="102">
      <c r="A102" s="35"/>
      <c r="B102" s="35"/>
      <c r="C102" s="35"/>
      <c r="D102" s="35"/>
      <c r="E102" s="35"/>
      <c r="F102" s="35"/>
      <c r="G102" s="35"/>
      <c r="V102" s="37">
        <f t="shared" si="1"/>
        <v>0</v>
      </c>
    </row>
    <row r="103">
      <c r="A103" s="35"/>
      <c r="B103" s="35"/>
      <c r="C103" s="35"/>
      <c r="D103" s="35"/>
      <c r="E103" s="35"/>
      <c r="F103" s="35"/>
      <c r="G103" s="35"/>
      <c r="V103" s="37">
        <f t="shared" si="1"/>
        <v>0</v>
      </c>
    </row>
    <row r="104">
      <c r="A104" s="35"/>
      <c r="B104" s="35"/>
      <c r="C104" s="35"/>
      <c r="D104" s="35"/>
      <c r="E104" s="35"/>
      <c r="F104" s="35"/>
      <c r="G104" s="35"/>
      <c r="V104" s="37">
        <f t="shared" si="1"/>
        <v>0</v>
      </c>
    </row>
    <row r="105">
      <c r="A105" s="35"/>
      <c r="B105" s="35"/>
      <c r="C105" s="35"/>
      <c r="D105" s="35"/>
      <c r="E105" s="35"/>
      <c r="F105" s="35"/>
      <c r="G105" s="35"/>
      <c r="V105" s="37">
        <f t="shared" si="1"/>
        <v>0</v>
      </c>
    </row>
    <row r="106">
      <c r="A106" s="35"/>
      <c r="B106" s="35"/>
      <c r="C106" s="35"/>
      <c r="D106" s="35"/>
      <c r="E106" s="35"/>
      <c r="F106" s="35"/>
      <c r="G106" s="35"/>
      <c r="V106" s="37">
        <f t="shared" si="1"/>
        <v>0</v>
      </c>
    </row>
    <row r="107">
      <c r="A107" s="35"/>
      <c r="B107" s="35"/>
      <c r="C107" s="35"/>
      <c r="D107" s="35"/>
      <c r="E107" s="35"/>
      <c r="F107" s="35"/>
      <c r="G107" s="35"/>
      <c r="V107" s="37">
        <f t="shared" si="1"/>
        <v>0</v>
      </c>
    </row>
    <row r="108">
      <c r="A108" s="35"/>
      <c r="B108" s="35"/>
      <c r="C108" s="35"/>
      <c r="D108" s="35"/>
      <c r="E108" s="35"/>
      <c r="F108" s="35"/>
      <c r="G108" s="35"/>
      <c r="V108" s="37">
        <f t="shared" si="1"/>
        <v>0</v>
      </c>
    </row>
    <row r="109">
      <c r="A109" s="35"/>
      <c r="B109" s="35"/>
      <c r="C109" s="35"/>
      <c r="D109" s="35"/>
      <c r="E109" s="35"/>
      <c r="F109" s="35"/>
      <c r="G109" s="35"/>
      <c r="V109" s="37">
        <f t="shared" si="1"/>
        <v>0</v>
      </c>
    </row>
    <row r="110">
      <c r="A110" s="35"/>
      <c r="B110" s="35"/>
      <c r="C110" s="35"/>
      <c r="D110" s="35"/>
      <c r="E110" s="35"/>
      <c r="F110" s="35"/>
      <c r="G110" s="35"/>
      <c r="V110" s="37">
        <f t="shared" si="1"/>
        <v>0</v>
      </c>
    </row>
    <row r="111">
      <c r="A111" s="35"/>
      <c r="B111" s="35"/>
      <c r="C111" s="35"/>
      <c r="D111" s="35"/>
      <c r="E111" s="35"/>
      <c r="F111" s="35"/>
      <c r="G111" s="35"/>
      <c r="V111" s="37">
        <f t="shared" si="1"/>
        <v>0</v>
      </c>
    </row>
    <row r="112">
      <c r="A112" s="35"/>
      <c r="B112" s="35"/>
      <c r="C112" s="35"/>
      <c r="D112" s="35"/>
      <c r="E112" s="35"/>
      <c r="F112" s="35"/>
      <c r="G112" s="35"/>
      <c r="V112" s="37">
        <f t="shared" si="1"/>
        <v>0</v>
      </c>
    </row>
    <row r="113">
      <c r="A113" s="35"/>
      <c r="B113" s="35"/>
      <c r="C113" s="35"/>
      <c r="D113" s="35"/>
      <c r="E113" s="35"/>
      <c r="F113" s="35"/>
      <c r="G113" s="35"/>
      <c r="V113" s="37">
        <f t="shared" si="1"/>
        <v>0</v>
      </c>
    </row>
    <row r="114">
      <c r="A114" s="35"/>
      <c r="B114" s="35"/>
      <c r="C114" s="35"/>
      <c r="D114" s="35"/>
      <c r="E114" s="35"/>
      <c r="F114" s="35"/>
      <c r="G114" s="35"/>
      <c r="V114" s="37">
        <f t="shared" si="1"/>
        <v>0</v>
      </c>
    </row>
    <row r="115">
      <c r="A115" s="35"/>
      <c r="B115" s="35"/>
      <c r="C115" s="35"/>
      <c r="D115" s="35"/>
      <c r="E115" s="35"/>
      <c r="F115" s="35"/>
      <c r="G115" s="35"/>
      <c r="V115" s="37">
        <f t="shared" si="1"/>
        <v>0</v>
      </c>
    </row>
    <row r="116">
      <c r="A116" s="35"/>
      <c r="B116" s="35"/>
      <c r="C116" s="35"/>
      <c r="D116" s="35"/>
      <c r="E116" s="35"/>
      <c r="F116" s="35"/>
      <c r="G116" s="35"/>
      <c r="V116" s="37">
        <f t="shared" si="1"/>
        <v>0</v>
      </c>
    </row>
    <row r="117">
      <c r="A117" s="35"/>
      <c r="B117" s="35"/>
      <c r="C117" s="35"/>
      <c r="D117" s="35"/>
      <c r="E117" s="35"/>
      <c r="F117" s="35"/>
      <c r="G117" s="35"/>
      <c r="V117" s="37">
        <f t="shared" si="1"/>
        <v>0</v>
      </c>
    </row>
    <row r="118">
      <c r="A118" s="35"/>
      <c r="B118" s="35"/>
      <c r="C118" s="35"/>
      <c r="D118" s="35"/>
      <c r="E118" s="35"/>
      <c r="F118" s="35"/>
      <c r="G118" s="35"/>
      <c r="V118" s="37">
        <f t="shared" si="1"/>
        <v>0</v>
      </c>
    </row>
    <row r="119">
      <c r="A119" s="35"/>
      <c r="B119" s="35"/>
      <c r="C119" s="35"/>
      <c r="D119" s="35"/>
      <c r="E119" s="35"/>
      <c r="F119" s="35"/>
      <c r="G119" s="35"/>
      <c r="V119" s="37">
        <f t="shared" si="1"/>
        <v>0</v>
      </c>
    </row>
    <row r="120">
      <c r="A120" s="35"/>
      <c r="B120" s="35"/>
      <c r="C120" s="35"/>
      <c r="D120" s="35"/>
      <c r="E120" s="35"/>
      <c r="F120" s="35"/>
      <c r="G120" s="35"/>
      <c r="V120" s="37">
        <f t="shared" si="1"/>
        <v>0</v>
      </c>
    </row>
    <row r="121">
      <c r="A121" s="35"/>
      <c r="B121" s="35"/>
      <c r="C121" s="35"/>
      <c r="D121" s="35"/>
      <c r="E121" s="35"/>
      <c r="F121" s="35"/>
      <c r="G121" s="35"/>
      <c r="V121" s="37">
        <f t="shared" si="1"/>
        <v>0</v>
      </c>
    </row>
    <row r="122">
      <c r="A122" s="35"/>
      <c r="B122" s="35"/>
      <c r="C122" s="35"/>
      <c r="D122" s="35"/>
      <c r="E122" s="35"/>
      <c r="F122" s="35"/>
      <c r="G122" s="35"/>
      <c r="V122" s="37">
        <f t="shared" si="1"/>
        <v>0</v>
      </c>
    </row>
    <row r="123">
      <c r="A123" s="35"/>
      <c r="B123" s="35"/>
      <c r="C123" s="35"/>
      <c r="D123" s="35"/>
      <c r="E123" s="35"/>
      <c r="F123" s="35"/>
      <c r="G123" s="35"/>
      <c r="V123" s="37">
        <f t="shared" si="1"/>
        <v>0</v>
      </c>
    </row>
    <row r="124">
      <c r="A124" s="35"/>
      <c r="B124" s="35"/>
      <c r="C124" s="35"/>
      <c r="D124" s="35"/>
      <c r="E124" s="35"/>
      <c r="F124" s="35"/>
      <c r="G124" s="35"/>
      <c r="V124" s="37">
        <f t="shared" si="1"/>
        <v>0</v>
      </c>
    </row>
    <row r="125">
      <c r="A125" s="35"/>
      <c r="B125" s="35"/>
      <c r="C125" s="35"/>
      <c r="D125" s="35"/>
      <c r="E125" s="35"/>
      <c r="F125" s="35"/>
      <c r="G125" s="35"/>
      <c r="V125" s="37">
        <f t="shared" si="1"/>
        <v>0</v>
      </c>
    </row>
    <row r="126">
      <c r="A126" s="35"/>
      <c r="B126" s="35"/>
      <c r="C126" s="35"/>
      <c r="D126" s="35"/>
      <c r="E126" s="35"/>
      <c r="F126" s="35"/>
      <c r="G126" s="35"/>
      <c r="V126" s="37">
        <f t="shared" si="1"/>
        <v>0</v>
      </c>
    </row>
    <row r="127">
      <c r="A127" s="35"/>
      <c r="B127" s="35"/>
      <c r="C127" s="35"/>
      <c r="D127" s="35"/>
      <c r="E127" s="35"/>
      <c r="F127" s="35"/>
      <c r="G127" s="35"/>
      <c r="V127" s="37">
        <f t="shared" si="1"/>
        <v>0</v>
      </c>
    </row>
    <row r="128">
      <c r="A128" s="35"/>
      <c r="B128" s="35"/>
      <c r="C128" s="35"/>
      <c r="D128" s="35"/>
      <c r="E128" s="35"/>
      <c r="F128" s="35"/>
      <c r="G128" s="35"/>
      <c r="V128" s="37">
        <f t="shared" si="1"/>
        <v>0</v>
      </c>
    </row>
    <row r="129">
      <c r="A129" s="35"/>
      <c r="B129" s="35"/>
      <c r="C129" s="35"/>
      <c r="D129" s="35"/>
      <c r="E129" s="35"/>
      <c r="F129" s="35"/>
      <c r="G129" s="35"/>
      <c r="V129" s="37">
        <f t="shared" si="1"/>
        <v>0</v>
      </c>
    </row>
    <row r="130">
      <c r="A130" s="35"/>
      <c r="B130" s="35"/>
      <c r="C130" s="35"/>
      <c r="D130" s="35"/>
      <c r="E130" s="35"/>
      <c r="F130" s="35"/>
      <c r="G130" s="35"/>
      <c r="V130" s="37">
        <f t="shared" si="1"/>
        <v>0</v>
      </c>
    </row>
    <row r="131">
      <c r="A131" s="35"/>
      <c r="B131" s="35"/>
      <c r="C131" s="35"/>
      <c r="D131" s="35"/>
      <c r="E131" s="35"/>
      <c r="F131" s="35"/>
      <c r="G131" s="35"/>
      <c r="V131" s="37">
        <f t="shared" si="1"/>
        <v>0</v>
      </c>
    </row>
    <row r="132">
      <c r="A132" s="35"/>
      <c r="B132" s="35"/>
      <c r="C132" s="35"/>
      <c r="D132" s="35"/>
      <c r="E132" s="35"/>
      <c r="F132" s="35"/>
      <c r="G132" s="35"/>
      <c r="V132" s="37">
        <f t="shared" si="1"/>
        <v>0</v>
      </c>
    </row>
    <row r="133">
      <c r="A133" s="35"/>
      <c r="B133" s="35"/>
      <c r="C133" s="35"/>
      <c r="D133" s="35"/>
      <c r="E133" s="35"/>
      <c r="F133" s="35"/>
      <c r="G133" s="35"/>
      <c r="V133" s="37">
        <f t="shared" si="1"/>
        <v>0</v>
      </c>
    </row>
    <row r="134">
      <c r="A134" s="35"/>
      <c r="B134" s="35"/>
      <c r="C134" s="35"/>
      <c r="D134" s="35"/>
      <c r="E134" s="35"/>
      <c r="F134" s="35"/>
      <c r="G134" s="35"/>
      <c r="V134" s="37">
        <f t="shared" si="1"/>
        <v>0</v>
      </c>
    </row>
    <row r="135">
      <c r="A135" s="35"/>
      <c r="B135" s="35"/>
      <c r="C135" s="35"/>
      <c r="D135" s="35"/>
      <c r="E135" s="35"/>
      <c r="F135" s="35"/>
      <c r="G135" s="35"/>
      <c r="V135" s="37">
        <f t="shared" si="1"/>
        <v>0</v>
      </c>
    </row>
    <row r="136">
      <c r="A136" s="35"/>
      <c r="B136" s="35"/>
      <c r="C136" s="35"/>
      <c r="D136" s="35"/>
      <c r="E136" s="35"/>
      <c r="F136" s="35"/>
      <c r="G136" s="35"/>
      <c r="V136" s="37">
        <f t="shared" si="1"/>
        <v>0</v>
      </c>
    </row>
    <row r="137">
      <c r="A137" s="35"/>
      <c r="B137" s="35"/>
      <c r="C137" s="35"/>
      <c r="D137" s="35"/>
      <c r="E137" s="35"/>
      <c r="F137" s="35"/>
      <c r="G137" s="35"/>
      <c r="V137" s="37">
        <f t="shared" si="1"/>
        <v>0</v>
      </c>
    </row>
    <row r="138">
      <c r="A138" s="35"/>
      <c r="B138" s="35"/>
      <c r="C138" s="35"/>
      <c r="D138" s="35"/>
      <c r="E138" s="35"/>
      <c r="F138" s="35"/>
      <c r="G138" s="35"/>
      <c r="V138" s="37">
        <f t="shared" si="1"/>
        <v>0</v>
      </c>
    </row>
    <row r="139">
      <c r="A139" s="35"/>
      <c r="B139" s="35"/>
      <c r="C139" s="35"/>
      <c r="D139" s="35"/>
      <c r="E139" s="35"/>
      <c r="F139" s="35"/>
      <c r="G139" s="35"/>
      <c r="V139" s="37">
        <f t="shared" si="1"/>
        <v>0</v>
      </c>
    </row>
    <row r="140">
      <c r="A140" s="35"/>
      <c r="B140" s="35"/>
      <c r="C140" s="35"/>
      <c r="D140" s="35"/>
      <c r="E140" s="35"/>
      <c r="F140" s="35"/>
      <c r="G140" s="35"/>
      <c r="V140" s="37">
        <f t="shared" si="1"/>
        <v>0</v>
      </c>
    </row>
    <row r="141">
      <c r="A141" s="35"/>
      <c r="B141" s="35"/>
      <c r="C141" s="35"/>
      <c r="D141" s="35"/>
      <c r="E141" s="35"/>
      <c r="F141" s="35"/>
      <c r="G141" s="35"/>
      <c r="V141" s="37">
        <f t="shared" si="1"/>
        <v>0</v>
      </c>
    </row>
    <row r="142">
      <c r="A142" s="35"/>
      <c r="B142" s="35"/>
      <c r="C142" s="35"/>
      <c r="D142" s="35"/>
      <c r="E142" s="35"/>
      <c r="F142" s="35"/>
      <c r="G142" s="35"/>
      <c r="V142" s="37">
        <f t="shared" si="1"/>
        <v>0</v>
      </c>
    </row>
    <row r="143">
      <c r="A143" s="35"/>
      <c r="B143" s="35"/>
      <c r="C143" s="35"/>
      <c r="D143" s="35"/>
      <c r="E143" s="35"/>
      <c r="F143" s="35"/>
      <c r="G143" s="35"/>
      <c r="V143" s="37">
        <f t="shared" si="1"/>
        <v>0</v>
      </c>
    </row>
    <row r="144">
      <c r="A144" s="35"/>
      <c r="B144" s="35"/>
      <c r="C144" s="35"/>
      <c r="D144" s="35"/>
      <c r="E144" s="35"/>
      <c r="F144" s="35"/>
      <c r="G144" s="35"/>
      <c r="V144" s="37">
        <f t="shared" si="1"/>
        <v>0</v>
      </c>
    </row>
    <row r="145">
      <c r="A145" s="35"/>
      <c r="B145" s="35"/>
      <c r="C145" s="35"/>
      <c r="D145" s="35"/>
      <c r="E145" s="35"/>
      <c r="F145" s="35"/>
      <c r="G145" s="35"/>
      <c r="V145" s="37">
        <f t="shared" si="1"/>
        <v>0</v>
      </c>
    </row>
    <row r="146">
      <c r="A146" s="35"/>
      <c r="B146" s="35"/>
      <c r="C146" s="35"/>
      <c r="D146" s="35"/>
      <c r="E146" s="35"/>
      <c r="F146" s="35"/>
      <c r="G146" s="35"/>
      <c r="V146" s="37">
        <f t="shared" si="1"/>
        <v>0</v>
      </c>
    </row>
    <row r="147">
      <c r="A147" s="35"/>
      <c r="B147" s="35"/>
      <c r="C147" s="35"/>
      <c r="D147" s="35"/>
      <c r="E147" s="35"/>
      <c r="F147" s="35"/>
      <c r="G147" s="35"/>
      <c r="V147" s="37">
        <f t="shared" si="1"/>
        <v>0</v>
      </c>
    </row>
    <row r="148">
      <c r="A148" s="35"/>
      <c r="B148" s="35"/>
      <c r="C148" s="35"/>
      <c r="D148" s="35"/>
      <c r="E148" s="35"/>
      <c r="F148" s="35"/>
      <c r="G148" s="35"/>
      <c r="V148" s="37">
        <f t="shared" si="1"/>
        <v>0</v>
      </c>
    </row>
    <row r="149">
      <c r="A149" s="35"/>
      <c r="B149" s="35"/>
      <c r="C149" s="35"/>
      <c r="D149" s="35"/>
      <c r="E149" s="35"/>
      <c r="F149" s="35"/>
      <c r="G149" s="35"/>
      <c r="V149" s="37">
        <f t="shared" si="1"/>
        <v>0</v>
      </c>
    </row>
    <row r="150">
      <c r="A150" s="35"/>
      <c r="B150" s="35"/>
      <c r="C150" s="35"/>
      <c r="D150" s="35"/>
      <c r="E150" s="35"/>
      <c r="F150" s="35"/>
      <c r="G150" s="35"/>
      <c r="V150" s="37">
        <f t="shared" si="1"/>
        <v>0</v>
      </c>
    </row>
    <row r="151">
      <c r="A151" s="35"/>
      <c r="B151" s="35"/>
      <c r="C151" s="35"/>
      <c r="D151" s="35"/>
      <c r="E151" s="35"/>
      <c r="F151" s="35"/>
      <c r="G151" s="35"/>
      <c r="V151" s="37">
        <f t="shared" si="1"/>
        <v>0</v>
      </c>
    </row>
    <row r="152">
      <c r="A152" s="35"/>
      <c r="B152" s="35"/>
      <c r="C152" s="35"/>
      <c r="D152" s="35"/>
      <c r="E152" s="35"/>
      <c r="F152" s="35"/>
      <c r="G152" s="35"/>
      <c r="V152" s="37">
        <f t="shared" si="1"/>
        <v>0</v>
      </c>
    </row>
    <row r="153">
      <c r="A153" s="35"/>
      <c r="B153" s="35"/>
      <c r="C153" s="35"/>
      <c r="D153" s="35"/>
      <c r="E153" s="35"/>
      <c r="F153" s="35"/>
      <c r="G153" s="35"/>
      <c r="V153" s="37">
        <f t="shared" si="1"/>
        <v>0</v>
      </c>
    </row>
    <row r="154">
      <c r="A154" s="35"/>
      <c r="B154" s="35"/>
      <c r="C154" s="35"/>
      <c r="D154" s="35"/>
      <c r="E154" s="35"/>
      <c r="F154" s="35"/>
      <c r="G154" s="35"/>
      <c r="V154" s="37">
        <f t="shared" si="1"/>
        <v>0</v>
      </c>
    </row>
    <row r="155">
      <c r="A155" s="35"/>
      <c r="B155" s="35"/>
      <c r="C155" s="35"/>
      <c r="D155" s="35"/>
      <c r="E155" s="35"/>
      <c r="F155" s="35"/>
      <c r="G155" s="35"/>
      <c r="V155" s="37">
        <f t="shared" si="1"/>
        <v>0</v>
      </c>
    </row>
    <row r="156">
      <c r="A156" s="35"/>
      <c r="B156" s="35"/>
      <c r="C156" s="35"/>
      <c r="D156" s="35"/>
      <c r="E156" s="35"/>
      <c r="F156" s="35"/>
      <c r="G156" s="35"/>
      <c r="V156" s="37">
        <f t="shared" si="1"/>
        <v>0</v>
      </c>
    </row>
    <row r="157">
      <c r="A157" s="35"/>
      <c r="B157" s="35"/>
      <c r="C157" s="35"/>
      <c r="D157" s="35"/>
      <c r="E157" s="35"/>
      <c r="F157" s="35"/>
      <c r="G157" s="35"/>
      <c r="V157" s="37">
        <f t="shared" si="1"/>
        <v>0</v>
      </c>
    </row>
    <row r="158">
      <c r="A158" s="35"/>
      <c r="B158" s="35"/>
      <c r="C158" s="35"/>
      <c r="D158" s="35"/>
      <c r="E158" s="35"/>
      <c r="F158" s="35"/>
      <c r="G158" s="35"/>
      <c r="V158" s="37">
        <f t="shared" si="1"/>
        <v>0</v>
      </c>
    </row>
    <row r="159">
      <c r="A159" s="35"/>
      <c r="B159" s="35"/>
      <c r="C159" s="35"/>
      <c r="D159" s="35"/>
      <c r="E159" s="35"/>
      <c r="F159" s="35"/>
      <c r="G159" s="35"/>
      <c r="V159" s="37">
        <f t="shared" si="1"/>
        <v>0</v>
      </c>
    </row>
    <row r="160">
      <c r="A160" s="35"/>
      <c r="B160" s="35"/>
      <c r="C160" s="35"/>
      <c r="D160" s="35"/>
      <c r="E160" s="35"/>
      <c r="F160" s="35"/>
      <c r="G160" s="35"/>
      <c r="V160" s="37">
        <f t="shared" si="1"/>
        <v>0</v>
      </c>
    </row>
    <row r="161">
      <c r="A161" s="35"/>
      <c r="B161" s="35"/>
      <c r="C161" s="35"/>
      <c r="D161" s="35"/>
      <c r="E161" s="35"/>
      <c r="F161" s="35"/>
      <c r="G161" s="35"/>
      <c r="V161" s="37">
        <f t="shared" si="1"/>
        <v>0</v>
      </c>
    </row>
    <row r="162">
      <c r="A162" s="35"/>
      <c r="B162" s="35"/>
      <c r="C162" s="35"/>
      <c r="D162" s="35"/>
      <c r="E162" s="35"/>
      <c r="F162" s="35"/>
      <c r="G162" s="35"/>
      <c r="V162" s="37">
        <f t="shared" si="1"/>
        <v>0</v>
      </c>
    </row>
    <row r="163">
      <c r="A163" s="35"/>
      <c r="B163" s="35"/>
      <c r="C163" s="35"/>
      <c r="D163" s="35"/>
      <c r="E163" s="35"/>
      <c r="F163" s="35"/>
      <c r="G163" s="35"/>
      <c r="V163" s="37">
        <f t="shared" si="1"/>
        <v>0</v>
      </c>
    </row>
    <row r="164">
      <c r="A164" s="35"/>
      <c r="B164" s="35"/>
      <c r="C164" s="35"/>
      <c r="D164" s="35"/>
      <c r="E164" s="35"/>
      <c r="F164" s="35"/>
      <c r="G164" s="35"/>
      <c r="V164" s="37">
        <f t="shared" si="1"/>
        <v>0</v>
      </c>
    </row>
    <row r="165">
      <c r="A165" s="35"/>
      <c r="B165" s="35"/>
      <c r="C165" s="35"/>
      <c r="D165" s="35"/>
      <c r="E165" s="35"/>
      <c r="F165" s="35"/>
      <c r="G165" s="35"/>
      <c r="V165" s="37">
        <f t="shared" si="1"/>
        <v>0</v>
      </c>
    </row>
    <row r="166">
      <c r="A166" s="35"/>
      <c r="B166" s="35"/>
      <c r="C166" s="35"/>
      <c r="D166" s="35"/>
      <c r="E166" s="35"/>
      <c r="F166" s="35"/>
      <c r="G166" s="35"/>
      <c r="V166" s="37">
        <f t="shared" si="1"/>
        <v>0</v>
      </c>
    </row>
    <row r="167">
      <c r="A167" s="35"/>
      <c r="B167" s="35"/>
      <c r="C167" s="35"/>
      <c r="D167" s="35"/>
      <c r="E167" s="35"/>
      <c r="F167" s="35"/>
      <c r="G167" s="35"/>
      <c r="V167" s="37">
        <f t="shared" si="1"/>
        <v>0</v>
      </c>
    </row>
    <row r="168">
      <c r="A168" s="35"/>
      <c r="B168" s="35"/>
      <c r="C168" s="35"/>
      <c r="D168" s="35"/>
      <c r="E168" s="35"/>
      <c r="F168" s="35"/>
      <c r="G168" s="35"/>
      <c r="V168" s="37">
        <f t="shared" si="1"/>
        <v>0</v>
      </c>
    </row>
    <row r="169">
      <c r="A169" s="35"/>
      <c r="B169" s="35"/>
      <c r="C169" s="35"/>
      <c r="D169" s="35"/>
      <c r="E169" s="35"/>
      <c r="F169" s="35"/>
      <c r="G169" s="35"/>
      <c r="V169" s="37">
        <f t="shared" si="1"/>
        <v>0</v>
      </c>
    </row>
    <row r="170">
      <c r="A170" s="35"/>
      <c r="B170" s="35"/>
      <c r="C170" s="35"/>
      <c r="D170" s="35"/>
      <c r="E170" s="35"/>
      <c r="F170" s="35"/>
      <c r="G170" s="35"/>
      <c r="V170" s="37">
        <f t="shared" si="1"/>
        <v>0</v>
      </c>
    </row>
    <row r="171">
      <c r="A171" s="35"/>
      <c r="B171" s="35"/>
      <c r="C171" s="35"/>
      <c r="D171" s="35"/>
      <c r="E171" s="35"/>
      <c r="F171" s="35"/>
      <c r="G171" s="35"/>
      <c r="V171" s="37">
        <f t="shared" si="1"/>
        <v>0</v>
      </c>
    </row>
    <row r="172">
      <c r="A172" s="35"/>
      <c r="B172" s="35"/>
      <c r="C172" s="35"/>
      <c r="D172" s="35"/>
      <c r="E172" s="35"/>
      <c r="F172" s="35"/>
      <c r="G172" s="35"/>
      <c r="V172" s="37">
        <f t="shared" si="1"/>
        <v>0</v>
      </c>
    </row>
    <row r="173">
      <c r="A173" s="35"/>
      <c r="B173" s="35"/>
      <c r="C173" s="35"/>
      <c r="D173" s="35"/>
      <c r="E173" s="35"/>
      <c r="F173" s="35"/>
      <c r="G173" s="35"/>
      <c r="V173" s="37">
        <f t="shared" si="1"/>
        <v>0</v>
      </c>
    </row>
    <row r="174">
      <c r="A174" s="35"/>
      <c r="B174" s="35"/>
      <c r="C174" s="35"/>
      <c r="D174" s="35"/>
      <c r="E174" s="35"/>
      <c r="F174" s="35"/>
      <c r="G174" s="35"/>
      <c r="V174" s="37">
        <f t="shared" si="1"/>
        <v>0</v>
      </c>
    </row>
    <row r="175">
      <c r="A175" s="35"/>
      <c r="B175" s="35"/>
      <c r="C175" s="35"/>
      <c r="D175" s="35"/>
      <c r="E175" s="35"/>
      <c r="F175" s="35"/>
      <c r="G175" s="35"/>
      <c r="V175" s="37">
        <f t="shared" si="1"/>
        <v>0</v>
      </c>
    </row>
    <row r="176">
      <c r="A176" s="35"/>
      <c r="B176" s="35"/>
      <c r="C176" s="35"/>
      <c r="D176" s="35"/>
      <c r="E176" s="35"/>
      <c r="F176" s="35"/>
      <c r="G176" s="35"/>
      <c r="V176" s="37">
        <f t="shared" si="1"/>
        <v>0</v>
      </c>
    </row>
    <row r="177">
      <c r="A177" s="35"/>
      <c r="B177" s="35"/>
      <c r="C177" s="35"/>
      <c r="D177" s="35"/>
      <c r="E177" s="35"/>
      <c r="F177" s="35"/>
      <c r="G177" s="35"/>
      <c r="V177" s="37">
        <f t="shared" si="1"/>
        <v>0</v>
      </c>
    </row>
    <row r="178">
      <c r="A178" s="35"/>
      <c r="B178" s="35"/>
      <c r="C178" s="35"/>
      <c r="D178" s="35"/>
      <c r="E178" s="35"/>
      <c r="F178" s="35"/>
      <c r="G178" s="35"/>
      <c r="V178" s="37">
        <f t="shared" si="1"/>
        <v>0</v>
      </c>
    </row>
    <row r="179">
      <c r="A179" s="35"/>
      <c r="B179" s="35"/>
      <c r="C179" s="35"/>
      <c r="D179" s="35"/>
      <c r="E179" s="35"/>
      <c r="F179" s="35"/>
      <c r="G179" s="35"/>
      <c r="V179" s="37">
        <f t="shared" si="1"/>
        <v>0</v>
      </c>
    </row>
    <row r="180">
      <c r="A180" s="35"/>
      <c r="B180" s="35"/>
      <c r="C180" s="35"/>
      <c r="D180" s="35"/>
      <c r="E180" s="35"/>
      <c r="F180" s="35"/>
      <c r="G180" s="35"/>
      <c r="V180" s="37">
        <f t="shared" si="1"/>
        <v>0</v>
      </c>
    </row>
    <row r="181">
      <c r="A181" s="35"/>
      <c r="B181" s="35"/>
      <c r="C181" s="35"/>
      <c r="D181" s="35"/>
      <c r="E181" s="35"/>
      <c r="F181" s="35"/>
      <c r="G181" s="35"/>
      <c r="V181" s="37">
        <f t="shared" si="1"/>
        <v>0</v>
      </c>
    </row>
    <row r="182">
      <c r="A182" s="35"/>
      <c r="B182" s="35"/>
      <c r="C182" s="35"/>
      <c r="D182" s="35"/>
      <c r="E182" s="35"/>
      <c r="F182" s="35"/>
      <c r="G182" s="35"/>
      <c r="V182" s="37">
        <f t="shared" si="1"/>
        <v>0</v>
      </c>
    </row>
    <row r="183">
      <c r="A183" s="35"/>
      <c r="B183" s="35"/>
      <c r="C183" s="35"/>
      <c r="D183" s="35"/>
      <c r="E183" s="35"/>
      <c r="F183" s="35"/>
      <c r="G183" s="35"/>
      <c r="V183" s="37">
        <f t="shared" si="1"/>
        <v>0</v>
      </c>
    </row>
    <row r="184">
      <c r="A184" s="35"/>
      <c r="B184" s="35"/>
      <c r="C184" s="35"/>
      <c r="D184" s="35"/>
      <c r="E184" s="35"/>
      <c r="F184" s="35"/>
      <c r="G184" s="35"/>
      <c r="V184" s="37">
        <f t="shared" si="1"/>
        <v>0</v>
      </c>
    </row>
    <row r="185">
      <c r="A185" s="35"/>
      <c r="B185" s="35"/>
      <c r="C185" s="35"/>
      <c r="D185" s="35"/>
      <c r="E185" s="35"/>
      <c r="F185" s="35"/>
      <c r="G185" s="35"/>
      <c r="V185" s="37">
        <f t="shared" si="1"/>
        <v>0</v>
      </c>
    </row>
    <row r="186">
      <c r="A186" s="35"/>
      <c r="B186" s="35"/>
      <c r="C186" s="35"/>
      <c r="D186" s="35"/>
      <c r="E186" s="35"/>
      <c r="F186" s="35"/>
      <c r="G186" s="35"/>
      <c r="V186" s="37">
        <f t="shared" si="1"/>
        <v>0</v>
      </c>
    </row>
    <row r="187">
      <c r="A187" s="35"/>
      <c r="B187" s="35"/>
      <c r="C187" s="35"/>
      <c r="D187" s="35"/>
      <c r="E187" s="35"/>
      <c r="F187" s="35"/>
      <c r="G187" s="35"/>
      <c r="V187" s="37">
        <f t="shared" si="1"/>
        <v>0</v>
      </c>
    </row>
    <row r="188">
      <c r="A188" s="35"/>
      <c r="B188" s="35"/>
      <c r="C188" s="35"/>
      <c r="D188" s="35"/>
      <c r="E188" s="35"/>
      <c r="F188" s="35"/>
      <c r="G188" s="35"/>
      <c r="V188" s="37">
        <f t="shared" si="1"/>
        <v>0</v>
      </c>
    </row>
    <row r="189">
      <c r="A189" s="35"/>
      <c r="B189" s="35"/>
      <c r="C189" s="35"/>
      <c r="D189" s="35"/>
      <c r="E189" s="35"/>
      <c r="F189" s="35"/>
      <c r="G189" s="35"/>
      <c r="V189" s="37">
        <f t="shared" si="1"/>
        <v>0</v>
      </c>
    </row>
    <row r="190">
      <c r="A190" s="35"/>
      <c r="B190" s="35"/>
      <c r="C190" s="35"/>
      <c r="D190" s="35"/>
      <c r="E190" s="35"/>
      <c r="F190" s="35"/>
      <c r="G190" s="35"/>
      <c r="V190" s="37">
        <f t="shared" si="1"/>
        <v>0</v>
      </c>
    </row>
    <row r="191">
      <c r="A191" s="35"/>
      <c r="B191" s="35"/>
      <c r="C191" s="35"/>
      <c r="D191" s="35"/>
      <c r="E191" s="35"/>
      <c r="F191" s="35"/>
      <c r="G191" s="35"/>
      <c r="V191" s="37">
        <f t="shared" si="1"/>
        <v>0</v>
      </c>
    </row>
    <row r="192">
      <c r="A192" s="35"/>
      <c r="B192" s="35"/>
      <c r="C192" s="35"/>
      <c r="D192" s="35"/>
      <c r="E192" s="35"/>
      <c r="F192" s="35"/>
      <c r="G192" s="35"/>
      <c r="V192" s="37">
        <f t="shared" si="1"/>
        <v>0</v>
      </c>
    </row>
    <row r="193">
      <c r="A193" s="35"/>
      <c r="B193" s="35"/>
      <c r="C193" s="35"/>
      <c r="D193" s="35"/>
      <c r="E193" s="35"/>
      <c r="F193" s="35"/>
      <c r="G193" s="35"/>
      <c r="V193" s="37">
        <f t="shared" si="1"/>
        <v>0</v>
      </c>
    </row>
    <row r="194">
      <c r="A194" s="35"/>
      <c r="B194" s="35"/>
      <c r="C194" s="35"/>
      <c r="D194" s="35"/>
      <c r="E194" s="35"/>
      <c r="F194" s="35"/>
      <c r="G194" s="35"/>
      <c r="V194" s="37">
        <f t="shared" si="1"/>
        <v>0</v>
      </c>
    </row>
    <row r="195">
      <c r="A195" s="35"/>
      <c r="B195" s="35"/>
      <c r="C195" s="35"/>
      <c r="D195" s="35"/>
      <c r="E195" s="35"/>
      <c r="F195" s="35"/>
      <c r="G195" s="35"/>
      <c r="V195" s="37">
        <f t="shared" si="1"/>
        <v>0</v>
      </c>
    </row>
    <row r="196">
      <c r="A196" s="35"/>
      <c r="B196" s="35"/>
      <c r="C196" s="35"/>
      <c r="D196" s="35"/>
      <c r="E196" s="35"/>
      <c r="F196" s="35"/>
      <c r="G196" s="35"/>
      <c r="V196" s="37">
        <f t="shared" si="1"/>
        <v>0</v>
      </c>
    </row>
    <row r="197">
      <c r="A197" s="35"/>
      <c r="B197" s="35"/>
      <c r="C197" s="35"/>
      <c r="D197" s="35"/>
      <c r="E197" s="35"/>
      <c r="F197" s="35"/>
      <c r="G197" s="35"/>
      <c r="V197" s="37">
        <f t="shared" si="1"/>
        <v>0</v>
      </c>
    </row>
    <row r="198">
      <c r="A198" s="35"/>
      <c r="B198" s="35"/>
      <c r="C198" s="35"/>
      <c r="D198" s="35"/>
      <c r="E198" s="35"/>
      <c r="F198" s="35"/>
      <c r="G198" s="35"/>
      <c r="V198" s="37">
        <f t="shared" si="1"/>
        <v>0</v>
      </c>
    </row>
    <row r="199">
      <c r="A199" s="35"/>
      <c r="B199" s="35"/>
      <c r="C199" s="35"/>
      <c r="D199" s="35"/>
      <c r="E199" s="35"/>
      <c r="F199" s="35"/>
      <c r="G199" s="35"/>
      <c r="V199" s="37">
        <f t="shared" si="1"/>
        <v>0</v>
      </c>
    </row>
    <row r="200">
      <c r="A200" s="35"/>
      <c r="B200" s="35"/>
      <c r="C200" s="35"/>
      <c r="D200" s="35"/>
      <c r="E200" s="35"/>
      <c r="F200" s="35"/>
      <c r="G200" s="35"/>
      <c r="V200" s="37">
        <f t="shared" si="1"/>
        <v>0</v>
      </c>
    </row>
    <row r="201">
      <c r="A201" s="35"/>
      <c r="B201" s="35"/>
      <c r="C201" s="35"/>
      <c r="D201" s="35"/>
      <c r="E201" s="35"/>
      <c r="F201" s="35"/>
      <c r="G201" s="35"/>
      <c r="V201" s="37">
        <f t="shared" si="1"/>
        <v>0</v>
      </c>
    </row>
    <row r="202">
      <c r="A202" s="35"/>
      <c r="B202" s="35"/>
      <c r="C202" s="35"/>
      <c r="D202" s="35"/>
      <c r="E202" s="35"/>
      <c r="F202" s="35"/>
      <c r="G202" s="35"/>
      <c r="V202" s="37">
        <f t="shared" si="1"/>
        <v>0</v>
      </c>
    </row>
    <row r="203">
      <c r="A203" s="35"/>
      <c r="B203" s="35"/>
      <c r="C203" s="35"/>
      <c r="D203" s="35"/>
      <c r="E203" s="35"/>
      <c r="F203" s="35"/>
      <c r="G203" s="35"/>
      <c r="V203" s="37">
        <f t="shared" si="1"/>
        <v>0</v>
      </c>
    </row>
    <row r="204">
      <c r="A204" s="35"/>
      <c r="B204" s="35"/>
      <c r="C204" s="35"/>
      <c r="D204" s="35"/>
      <c r="E204" s="35"/>
      <c r="F204" s="35"/>
      <c r="G204" s="35"/>
      <c r="V204" s="37">
        <f t="shared" si="1"/>
        <v>0</v>
      </c>
    </row>
    <row r="205">
      <c r="A205" s="35"/>
      <c r="B205" s="35"/>
      <c r="C205" s="35"/>
      <c r="D205" s="35"/>
      <c r="E205" s="35"/>
      <c r="F205" s="35"/>
      <c r="G205" s="35"/>
      <c r="V205" s="37">
        <f t="shared" si="1"/>
        <v>0</v>
      </c>
    </row>
    <row r="206">
      <c r="A206" s="35"/>
      <c r="B206" s="35"/>
      <c r="C206" s="35"/>
      <c r="D206" s="35"/>
      <c r="E206" s="35"/>
      <c r="F206" s="35"/>
      <c r="G206" s="35"/>
      <c r="V206" s="37">
        <f t="shared" si="1"/>
        <v>0</v>
      </c>
    </row>
    <row r="207">
      <c r="A207" s="35"/>
      <c r="B207" s="35"/>
      <c r="C207" s="35"/>
      <c r="D207" s="35"/>
      <c r="E207" s="35"/>
      <c r="F207" s="35"/>
      <c r="G207" s="35"/>
      <c r="V207" s="37">
        <f t="shared" si="1"/>
        <v>0</v>
      </c>
    </row>
    <row r="208">
      <c r="A208" s="35"/>
      <c r="B208" s="35"/>
      <c r="C208" s="35"/>
      <c r="D208" s="35"/>
      <c r="E208" s="35"/>
      <c r="F208" s="35"/>
      <c r="G208" s="35"/>
      <c r="V208" s="37">
        <f t="shared" si="1"/>
        <v>0</v>
      </c>
    </row>
    <row r="209">
      <c r="A209" s="35"/>
      <c r="B209" s="35"/>
      <c r="C209" s="35"/>
      <c r="D209" s="35"/>
      <c r="E209" s="35"/>
      <c r="F209" s="35"/>
      <c r="G209" s="35"/>
      <c r="V209" s="37">
        <f t="shared" si="1"/>
        <v>0</v>
      </c>
    </row>
    <row r="210">
      <c r="A210" s="35"/>
      <c r="B210" s="35"/>
      <c r="C210" s="35"/>
      <c r="D210" s="35"/>
      <c r="E210" s="35"/>
      <c r="F210" s="35"/>
      <c r="G210" s="35"/>
      <c r="V210" s="37">
        <f t="shared" si="1"/>
        <v>0</v>
      </c>
    </row>
    <row r="211">
      <c r="A211" s="35"/>
      <c r="B211" s="35"/>
      <c r="C211" s="35"/>
      <c r="D211" s="35"/>
      <c r="E211" s="35"/>
      <c r="F211" s="35"/>
      <c r="G211" s="35"/>
      <c r="V211" s="37">
        <f t="shared" si="1"/>
        <v>0</v>
      </c>
    </row>
    <row r="212">
      <c r="A212" s="35"/>
      <c r="B212" s="35"/>
      <c r="C212" s="35"/>
      <c r="D212" s="35"/>
      <c r="E212" s="35"/>
      <c r="F212" s="35"/>
      <c r="G212" s="35"/>
      <c r="V212" s="37">
        <f t="shared" si="1"/>
        <v>0</v>
      </c>
    </row>
    <row r="213">
      <c r="A213" s="35"/>
      <c r="B213" s="35"/>
      <c r="C213" s="35"/>
      <c r="D213" s="35"/>
      <c r="E213" s="35"/>
      <c r="F213" s="35"/>
      <c r="G213" s="35"/>
      <c r="V213" s="37">
        <f t="shared" si="1"/>
        <v>0</v>
      </c>
    </row>
    <row r="214">
      <c r="A214" s="35"/>
      <c r="B214" s="35"/>
      <c r="C214" s="35"/>
      <c r="D214" s="35"/>
      <c r="E214" s="35"/>
      <c r="F214" s="35"/>
      <c r="G214" s="35"/>
      <c r="V214" s="37">
        <f t="shared" si="1"/>
        <v>0</v>
      </c>
    </row>
    <row r="215">
      <c r="A215" s="35"/>
      <c r="B215" s="35"/>
      <c r="C215" s="35"/>
      <c r="D215" s="35"/>
      <c r="E215" s="35"/>
      <c r="F215" s="35"/>
      <c r="G215" s="35"/>
      <c r="V215" s="37">
        <f t="shared" si="1"/>
        <v>0</v>
      </c>
    </row>
    <row r="216">
      <c r="A216" s="35"/>
      <c r="B216" s="35"/>
      <c r="C216" s="35"/>
      <c r="D216" s="35"/>
      <c r="E216" s="35"/>
      <c r="F216" s="35"/>
      <c r="G216" s="35"/>
      <c r="V216" s="37">
        <f t="shared" si="1"/>
        <v>0</v>
      </c>
    </row>
    <row r="217">
      <c r="A217" s="35"/>
      <c r="B217" s="35"/>
      <c r="C217" s="35"/>
      <c r="D217" s="35"/>
      <c r="E217" s="35"/>
      <c r="F217" s="35"/>
      <c r="G217" s="35"/>
      <c r="V217" s="37">
        <f t="shared" si="1"/>
        <v>0</v>
      </c>
    </row>
    <row r="218">
      <c r="A218" s="35"/>
      <c r="B218" s="35"/>
      <c r="C218" s="35"/>
      <c r="D218" s="35"/>
      <c r="E218" s="35"/>
      <c r="F218" s="35"/>
      <c r="G218" s="35"/>
      <c r="V218" s="37">
        <f t="shared" si="1"/>
        <v>0</v>
      </c>
    </row>
    <row r="219">
      <c r="A219" s="35"/>
      <c r="B219" s="35"/>
      <c r="C219" s="35"/>
      <c r="D219" s="35"/>
      <c r="E219" s="35"/>
      <c r="F219" s="35"/>
      <c r="G219" s="35"/>
      <c r="V219" s="37">
        <f t="shared" si="1"/>
        <v>0</v>
      </c>
    </row>
    <row r="220">
      <c r="A220" s="35"/>
      <c r="B220" s="35"/>
      <c r="C220" s="35"/>
      <c r="D220" s="35"/>
      <c r="E220" s="35"/>
      <c r="F220" s="35"/>
      <c r="G220" s="35"/>
      <c r="V220" s="37">
        <f t="shared" si="1"/>
        <v>0</v>
      </c>
    </row>
    <row r="221">
      <c r="A221" s="35"/>
      <c r="B221" s="35"/>
      <c r="C221" s="35"/>
      <c r="D221" s="35"/>
      <c r="E221" s="35"/>
      <c r="F221" s="35"/>
      <c r="G221" s="35"/>
      <c r="V221" s="37">
        <f t="shared" si="1"/>
        <v>0</v>
      </c>
    </row>
    <row r="222">
      <c r="A222" s="35"/>
      <c r="B222" s="35"/>
      <c r="C222" s="35"/>
      <c r="D222" s="35"/>
      <c r="E222" s="35"/>
      <c r="F222" s="35"/>
      <c r="G222" s="35"/>
      <c r="V222" s="37">
        <f t="shared" si="1"/>
        <v>0</v>
      </c>
    </row>
    <row r="223">
      <c r="A223" s="35"/>
      <c r="B223" s="35"/>
      <c r="C223" s="35"/>
      <c r="D223" s="35"/>
      <c r="E223" s="35"/>
      <c r="F223" s="35"/>
      <c r="G223" s="35"/>
      <c r="V223" s="37">
        <f t="shared" si="1"/>
        <v>0</v>
      </c>
    </row>
    <row r="224">
      <c r="A224" s="35"/>
      <c r="B224" s="35"/>
      <c r="C224" s="35"/>
      <c r="D224" s="35"/>
      <c r="E224" s="35"/>
      <c r="F224" s="35"/>
      <c r="G224" s="35"/>
      <c r="V224" s="37">
        <f t="shared" si="1"/>
        <v>0</v>
      </c>
    </row>
    <row r="225">
      <c r="A225" s="35"/>
      <c r="B225" s="35"/>
      <c r="C225" s="35"/>
      <c r="D225" s="35"/>
      <c r="E225" s="35"/>
      <c r="F225" s="35"/>
      <c r="G225" s="35"/>
      <c r="V225" s="37">
        <f t="shared" si="1"/>
        <v>0</v>
      </c>
    </row>
    <row r="226">
      <c r="A226" s="35"/>
      <c r="B226" s="35"/>
      <c r="C226" s="35"/>
      <c r="D226" s="35"/>
      <c r="E226" s="35"/>
      <c r="F226" s="35"/>
      <c r="G226" s="35"/>
      <c r="V226" s="37">
        <f t="shared" si="1"/>
        <v>0</v>
      </c>
    </row>
    <row r="227">
      <c r="A227" s="35"/>
      <c r="B227" s="35"/>
      <c r="C227" s="35"/>
      <c r="D227" s="35"/>
      <c r="E227" s="35"/>
      <c r="F227" s="35"/>
      <c r="G227" s="35"/>
      <c r="V227" s="37">
        <f t="shared" si="1"/>
        <v>0</v>
      </c>
    </row>
    <row r="228">
      <c r="A228" s="35"/>
      <c r="B228" s="35"/>
      <c r="C228" s="35"/>
      <c r="D228" s="35"/>
      <c r="E228" s="35"/>
      <c r="F228" s="35"/>
      <c r="G228" s="35"/>
      <c r="V228" s="37">
        <f t="shared" si="1"/>
        <v>0</v>
      </c>
    </row>
    <row r="229">
      <c r="A229" s="35"/>
      <c r="B229" s="35"/>
      <c r="C229" s="35"/>
      <c r="D229" s="35"/>
      <c r="E229" s="35"/>
      <c r="F229" s="35"/>
      <c r="G229" s="35"/>
      <c r="V229" s="37">
        <f t="shared" si="1"/>
        <v>0</v>
      </c>
    </row>
    <row r="230">
      <c r="A230" s="35"/>
      <c r="B230" s="35"/>
      <c r="C230" s="35"/>
      <c r="D230" s="35"/>
      <c r="E230" s="35"/>
      <c r="F230" s="35"/>
      <c r="G230" s="35"/>
      <c r="V230" s="37">
        <f t="shared" si="1"/>
        <v>0</v>
      </c>
    </row>
    <row r="231">
      <c r="A231" s="35"/>
      <c r="B231" s="35"/>
      <c r="C231" s="35"/>
      <c r="D231" s="35"/>
      <c r="E231" s="35"/>
      <c r="F231" s="35"/>
      <c r="G231" s="35"/>
      <c r="V231" s="37">
        <f t="shared" si="1"/>
        <v>0</v>
      </c>
    </row>
    <row r="232">
      <c r="A232" s="35"/>
      <c r="B232" s="35"/>
      <c r="C232" s="35"/>
      <c r="D232" s="35"/>
      <c r="E232" s="35"/>
      <c r="F232" s="35"/>
      <c r="G232" s="35"/>
      <c r="V232" s="37">
        <f t="shared" si="1"/>
        <v>0</v>
      </c>
    </row>
    <row r="233">
      <c r="A233" s="35"/>
      <c r="B233" s="35"/>
      <c r="C233" s="35"/>
      <c r="D233" s="35"/>
      <c r="E233" s="35"/>
      <c r="F233" s="35"/>
      <c r="G233" s="35"/>
      <c r="V233" s="37">
        <f t="shared" si="1"/>
        <v>0</v>
      </c>
    </row>
    <row r="234">
      <c r="A234" s="35"/>
      <c r="B234" s="35"/>
      <c r="C234" s="35"/>
      <c r="D234" s="35"/>
      <c r="E234" s="35"/>
      <c r="F234" s="35"/>
      <c r="G234" s="35"/>
      <c r="V234" s="37">
        <f t="shared" si="1"/>
        <v>0</v>
      </c>
    </row>
    <row r="235">
      <c r="A235" s="35"/>
      <c r="B235" s="35"/>
      <c r="C235" s="35"/>
      <c r="D235" s="35"/>
      <c r="E235" s="35"/>
      <c r="F235" s="35"/>
      <c r="G235" s="35"/>
      <c r="V235" s="37">
        <f t="shared" si="1"/>
        <v>0</v>
      </c>
    </row>
    <row r="236">
      <c r="A236" s="35"/>
      <c r="B236" s="35"/>
      <c r="C236" s="35"/>
      <c r="D236" s="35"/>
      <c r="E236" s="35"/>
      <c r="F236" s="35"/>
      <c r="G236" s="35"/>
      <c r="V236" s="37">
        <f t="shared" si="1"/>
        <v>0</v>
      </c>
    </row>
    <row r="237">
      <c r="A237" s="35"/>
      <c r="B237" s="35"/>
      <c r="C237" s="35"/>
      <c r="D237" s="35"/>
      <c r="E237" s="35"/>
      <c r="F237" s="35"/>
      <c r="G237" s="35"/>
      <c r="V237" s="37">
        <f t="shared" si="1"/>
        <v>0</v>
      </c>
    </row>
    <row r="238">
      <c r="A238" s="35"/>
      <c r="B238" s="35"/>
      <c r="C238" s="35"/>
      <c r="D238" s="35"/>
      <c r="E238" s="35"/>
      <c r="F238" s="35"/>
      <c r="G238" s="35"/>
      <c r="V238" s="37">
        <f t="shared" si="1"/>
        <v>0</v>
      </c>
    </row>
    <row r="239">
      <c r="A239" s="35"/>
      <c r="B239" s="35"/>
      <c r="C239" s="35"/>
      <c r="D239" s="35"/>
      <c r="E239" s="35"/>
      <c r="F239" s="35"/>
      <c r="G239" s="35"/>
      <c r="V239" s="37">
        <f t="shared" si="1"/>
        <v>0</v>
      </c>
    </row>
    <row r="240">
      <c r="A240" s="35"/>
      <c r="B240" s="35"/>
      <c r="C240" s="35"/>
      <c r="D240" s="35"/>
      <c r="E240" s="35"/>
      <c r="F240" s="35"/>
      <c r="G240" s="35"/>
      <c r="V240" s="37">
        <f t="shared" si="1"/>
        <v>0</v>
      </c>
    </row>
    <row r="241">
      <c r="A241" s="35"/>
      <c r="B241" s="35"/>
      <c r="C241" s="35"/>
      <c r="D241" s="35"/>
      <c r="E241" s="35"/>
      <c r="F241" s="35"/>
      <c r="G241" s="35"/>
      <c r="V241" s="37">
        <f t="shared" si="1"/>
        <v>0</v>
      </c>
    </row>
    <row r="242">
      <c r="A242" s="35"/>
      <c r="B242" s="35"/>
      <c r="C242" s="35"/>
      <c r="D242" s="35"/>
      <c r="E242" s="35"/>
      <c r="F242" s="35"/>
      <c r="G242" s="35"/>
      <c r="V242" s="37">
        <f t="shared" si="1"/>
        <v>0</v>
      </c>
    </row>
    <row r="243">
      <c r="A243" s="35"/>
      <c r="B243" s="35"/>
      <c r="C243" s="35"/>
      <c r="D243" s="35"/>
      <c r="E243" s="35"/>
      <c r="F243" s="35"/>
      <c r="G243" s="35"/>
      <c r="V243" s="37">
        <f t="shared" si="1"/>
        <v>0</v>
      </c>
    </row>
    <row r="244">
      <c r="A244" s="35"/>
      <c r="B244" s="35"/>
      <c r="C244" s="35"/>
      <c r="D244" s="35"/>
      <c r="E244" s="35"/>
      <c r="F244" s="35"/>
      <c r="G244" s="35"/>
      <c r="V244" s="37">
        <f t="shared" si="1"/>
        <v>0</v>
      </c>
    </row>
    <row r="245">
      <c r="A245" s="35"/>
      <c r="B245" s="35"/>
      <c r="C245" s="35"/>
      <c r="D245" s="35"/>
      <c r="E245" s="35"/>
      <c r="F245" s="35"/>
      <c r="G245" s="35"/>
      <c r="V245" s="37">
        <f t="shared" si="1"/>
        <v>0</v>
      </c>
    </row>
    <row r="246">
      <c r="A246" s="35"/>
      <c r="B246" s="35"/>
      <c r="C246" s="35"/>
      <c r="D246" s="35"/>
      <c r="E246" s="35"/>
      <c r="F246" s="35"/>
      <c r="G246" s="35"/>
      <c r="V246" s="37">
        <f t="shared" si="1"/>
        <v>0</v>
      </c>
    </row>
    <row r="247">
      <c r="A247" s="35"/>
      <c r="B247" s="35"/>
      <c r="C247" s="35"/>
      <c r="D247" s="35"/>
      <c r="E247" s="35"/>
      <c r="F247" s="35"/>
      <c r="G247" s="35"/>
      <c r="V247" s="37">
        <f t="shared" si="1"/>
        <v>0</v>
      </c>
    </row>
    <row r="248">
      <c r="A248" s="35"/>
      <c r="B248" s="35"/>
      <c r="C248" s="35"/>
      <c r="D248" s="35"/>
      <c r="E248" s="35"/>
      <c r="F248" s="35"/>
      <c r="G248" s="35"/>
      <c r="V248" s="37">
        <f t="shared" si="1"/>
        <v>0</v>
      </c>
    </row>
    <row r="249">
      <c r="A249" s="35"/>
      <c r="B249" s="35"/>
      <c r="C249" s="35"/>
      <c r="D249" s="35"/>
      <c r="E249" s="35"/>
      <c r="F249" s="35"/>
      <c r="G249" s="35"/>
      <c r="V249" s="37">
        <f t="shared" si="1"/>
        <v>0</v>
      </c>
    </row>
    <row r="250">
      <c r="A250" s="35"/>
      <c r="B250" s="35"/>
      <c r="C250" s="35"/>
      <c r="D250" s="35"/>
      <c r="E250" s="35"/>
      <c r="F250" s="35"/>
      <c r="G250" s="35"/>
      <c r="V250" s="37">
        <f t="shared" si="1"/>
        <v>0</v>
      </c>
    </row>
    <row r="251">
      <c r="A251" s="35"/>
      <c r="B251" s="35"/>
      <c r="C251" s="35"/>
      <c r="D251" s="35"/>
      <c r="E251" s="35"/>
      <c r="F251" s="35"/>
      <c r="G251" s="35"/>
      <c r="V251" s="37">
        <f t="shared" si="1"/>
        <v>0</v>
      </c>
    </row>
    <row r="252">
      <c r="A252" s="35"/>
      <c r="B252" s="35"/>
      <c r="C252" s="35"/>
      <c r="D252" s="35"/>
      <c r="E252" s="35"/>
      <c r="F252" s="35"/>
      <c r="G252" s="35"/>
      <c r="V252" s="37">
        <f t="shared" si="1"/>
        <v>0</v>
      </c>
    </row>
    <row r="253">
      <c r="A253" s="35"/>
      <c r="B253" s="35"/>
      <c r="C253" s="35"/>
      <c r="D253" s="35"/>
      <c r="E253" s="35"/>
      <c r="F253" s="35"/>
      <c r="G253" s="35"/>
      <c r="V253" s="37">
        <f t="shared" si="1"/>
        <v>0</v>
      </c>
    </row>
    <row r="254">
      <c r="A254" s="35"/>
      <c r="B254" s="35"/>
      <c r="C254" s="35"/>
      <c r="D254" s="35"/>
      <c r="E254" s="35"/>
      <c r="F254" s="35"/>
      <c r="G254" s="35"/>
      <c r="V254" s="37">
        <f t="shared" si="1"/>
        <v>0</v>
      </c>
    </row>
    <row r="255">
      <c r="A255" s="35"/>
      <c r="B255" s="35"/>
      <c r="C255" s="35"/>
      <c r="D255" s="35"/>
      <c r="E255" s="35"/>
      <c r="F255" s="35"/>
      <c r="G255" s="35"/>
      <c r="V255" s="37">
        <f t="shared" si="1"/>
        <v>0</v>
      </c>
    </row>
    <row r="256">
      <c r="A256" s="35"/>
      <c r="B256" s="35"/>
      <c r="C256" s="35"/>
      <c r="D256" s="35"/>
      <c r="E256" s="35"/>
      <c r="F256" s="35"/>
      <c r="G256" s="35"/>
      <c r="V256" s="37">
        <f t="shared" si="1"/>
        <v>0</v>
      </c>
    </row>
    <row r="257">
      <c r="A257" s="35"/>
      <c r="B257" s="35"/>
      <c r="C257" s="35"/>
      <c r="D257" s="35"/>
      <c r="E257" s="35"/>
      <c r="F257" s="35"/>
      <c r="G257" s="35"/>
      <c r="V257" s="37">
        <f t="shared" si="1"/>
        <v>0</v>
      </c>
    </row>
    <row r="258">
      <c r="A258" s="35"/>
      <c r="B258" s="35"/>
      <c r="C258" s="35"/>
      <c r="D258" s="35"/>
      <c r="E258" s="35"/>
      <c r="F258" s="35"/>
      <c r="G258" s="35"/>
      <c r="V258" s="37">
        <f t="shared" si="1"/>
        <v>0</v>
      </c>
    </row>
    <row r="259">
      <c r="A259" s="35"/>
      <c r="B259" s="35"/>
      <c r="C259" s="35"/>
      <c r="D259" s="35"/>
      <c r="E259" s="35"/>
      <c r="F259" s="35"/>
      <c r="G259" s="35"/>
      <c r="V259" s="37">
        <f t="shared" si="1"/>
        <v>0</v>
      </c>
    </row>
    <row r="260">
      <c r="A260" s="35"/>
      <c r="B260" s="35"/>
      <c r="C260" s="35"/>
      <c r="D260" s="35"/>
      <c r="E260" s="35"/>
      <c r="F260" s="35"/>
      <c r="G260" s="35"/>
      <c r="V260" s="37">
        <f t="shared" si="1"/>
        <v>0</v>
      </c>
    </row>
    <row r="261">
      <c r="A261" s="35"/>
      <c r="B261" s="35"/>
      <c r="C261" s="35"/>
      <c r="D261" s="35"/>
      <c r="E261" s="35"/>
      <c r="F261" s="35"/>
      <c r="G261" s="35"/>
      <c r="V261" s="37">
        <f t="shared" si="1"/>
        <v>0</v>
      </c>
    </row>
    <row r="262">
      <c r="A262" s="35"/>
      <c r="B262" s="35"/>
      <c r="C262" s="35"/>
      <c r="D262" s="35"/>
      <c r="E262" s="35"/>
      <c r="F262" s="35"/>
      <c r="G262" s="35"/>
      <c r="V262" s="37">
        <f t="shared" si="1"/>
        <v>0</v>
      </c>
    </row>
    <row r="263">
      <c r="A263" s="35"/>
      <c r="B263" s="35"/>
      <c r="C263" s="35"/>
      <c r="D263" s="35"/>
      <c r="E263" s="35"/>
      <c r="F263" s="35"/>
      <c r="G263" s="35"/>
      <c r="V263" s="37">
        <f t="shared" si="1"/>
        <v>0</v>
      </c>
    </row>
    <row r="264">
      <c r="A264" s="35"/>
      <c r="B264" s="35"/>
      <c r="C264" s="35"/>
      <c r="D264" s="35"/>
      <c r="E264" s="35"/>
      <c r="F264" s="35"/>
      <c r="G264" s="35"/>
      <c r="V264" s="37">
        <f t="shared" si="1"/>
        <v>0</v>
      </c>
    </row>
    <row r="265">
      <c r="A265" s="35"/>
      <c r="B265" s="35"/>
      <c r="C265" s="35"/>
      <c r="D265" s="35"/>
      <c r="E265" s="35"/>
      <c r="F265" s="35"/>
      <c r="G265" s="35"/>
      <c r="V265" s="37">
        <f t="shared" si="1"/>
        <v>0</v>
      </c>
    </row>
    <row r="266">
      <c r="A266" s="35"/>
      <c r="B266" s="35"/>
      <c r="C266" s="35"/>
      <c r="D266" s="35"/>
      <c r="E266" s="35"/>
      <c r="F266" s="35"/>
      <c r="G266" s="35"/>
      <c r="V266" s="37">
        <f t="shared" si="1"/>
        <v>0</v>
      </c>
    </row>
    <row r="267">
      <c r="A267" s="35"/>
      <c r="B267" s="35"/>
      <c r="C267" s="35"/>
      <c r="D267" s="35"/>
      <c r="E267" s="35"/>
      <c r="F267" s="35"/>
      <c r="G267" s="35"/>
      <c r="V267" s="37">
        <f t="shared" si="1"/>
        <v>0</v>
      </c>
    </row>
    <row r="268">
      <c r="A268" s="35"/>
      <c r="B268" s="35"/>
      <c r="C268" s="35"/>
      <c r="D268" s="35"/>
      <c r="E268" s="35"/>
      <c r="F268" s="35"/>
      <c r="G268" s="35"/>
      <c r="V268" s="37">
        <f t="shared" si="1"/>
        <v>0</v>
      </c>
    </row>
    <row r="269">
      <c r="A269" s="35"/>
      <c r="B269" s="35"/>
      <c r="C269" s="35"/>
      <c r="D269" s="35"/>
      <c r="E269" s="35"/>
      <c r="F269" s="35"/>
      <c r="G269" s="35"/>
      <c r="V269" s="37">
        <f t="shared" si="1"/>
        <v>0</v>
      </c>
    </row>
    <row r="270">
      <c r="A270" s="35"/>
      <c r="B270" s="35"/>
      <c r="C270" s="35"/>
      <c r="D270" s="35"/>
      <c r="E270" s="35"/>
      <c r="F270" s="35"/>
      <c r="G270" s="35"/>
      <c r="V270" s="37">
        <f t="shared" si="1"/>
        <v>0</v>
      </c>
    </row>
    <row r="271">
      <c r="A271" s="35"/>
      <c r="B271" s="35"/>
      <c r="C271" s="35"/>
      <c r="D271" s="35"/>
      <c r="E271" s="35"/>
      <c r="F271" s="35"/>
      <c r="G271" s="35"/>
      <c r="V271" s="37">
        <f t="shared" si="1"/>
        <v>0</v>
      </c>
    </row>
    <row r="272">
      <c r="A272" s="35"/>
      <c r="B272" s="35"/>
      <c r="C272" s="35"/>
      <c r="D272" s="35"/>
      <c r="E272" s="35"/>
      <c r="F272" s="35"/>
      <c r="G272" s="35"/>
      <c r="V272" s="37">
        <f t="shared" si="1"/>
        <v>0</v>
      </c>
    </row>
    <row r="273">
      <c r="A273" s="35"/>
      <c r="B273" s="35"/>
      <c r="C273" s="35"/>
      <c r="D273" s="35"/>
      <c r="E273" s="35"/>
      <c r="F273" s="35"/>
      <c r="G273" s="35"/>
      <c r="V273" s="37">
        <f t="shared" si="1"/>
        <v>0</v>
      </c>
    </row>
    <row r="274">
      <c r="A274" s="35"/>
      <c r="B274" s="35"/>
      <c r="C274" s="35"/>
      <c r="D274" s="35"/>
      <c r="E274" s="35"/>
      <c r="F274" s="35"/>
      <c r="G274" s="35"/>
      <c r="V274" s="37">
        <f t="shared" si="1"/>
        <v>0</v>
      </c>
    </row>
    <row r="275">
      <c r="A275" s="35"/>
      <c r="B275" s="35"/>
      <c r="C275" s="35"/>
      <c r="D275" s="35"/>
      <c r="E275" s="35"/>
      <c r="F275" s="35"/>
      <c r="G275" s="35"/>
      <c r="V275" s="37">
        <f t="shared" si="1"/>
        <v>0</v>
      </c>
    </row>
    <row r="276">
      <c r="A276" s="35"/>
      <c r="B276" s="35"/>
      <c r="C276" s="35"/>
      <c r="D276" s="35"/>
      <c r="E276" s="35"/>
      <c r="F276" s="35"/>
      <c r="G276" s="35"/>
      <c r="V276" s="37">
        <f t="shared" si="1"/>
        <v>0</v>
      </c>
    </row>
    <row r="277">
      <c r="A277" s="35"/>
      <c r="B277" s="35"/>
      <c r="C277" s="35"/>
      <c r="D277" s="35"/>
      <c r="E277" s="35"/>
      <c r="F277" s="35"/>
      <c r="G277" s="35"/>
      <c r="V277" s="37">
        <f t="shared" si="1"/>
        <v>0</v>
      </c>
    </row>
    <row r="278">
      <c r="A278" s="35"/>
      <c r="B278" s="35"/>
      <c r="C278" s="35"/>
      <c r="D278" s="35"/>
      <c r="E278" s="35"/>
      <c r="F278" s="35"/>
      <c r="G278" s="35"/>
      <c r="V278" s="37">
        <f t="shared" si="1"/>
        <v>0</v>
      </c>
    </row>
    <row r="279">
      <c r="A279" s="35"/>
      <c r="B279" s="35"/>
      <c r="C279" s="35"/>
      <c r="D279" s="35"/>
      <c r="E279" s="35"/>
      <c r="F279" s="35"/>
      <c r="G279" s="35"/>
      <c r="V279" s="37">
        <f t="shared" si="1"/>
        <v>0</v>
      </c>
    </row>
    <row r="280">
      <c r="A280" s="35"/>
      <c r="B280" s="35"/>
      <c r="C280" s="35"/>
      <c r="D280" s="35"/>
      <c r="E280" s="35"/>
      <c r="F280" s="35"/>
      <c r="G280" s="35"/>
      <c r="V280" s="37">
        <f t="shared" si="1"/>
        <v>0</v>
      </c>
    </row>
    <row r="281">
      <c r="A281" s="35"/>
      <c r="B281" s="35"/>
      <c r="C281" s="35"/>
      <c r="D281" s="35"/>
      <c r="E281" s="35"/>
      <c r="F281" s="35"/>
      <c r="G281" s="35"/>
      <c r="V281" s="37">
        <f t="shared" si="1"/>
        <v>0</v>
      </c>
    </row>
    <row r="282">
      <c r="A282" s="35"/>
      <c r="B282" s="35"/>
      <c r="C282" s="35"/>
      <c r="D282" s="35"/>
      <c r="E282" s="35"/>
      <c r="F282" s="35"/>
      <c r="G282" s="35"/>
      <c r="V282" s="37">
        <f t="shared" si="1"/>
        <v>0</v>
      </c>
    </row>
    <row r="283">
      <c r="A283" s="35"/>
      <c r="B283" s="35"/>
      <c r="C283" s="35"/>
      <c r="D283" s="35"/>
      <c r="E283" s="35"/>
      <c r="F283" s="35"/>
      <c r="G283" s="35"/>
      <c r="V283" s="37">
        <f t="shared" si="1"/>
        <v>0</v>
      </c>
    </row>
    <row r="284">
      <c r="A284" s="35"/>
      <c r="B284" s="35"/>
      <c r="C284" s="35"/>
      <c r="D284" s="35"/>
      <c r="E284" s="35"/>
      <c r="F284" s="35"/>
      <c r="G284" s="35"/>
      <c r="V284" s="37">
        <f t="shared" si="1"/>
        <v>0</v>
      </c>
    </row>
    <row r="285">
      <c r="A285" s="35"/>
      <c r="B285" s="35"/>
      <c r="C285" s="35"/>
      <c r="D285" s="35"/>
      <c r="E285" s="35"/>
      <c r="F285" s="35"/>
      <c r="G285" s="35"/>
      <c r="V285" s="37">
        <f t="shared" si="1"/>
        <v>0</v>
      </c>
    </row>
    <row r="286">
      <c r="A286" s="35"/>
      <c r="B286" s="35"/>
      <c r="C286" s="35"/>
      <c r="D286" s="35"/>
      <c r="E286" s="35"/>
      <c r="F286" s="35"/>
      <c r="G286" s="35"/>
      <c r="V286" s="37">
        <f t="shared" si="1"/>
        <v>0</v>
      </c>
    </row>
    <row r="287">
      <c r="A287" s="35"/>
      <c r="B287" s="35"/>
      <c r="C287" s="35"/>
      <c r="D287" s="35"/>
      <c r="E287" s="35"/>
      <c r="F287" s="35"/>
      <c r="G287" s="35"/>
      <c r="V287" s="37">
        <f t="shared" si="1"/>
        <v>0</v>
      </c>
    </row>
    <row r="288">
      <c r="A288" s="35"/>
      <c r="B288" s="35"/>
      <c r="C288" s="35"/>
      <c r="D288" s="35"/>
      <c r="E288" s="35"/>
      <c r="F288" s="35"/>
      <c r="G288" s="35"/>
      <c r="V288" s="37">
        <f t="shared" si="1"/>
        <v>0</v>
      </c>
    </row>
    <row r="289">
      <c r="A289" s="35"/>
      <c r="B289" s="35"/>
      <c r="C289" s="35"/>
      <c r="D289" s="35"/>
      <c r="E289" s="35"/>
      <c r="F289" s="35"/>
      <c r="G289" s="35"/>
      <c r="V289" s="37">
        <f t="shared" si="1"/>
        <v>0</v>
      </c>
    </row>
    <row r="290">
      <c r="A290" s="35"/>
      <c r="B290" s="35"/>
      <c r="C290" s="35"/>
      <c r="D290" s="35"/>
      <c r="E290" s="35"/>
      <c r="F290" s="35"/>
      <c r="G290" s="35"/>
      <c r="V290" s="37">
        <f t="shared" si="1"/>
        <v>0</v>
      </c>
    </row>
    <row r="291">
      <c r="A291" s="35"/>
      <c r="B291" s="35"/>
      <c r="C291" s="35"/>
      <c r="D291" s="35"/>
      <c r="E291" s="35"/>
      <c r="F291" s="35"/>
      <c r="G291" s="35"/>
      <c r="V291" s="37">
        <f t="shared" si="1"/>
        <v>0</v>
      </c>
    </row>
    <row r="292">
      <c r="A292" s="35"/>
      <c r="B292" s="35"/>
      <c r="C292" s="35"/>
      <c r="D292" s="35"/>
      <c r="E292" s="35"/>
      <c r="F292" s="35"/>
      <c r="G292" s="35"/>
      <c r="V292" s="37">
        <f t="shared" si="1"/>
        <v>0</v>
      </c>
    </row>
    <row r="293">
      <c r="A293" s="35"/>
      <c r="B293" s="35"/>
      <c r="C293" s="35"/>
      <c r="D293" s="35"/>
      <c r="E293" s="35"/>
      <c r="F293" s="35"/>
      <c r="G293" s="35"/>
      <c r="V293" s="37">
        <f t="shared" si="1"/>
        <v>0</v>
      </c>
    </row>
    <row r="294">
      <c r="A294" s="35"/>
      <c r="B294" s="35"/>
      <c r="C294" s="35"/>
      <c r="D294" s="35"/>
      <c r="E294" s="35"/>
      <c r="F294" s="35"/>
      <c r="G294" s="35"/>
      <c r="V294" s="37">
        <f t="shared" si="1"/>
        <v>0</v>
      </c>
    </row>
    <row r="295">
      <c r="A295" s="35"/>
      <c r="B295" s="35"/>
      <c r="C295" s="35"/>
      <c r="D295" s="35"/>
      <c r="E295" s="35"/>
      <c r="F295" s="35"/>
      <c r="G295" s="35"/>
      <c r="V295" s="37">
        <f t="shared" si="1"/>
        <v>0</v>
      </c>
    </row>
    <row r="296">
      <c r="A296" s="35"/>
      <c r="B296" s="35"/>
      <c r="C296" s="35"/>
      <c r="D296" s="35"/>
      <c r="E296" s="35"/>
      <c r="F296" s="35"/>
      <c r="G296" s="35"/>
      <c r="V296" s="37">
        <f t="shared" si="1"/>
        <v>0</v>
      </c>
    </row>
    <row r="297">
      <c r="A297" s="35"/>
      <c r="B297" s="35"/>
      <c r="C297" s="35"/>
      <c r="D297" s="35"/>
      <c r="E297" s="35"/>
      <c r="F297" s="35"/>
      <c r="G297" s="35"/>
      <c r="V297" s="37">
        <f t="shared" si="1"/>
        <v>0</v>
      </c>
    </row>
    <row r="298">
      <c r="A298" s="35"/>
      <c r="B298" s="35"/>
      <c r="C298" s="35"/>
      <c r="D298" s="35"/>
      <c r="E298" s="35"/>
      <c r="F298" s="35"/>
      <c r="G298" s="35"/>
      <c r="V298" s="37">
        <f t="shared" si="1"/>
        <v>0</v>
      </c>
    </row>
    <row r="299">
      <c r="A299" s="35"/>
      <c r="B299" s="35"/>
      <c r="C299" s="35"/>
      <c r="D299" s="35"/>
      <c r="E299" s="35"/>
      <c r="F299" s="35"/>
      <c r="G299" s="35"/>
      <c r="V299" s="37">
        <f t="shared" si="1"/>
        <v>0</v>
      </c>
    </row>
    <row r="300">
      <c r="A300" s="35"/>
      <c r="B300" s="35"/>
      <c r="C300" s="35"/>
      <c r="D300" s="35"/>
      <c r="E300" s="35"/>
      <c r="F300" s="35"/>
      <c r="G300" s="35"/>
      <c r="V300" s="37">
        <f t="shared" si="1"/>
        <v>0</v>
      </c>
    </row>
    <row r="301">
      <c r="A301" s="35"/>
      <c r="B301" s="35"/>
      <c r="C301" s="35"/>
      <c r="D301" s="35"/>
      <c r="E301" s="35"/>
      <c r="F301" s="35"/>
      <c r="G301" s="35"/>
      <c r="V301" s="37">
        <f t="shared" si="1"/>
        <v>0</v>
      </c>
    </row>
    <row r="302">
      <c r="A302" s="35"/>
      <c r="B302" s="35"/>
      <c r="C302" s="35"/>
      <c r="D302" s="35"/>
      <c r="E302" s="35"/>
      <c r="F302" s="35"/>
      <c r="G302" s="35"/>
      <c r="V302" s="37">
        <f t="shared" si="1"/>
        <v>0</v>
      </c>
    </row>
    <row r="303">
      <c r="A303" s="35"/>
      <c r="B303" s="35"/>
      <c r="C303" s="35"/>
      <c r="D303" s="35"/>
      <c r="E303" s="35"/>
      <c r="F303" s="35"/>
      <c r="G303" s="35"/>
      <c r="V303" s="37">
        <f t="shared" si="1"/>
        <v>0</v>
      </c>
    </row>
    <row r="304">
      <c r="A304" s="35"/>
      <c r="B304" s="35"/>
      <c r="C304" s="35"/>
      <c r="D304" s="35"/>
      <c r="E304" s="35"/>
      <c r="F304" s="35"/>
      <c r="G304" s="35"/>
      <c r="V304" s="37">
        <f t="shared" si="1"/>
        <v>0</v>
      </c>
    </row>
    <row r="305">
      <c r="A305" s="35"/>
      <c r="B305" s="35"/>
      <c r="C305" s="35"/>
      <c r="D305" s="35"/>
      <c r="E305" s="35"/>
      <c r="F305" s="35"/>
      <c r="G305" s="35"/>
      <c r="V305" s="37">
        <f t="shared" si="1"/>
        <v>0</v>
      </c>
    </row>
    <row r="306">
      <c r="A306" s="35"/>
      <c r="B306" s="35"/>
      <c r="C306" s="35"/>
      <c r="D306" s="35"/>
      <c r="E306" s="35"/>
      <c r="F306" s="35"/>
      <c r="G306" s="35"/>
      <c r="V306" s="37">
        <f t="shared" si="1"/>
        <v>0</v>
      </c>
    </row>
    <row r="307">
      <c r="A307" s="35"/>
      <c r="B307" s="35"/>
      <c r="C307" s="35"/>
      <c r="D307" s="35"/>
      <c r="E307" s="35"/>
      <c r="F307" s="35"/>
      <c r="G307" s="35"/>
      <c r="V307" s="37">
        <f t="shared" si="1"/>
        <v>0</v>
      </c>
    </row>
    <row r="308">
      <c r="A308" s="35"/>
      <c r="B308" s="35"/>
      <c r="C308" s="35"/>
      <c r="D308" s="35"/>
      <c r="E308" s="35"/>
      <c r="F308" s="35"/>
      <c r="G308" s="35"/>
      <c r="V308" s="37">
        <f t="shared" si="1"/>
        <v>0</v>
      </c>
    </row>
    <row r="309">
      <c r="A309" s="35"/>
      <c r="B309" s="35"/>
      <c r="C309" s="35"/>
      <c r="D309" s="35"/>
      <c r="E309" s="35"/>
      <c r="F309" s="35"/>
      <c r="G309" s="35"/>
      <c r="V309" s="37">
        <f t="shared" si="1"/>
        <v>0</v>
      </c>
    </row>
    <row r="310">
      <c r="A310" s="35"/>
      <c r="B310" s="35"/>
      <c r="C310" s="35"/>
      <c r="D310" s="35"/>
      <c r="E310" s="35"/>
      <c r="F310" s="35"/>
      <c r="G310" s="35"/>
      <c r="V310" s="37">
        <f t="shared" si="1"/>
        <v>0</v>
      </c>
    </row>
    <row r="311">
      <c r="A311" s="35"/>
      <c r="B311" s="35"/>
      <c r="C311" s="35"/>
      <c r="D311" s="35"/>
      <c r="E311" s="35"/>
      <c r="F311" s="35"/>
      <c r="G311" s="35"/>
      <c r="V311" s="37">
        <f t="shared" si="1"/>
        <v>0</v>
      </c>
    </row>
    <row r="312">
      <c r="A312" s="35"/>
      <c r="B312" s="35"/>
      <c r="C312" s="35"/>
      <c r="D312" s="35"/>
      <c r="E312" s="35"/>
      <c r="F312" s="35"/>
      <c r="G312" s="35"/>
      <c r="V312" s="37">
        <f t="shared" si="1"/>
        <v>0</v>
      </c>
    </row>
    <row r="313">
      <c r="A313" s="35"/>
      <c r="B313" s="35"/>
      <c r="C313" s="35"/>
      <c r="D313" s="35"/>
      <c r="E313" s="35"/>
      <c r="F313" s="35"/>
      <c r="G313" s="35"/>
      <c r="V313" s="37">
        <f t="shared" si="1"/>
        <v>0</v>
      </c>
    </row>
    <row r="314">
      <c r="A314" s="35"/>
      <c r="B314" s="35"/>
      <c r="C314" s="35"/>
      <c r="D314" s="35"/>
      <c r="E314" s="35"/>
      <c r="F314" s="35"/>
      <c r="G314" s="35"/>
      <c r="V314" s="37">
        <f t="shared" si="1"/>
        <v>0</v>
      </c>
    </row>
    <row r="315">
      <c r="A315" s="35"/>
      <c r="B315" s="35"/>
      <c r="C315" s="35"/>
      <c r="D315" s="35"/>
      <c r="E315" s="35"/>
      <c r="F315" s="35"/>
      <c r="G315" s="35"/>
      <c r="V315" s="37">
        <f t="shared" si="1"/>
        <v>0</v>
      </c>
    </row>
    <row r="316">
      <c r="A316" s="35"/>
      <c r="B316" s="35"/>
      <c r="C316" s="35"/>
      <c r="D316" s="35"/>
      <c r="E316" s="35"/>
      <c r="F316" s="35"/>
      <c r="G316" s="35"/>
      <c r="V316" s="37">
        <f t="shared" si="1"/>
        <v>0</v>
      </c>
    </row>
    <row r="317">
      <c r="A317" s="35"/>
      <c r="B317" s="35"/>
      <c r="C317" s="35"/>
      <c r="D317" s="35"/>
      <c r="E317" s="35"/>
      <c r="F317" s="35"/>
      <c r="G317" s="35"/>
      <c r="V317" s="37">
        <f t="shared" si="1"/>
        <v>0</v>
      </c>
    </row>
    <row r="318">
      <c r="A318" s="35"/>
      <c r="B318" s="35"/>
      <c r="C318" s="35"/>
      <c r="D318" s="35"/>
      <c r="E318" s="35"/>
      <c r="F318" s="35"/>
      <c r="G318" s="35"/>
      <c r="V318" s="37">
        <f t="shared" si="1"/>
        <v>0</v>
      </c>
    </row>
    <row r="319">
      <c r="A319" s="35"/>
      <c r="B319" s="35"/>
      <c r="C319" s="35"/>
      <c r="D319" s="35"/>
      <c r="E319" s="35"/>
      <c r="F319" s="35"/>
      <c r="G319" s="35"/>
      <c r="V319" s="37">
        <f t="shared" si="1"/>
        <v>0</v>
      </c>
    </row>
    <row r="320">
      <c r="A320" s="35"/>
      <c r="B320" s="35"/>
      <c r="C320" s="35"/>
      <c r="D320" s="35"/>
      <c r="E320" s="35"/>
      <c r="F320" s="35"/>
      <c r="G320" s="35"/>
      <c r="V320" s="37">
        <f t="shared" si="1"/>
        <v>0</v>
      </c>
    </row>
    <row r="321">
      <c r="A321" s="35"/>
      <c r="B321" s="35"/>
      <c r="C321" s="35"/>
      <c r="D321" s="35"/>
      <c r="E321" s="35"/>
      <c r="F321" s="35"/>
      <c r="G321" s="35"/>
      <c r="V321" s="37">
        <f t="shared" si="1"/>
        <v>0</v>
      </c>
    </row>
    <row r="322">
      <c r="A322" s="35"/>
      <c r="B322" s="35"/>
      <c r="C322" s="35"/>
      <c r="D322" s="35"/>
      <c r="E322" s="35"/>
      <c r="F322" s="35"/>
      <c r="G322" s="35"/>
      <c r="V322" s="37">
        <f t="shared" si="1"/>
        <v>0</v>
      </c>
    </row>
    <row r="323">
      <c r="A323" s="35"/>
      <c r="B323" s="35"/>
      <c r="C323" s="35"/>
      <c r="D323" s="35"/>
      <c r="E323" s="35"/>
      <c r="F323" s="35"/>
      <c r="G323" s="35"/>
      <c r="V323" s="37">
        <f t="shared" si="1"/>
        <v>0</v>
      </c>
    </row>
    <row r="324">
      <c r="A324" s="35"/>
      <c r="B324" s="35"/>
      <c r="C324" s="35"/>
      <c r="D324" s="35"/>
      <c r="E324" s="35"/>
      <c r="F324" s="35"/>
      <c r="G324" s="35"/>
      <c r="V324" s="37">
        <f t="shared" si="1"/>
        <v>0</v>
      </c>
    </row>
    <row r="325">
      <c r="A325" s="35"/>
      <c r="B325" s="35"/>
      <c r="C325" s="35"/>
      <c r="D325" s="35"/>
      <c r="E325" s="35"/>
      <c r="F325" s="35"/>
      <c r="G325" s="35"/>
      <c r="V325" s="37">
        <f t="shared" si="1"/>
        <v>0</v>
      </c>
    </row>
    <row r="326">
      <c r="A326" s="35"/>
      <c r="B326" s="35"/>
      <c r="C326" s="35"/>
      <c r="D326" s="35"/>
      <c r="E326" s="35"/>
      <c r="F326" s="35"/>
      <c r="G326" s="35"/>
      <c r="V326" s="37">
        <f t="shared" si="1"/>
        <v>0</v>
      </c>
    </row>
    <row r="327">
      <c r="A327" s="35"/>
      <c r="B327" s="35"/>
      <c r="C327" s="35"/>
      <c r="D327" s="35"/>
      <c r="E327" s="35"/>
      <c r="F327" s="35"/>
      <c r="G327" s="35"/>
      <c r="V327" s="37">
        <f t="shared" si="1"/>
        <v>0</v>
      </c>
    </row>
    <row r="328">
      <c r="A328" s="35"/>
      <c r="B328" s="35"/>
      <c r="C328" s="35"/>
      <c r="D328" s="35"/>
      <c r="E328" s="35"/>
      <c r="F328" s="35"/>
      <c r="G328" s="35"/>
      <c r="V328" s="37">
        <f t="shared" si="1"/>
        <v>0</v>
      </c>
    </row>
    <row r="329">
      <c r="A329" s="35"/>
      <c r="B329" s="35"/>
      <c r="C329" s="35"/>
      <c r="D329" s="35"/>
      <c r="E329" s="35"/>
      <c r="F329" s="35"/>
      <c r="G329" s="35"/>
      <c r="V329" s="37">
        <f t="shared" si="1"/>
        <v>0</v>
      </c>
    </row>
    <row r="330">
      <c r="A330" s="35"/>
      <c r="B330" s="35"/>
      <c r="C330" s="35"/>
      <c r="D330" s="35"/>
      <c r="E330" s="35"/>
      <c r="F330" s="35"/>
      <c r="G330" s="35"/>
      <c r="V330" s="37">
        <f t="shared" si="1"/>
        <v>0</v>
      </c>
    </row>
    <row r="331">
      <c r="A331" s="35"/>
      <c r="B331" s="35"/>
      <c r="C331" s="35"/>
      <c r="D331" s="35"/>
      <c r="E331" s="35"/>
      <c r="F331" s="35"/>
      <c r="G331" s="35"/>
      <c r="V331" s="37">
        <f t="shared" si="1"/>
        <v>0</v>
      </c>
    </row>
    <row r="332">
      <c r="A332" s="35"/>
      <c r="B332" s="35"/>
      <c r="C332" s="35"/>
      <c r="D332" s="35"/>
      <c r="E332" s="35"/>
      <c r="F332" s="35"/>
      <c r="G332" s="35"/>
      <c r="V332" s="37">
        <f t="shared" si="1"/>
        <v>0</v>
      </c>
    </row>
    <row r="333">
      <c r="A333" s="35"/>
      <c r="B333" s="35"/>
      <c r="C333" s="35"/>
      <c r="D333" s="35"/>
      <c r="E333" s="35"/>
      <c r="F333" s="35"/>
      <c r="G333" s="35"/>
      <c r="V333" s="37">
        <f t="shared" si="1"/>
        <v>0</v>
      </c>
    </row>
    <row r="334">
      <c r="A334" s="35"/>
      <c r="B334" s="35"/>
      <c r="C334" s="35"/>
      <c r="D334" s="35"/>
      <c r="E334" s="35"/>
      <c r="F334" s="35"/>
      <c r="G334" s="35"/>
      <c r="V334" s="37">
        <f t="shared" si="1"/>
        <v>0</v>
      </c>
    </row>
    <row r="335">
      <c r="A335" s="35"/>
      <c r="B335" s="35"/>
      <c r="C335" s="35"/>
      <c r="D335" s="35"/>
      <c r="E335" s="35"/>
      <c r="F335" s="35"/>
      <c r="G335" s="35"/>
      <c r="V335" s="37">
        <f t="shared" si="1"/>
        <v>0</v>
      </c>
    </row>
    <row r="336">
      <c r="A336" s="35"/>
      <c r="B336" s="35"/>
      <c r="C336" s="35"/>
      <c r="D336" s="35"/>
      <c r="E336" s="35"/>
      <c r="F336" s="35"/>
      <c r="G336" s="35"/>
      <c r="V336" s="37">
        <f t="shared" si="1"/>
        <v>0</v>
      </c>
    </row>
    <row r="337">
      <c r="A337" s="35"/>
      <c r="B337" s="35"/>
      <c r="C337" s="35"/>
      <c r="D337" s="35"/>
      <c r="E337" s="35"/>
      <c r="F337" s="35"/>
      <c r="G337" s="35"/>
      <c r="V337" s="37">
        <f t="shared" si="1"/>
        <v>0</v>
      </c>
    </row>
    <row r="338">
      <c r="A338" s="35"/>
      <c r="B338" s="35"/>
      <c r="C338" s="35"/>
      <c r="D338" s="35"/>
      <c r="E338" s="35"/>
      <c r="F338" s="35"/>
      <c r="G338" s="35"/>
      <c r="V338" s="37">
        <f t="shared" si="1"/>
        <v>0</v>
      </c>
    </row>
    <row r="339">
      <c r="A339" s="35"/>
      <c r="B339" s="35"/>
      <c r="C339" s="35"/>
      <c r="D339" s="35"/>
      <c r="E339" s="35"/>
      <c r="F339" s="35"/>
      <c r="G339" s="35"/>
      <c r="V339" s="37">
        <f t="shared" si="1"/>
        <v>0</v>
      </c>
    </row>
    <row r="340">
      <c r="A340" s="35"/>
      <c r="B340" s="35"/>
      <c r="C340" s="35"/>
      <c r="D340" s="35"/>
      <c r="E340" s="35"/>
      <c r="F340" s="35"/>
      <c r="G340" s="35"/>
      <c r="V340" s="37">
        <f t="shared" si="1"/>
        <v>0</v>
      </c>
    </row>
    <row r="341">
      <c r="A341" s="35"/>
      <c r="B341" s="35"/>
      <c r="C341" s="35"/>
      <c r="D341" s="35"/>
      <c r="E341" s="35"/>
      <c r="F341" s="35"/>
      <c r="G341" s="35"/>
      <c r="V341" s="37">
        <f t="shared" si="1"/>
        <v>0</v>
      </c>
    </row>
    <row r="342">
      <c r="A342" s="35"/>
      <c r="B342" s="35"/>
      <c r="C342" s="35"/>
      <c r="D342" s="35"/>
      <c r="E342" s="35"/>
      <c r="F342" s="35"/>
      <c r="G342" s="35"/>
      <c r="V342" s="37">
        <f t="shared" si="1"/>
        <v>0</v>
      </c>
    </row>
    <row r="343">
      <c r="A343" s="35"/>
      <c r="B343" s="35"/>
      <c r="C343" s="35"/>
      <c r="D343" s="35"/>
      <c r="E343" s="35"/>
      <c r="F343" s="35"/>
      <c r="G343" s="35"/>
      <c r="V343" s="37">
        <f t="shared" si="1"/>
        <v>0</v>
      </c>
    </row>
    <row r="344">
      <c r="A344" s="35"/>
      <c r="B344" s="35"/>
      <c r="C344" s="35"/>
      <c r="D344" s="35"/>
      <c r="E344" s="35"/>
      <c r="F344" s="35"/>
      <c r="G344" s="35"/>
      <c r="V344" s="37">
        <f t="shared" si="1"/>
        <v>0</v>
      </c>
    </row>
    <row r="345">
      <c r="A345" s="35"/>
      <c r="B345" s="35"/>
      <c r="C345" s="35"/>
      <c r="D345" s="35"/>
      <c r="E345" s="35"/>
      <c r="F345" s="35"/>
      <c r="G345" s="35"/>
      <c r="V345" s="37">
        <f t="shared" si="1"/>
        <v>0</v>
      </c>
    </row>
    <row r="346">
      <c r="A346" s="35"/>
      <c r="B346" s="35"/>
      <c r="C346" s="35"/>
      <c r="D346" s="35"/>
      <c r="E346" s="35"/>
      <c r="F346" s="35"/>
      <c r="G346" s="35"/>
      <c r="V346" s="37">
        <f t="shared" si="1"/>
        <v>0</v>
      </c>
    </row>
    <row r="347">
      <c r="A347" s="35"/>
      <c r="B347" s="35"/>
      <c r="C347" s="35"/>
      <c r="D347" s="35"/>
      <c r="E347" s="35"/>
      <c r="F347" s="35"/>
      <c r="G347" s="35"/>
      <c r="V347" s="37">
        <f t="shared" si="1"/>
        <v>0</v>
      </c>
    </row>
    <row r="348">
      <c r="A348" s="35"/>
      <c r="B348" s="35"/>
      <c r="C348" s="35"/>
      <c r="D348" s="35"/>
      <c r="E348" s="35"/>
      <c r="F348" s="35"/>
      <c r="G348" s="35"/>
      <c r="V348" s="37">
        <f t="shared" si="1"/>
        <v>0</v>
      </c>
    </row>
    <row r="349">
      <c r="A349" s="35"/>
      <c r="B349" s="35"/>
      <c r="C349" s="35"/>
      <c r="D349" s="35"/>
      <c r="E349" s="35"/>
      <c r="F349" s="35"/>
      <c r="G349" s="35"/>
      <c r="V349" s="37">
        <f t="shared" si="1"/>
        <v>0</v>
      </c>
    </row>
    <row r="350">
      <c r="A350" s="35"/>
      <c r="B350" s="35"/>
      <c r="C350" s="35"/>
      <c r="D350" s="35"/>
      <c r="E350" s="35"/>
      <c r="F350" s="35"/>
      <c r="G350" s="35"/>
      <c r="V350" s="37">
        <f t="shared" si="1"/>
        <v>0</v>
      </c>
    </row>
    <row r="351">
      <c r="A351" s="35"/>
      <c r="B351" s="35"/>
      <c r="C351" s="35"/>
      <c r="D351" s="35"/>
      <c r="E351" s="35"/>
      <c r="F351" s="35"/>
      <c r="G351" s="35"/>
      <c r="V351" s="37">
        <f t="shared" si="1"/>
        <v>0</v>
      </c>
    </row>
    <row r="352">
      <c r="A352" s="35"/>
      <c r="B352" s="35"/>
      <c r="C352" s="35"/>
      <c r="D352" s="35"/>
      <c r="E352" s="35"/>
      <c r="F352" s="35"/>
      <c r="G352" s="35"/>
      <c r="V352" s="37">
        <f t="shared" si="1"/>
        <v>0</v>
      </c>
    </row>
    <row r="353">
      <c r="A353" s="35"/>
      <c r="B353" s="35"/>
      <c r="C353" s="35"/>
      <c r="D353" s="35"/>
      <c r="E353" s="35"/>
      <c r="F353" s="35"/>
      <c r="G353" s="35"/>
      <c r="V353" s="37">
        <f t="shared" si="1"/>
        <v>0</v>
      </c>
    </row>
    <row r="354">
      <c r="A354" s="35"/>
      <c r="B354" s="35"/>
      <c r="C354" s="35"/>
      <c r="D354" s="35"/>
      <c r="E354" s="35"/>
      <c r="F354" s="35"/>
      <c r="G354" s="35"/>
      <c r="V354" s="37">
        <f t="shared" si="1"/>
        <v>0</v>
      </c>
    </row>
    <row r="355">
      <c r="A355" s="35"/>
      <c r="B355" s="35"/>
      <c r="C355" s="35"/>
      <c r="D355" s="35"/>
      <c r="E355" s="35"/>
      <c r="F355" s="35"/>
      <c r="G355" s="35"/>
      <c r="V355" s="37">
        <f t="shared" si="1"/>
        <v>0</v>
      </c>
    </row>
    <row r="356">
      <c r="A356" s="35"/>
      <c r="B356" s="35"/>
      <c r="C356" s="35"/>
      <c r="D356" s="35"/>
      <c r="E356" s="35"/>
      <c r="F356" s="35"/>
      <c r="G356" s="35"/>
      <c r="V356" s="37">
        <f t="shared" si="1"/>
        <v>0</v>
      </c>
    </row>
    <row r="357">
      <c r="A357" s="35"/>
      <c r="B357" s="35"/>
      <c r="C357" s="35"/>
      <c r="D357" s="35"/>
      <c r="E357" s="35"/>
      <c r="F357" s="35"/>
      <c r="G357" s="35"/>
      <c r="V357" s="37">
        <f t="shared" si="1"/>
        <v>0</v>
      </c>
    </row>
    <row r="358">
      <c r="A358" s="35"/>
      <c r="B358" s="35"/>
      <c r="C358" s="35"/>
      <c r="D358" s="35"/>
      <c r="E358" s="35"/>
      <c r="F358" s="35"/>
      <c r="G358" s="35"/>
      <c r="V358" s="37">
        <f t="shared" si="1"/>
        <v>0</v>
      </c>
    </row>
    <row r="359">
      <c r="A359" s="35"/>
      <c r="B359" s="35"/>
      <c r="C359" s="35"/>
      <c r="D359" s="35"/>
      <c r="E359" s="35"/>
      <c r="F359" s="35"/>
      <c r="G359" s="35"/>
      <c r="V359" s="37">
        <f t="shared" si="1"/>
        <v>0</v>
      </c>
    </row>
    <row r="360">
      <c r="A360" s="35"/>
      <c r="B360" s="35"/>
      <c r="C360" s="35"/>
      <c r="D360" s="35"/>
      <c r="E360" s="35"/>
      <c r="F360" s="35"/>
      <c r="G360" s="35"/>
      <c r="V360" s="37">
        <f t="shared" si="1"/>
        <v>0</v>
      </c>
    </row>
    <row r="361">
      <c r="A361" s="35"/>
      <c r="B361" s="35"/>
      <c r="C361" s="35"/>
      <c r="D361" s="35"/>
      <c r="E361" s="35"/>
      <c r="F361" s="35"/>
      <c r="G361" s="35"/>
      <c r="V361" s="37">
        <f t="shared" si="1"/>
        <v>0</v>
      </c>
    </row>
    <row r="362">
      <c r="A362" s="35"/>
      <c r="B362" s="35"/>
      <c r="C362" s="35"/>
      <c r="D362" s="35"/>
      <c r="E362" s="35"/>
      <c r="F362" s="35"/>
      <c r="G362" s="35"/>
      <c r="V362" s="37">
        <f t="shared" si="1"/>
        <v>0</v>
      </c>
    </row>
    <row r="363">
      <c r="A363" s="35"/>
      <c r="B363" s="35"/>
      <c r="C363" s="35"/>
      <c r="D363" s="35"/>
      <c r="E363" s="35"/>
      <c r="F363" s="35"/>
      <c r="G363" s="35"/>
      <c r="V363" s="37">
        <f t="shared" si="1"/>
        <v>0</v>
      </c>
    </row>
    <row r="364">
      <c r="A364" s="35"/>
      <c r="B364" s="35"/>
      <c r="C364" s="35"/>
      <c r="D364" s="35"/>
      <c r="E364" s="35"/>
      <c r="F364" s="35"/>
      <c r="G364" s="35"/>
      <c r="V364" s="37">
        <f t="shared" si="1"/>
        <v>0</v>
      </c>
    </row>
    <row r="365">
      <c r="A365" s="35"/>
      <c r="B365" s="35"/>
      <c r="C365" s="35"/>
      <c r="D365" s="35"/>
      <c r="E365" s="35"/>
      <c r="F365" s="35"/>
      <c r="G365" s="35"/>
      <c r="V365" s="37">
        <f t="shared" si="1"/>
        <v>0</v>
      </c>
    </row>
    <row r="366">
      <c r="A366" s="35"/>
      <c r="B366" s="35"/>
      <c r="C366" s="35"/>
      <c r="D366" s="35"/>
      <c r="E366" s="35"/>
      <c r="F366" s="35"/>
      <c r="G366" s="35"/>
      <c r="V366" s="37">
        <f t="shared" si="1"/>
        <v>0</v>
      </c>
    </row>
    <row r="367">
      <c r="A367" s="35"/>
      <c r="B367" s="35"/>
      <c r="C367" s="35"/>
      <c r="D367" s="35"/>
      <c r="E367" s="35"/>
      <c r="F367" s="35"/>
      <c r="G367" s="35"/>
      <c r="V367" s="37">
        <f t="shared" si="1"/>
        <v>0</v>
      </c>
    </row>
    <row r="368">
      <c r="A368" s="35"/>
      <c r="B368" s="35"/>
      <c r="C368" s="35"/>
      <c r="D368" s="35"/>
      <c r="E368" s="35"/>
      <c r="F368" s="35"/>
      <c r="G368" s="35"/>
      <c r="V368" s="37">
        <f t="shared" si="1"/>
        <v>0</v>
      </c>
    </row>
    <row r="369">
      <c r="A369" s="35"/>
      <c r="B369" s="35"/>
      <c r="C369" s="35"/>
      <c r="D369" s="35"/>
      <c r="E369" s="35"/>
      <c r="F369" s="35"/>
      <c r="G369" s="35"/>
      <c r="V369" s="37">
        <f t="shared" si="1"/>
        <v>0</v>
      </c>
    </row>
    <row r="370">
      <c r="A370" s="35"/>
      <c r="B370" s="35"/>
      <c r="C370" s="35"/>
      <c r="D370" s="35"/>
      <c r="E370" s="35"/>
      <c r="F370" s="35"/>
      <c r="G370" s="35"/>
      <c r="V370" s="37">
        <f t="shared" si="1"/>
        <v>0</v>
      </c>
    </row>
    <row r="371">
      <c r="A371" s="35"/>
      <c r="B371" s="35"/>
      <c r="C371" s="35"/>
      <c r="D371" s="35"/>
      <c r="E371" s="35"/>
      <c r="F371" s="35"/>
      <c r="G371" s="35"/>
      <c r="V371" s="37">
        <f t="shared" si="1"/>
        <v>0</v>
      </c>
    </row>
    <row r="372">
      <c r="A372" s="35"/>
      <c r="B372" s="35"/>
      <c r="C372" s="35"/>
      <c r="D372" s="35"/>
      <c r="E372" s="35"/>
      <c r="F372" s="35"/>
      <c r="G372" s="35"/>
      <c r="V372" s="37">
        <f t="shared" si="1"/>
        <v>0</v>
      </c>
    </row>
    <row r="373">
      <c r="A373" s="35"/>
      <c r="B373" s="35"/>
      <c r="C373" s="35"/>
      <c r="D373" s="35"/>
      <c r="E373" s="35"/>
      <c r="F373" s="35"/>
      <c r="G373" s="35"/>
      <c r="V373" s="37">
        <f t="shared" si="1"/>
        <v>0</v>
      </c>
    </row>
    <row r="374">
      <c r="A374" s="35"/>
      <c r="B374" s="35"/>
      <c r="C374" s="35"/>
      <c r="D374" s="35"/>
      <c r="E374" s="35"/>
      <c r="F374" s="35"/>
      <c r="G374" s="35"/>
      <c r="V374" s="37">
        <f t="shared" si="1"/>
        <v>0</v>
      </c>
    </row>
    <row r="375">
      <c r="A375" s="35"/>
      <c r="B375" s="35"/>
      <c r="C375" s="35"/>
      <c r="D375" s="35"/>
      <c r="E375" s="35"/>
      <c r="F375" s="35"/>
      <c r="G375" s="35"/>
      <c r="V375" s="37">
        <f t="shared" si="1"/>
        <v>0</v>
      </c>
    </row>
    <row r="376">
      <c r="A376" s="35"/>
      <c r="B376" s="35"/>
      <c r="C376" s="35"/>
      <c r="D376" s="35"/>
      <c r="E376" s="35"/>
      <c r="F376" s="35"/>
      <c r="G376" s="35"/>
      <c r="V376" s="37">
        <f t="shared" si="1"/>
        <v>0</v>
      </c>
    </row>
    <row r="377">
      <c r="A377" s="35"/>
      <c r="B377" s="35"/>
      <c r="C377" s="35"/>
      <c r="D377" s="35"/>
      <c r="E377" s="35"/>
      <c r="F377" s="35"/>
      <c r="G377" s="35"/>
      <c r="V377" s="37">
        <f t="shared" si="1"/>
        <v>0</v>
      </c>
    </row>
    <row r="378">
      <c r="A378" s="35"/>
      <c r="B378" s="35"/>
      <c r="C378" s="35"/>
      <c r="D378" s="35"/>
      <c r="E378" s="35"/>
      <c r="F378" s="35"/>
      <c r="G378" s="35"/>
      <c r="V378" s="37">
        <f t="shared" si="1"/>
        <v>0</v>
      </c>
    </row>
    <row r="379">
      <c r="A379" s="35"/>
      <c r="B379" s="35"/>
      <c r="C379" s="35"/>
      <c r="D379" s="35"/>
      <c r="E379" s="35"/>
      <c r="F379" s="35"/>
      <c r="G379" s="35"/>
      <c r="V379" s="37">
        <f t="shared" si="1"/>
        <v>0</v>
      </c>
    </row>
    <row r="380">
      <c r="A380" s="35"/>
      <c r="B380" s="35"/>
      <c r="C380" s="35"/>
      <c r="D380" s="35"/>
      <c r="E380" s="35"/>
      <c r="F380" s="35"/>
      <c r="G380" s="35"/>
      <c r="V380" s="37">
        <f t="shared" si="1"/>
        <v>0</v>
      </c>
    </row>
    <row r="381">
      <c r="A381" s="35"/>
      <c r="B381" s="35"/>
      <c r="C381" s="35"/>
      <c r="D381" s="35"/>
      <c r="E381" s="35"/>
      <c r="F381" s="35"/>
      <c r="G381" s="35"/>
      <c r="V381" s="37">
        <f t="shared" si="1"/>
        <v>0</v>
      </c>
    </row>
    <row r="382">
      <c r="A382" s="35"/>
      <c r="B382" s="35"/>
      <c r="C382" s="35"/>
      <c r="D382" s="35"/>
      <c r="E382" s="35"/>
      <c r="F382" s="35"/>
      <c r="G382" s="35"/>
      <c r="V382" s="37">
        <f t="shared" si="1"/>
        <v>0</v>
      </c>
    </row>
    <row r="383">
      <c r="A383" s="35"/>
      <c r="B383" s="35"/>
      <c r="C383" s="35"/>
      <c r="D383" s="35"/>
      <c r="E383" s="35"/>
      <c r="F383" s="35"/>
      <c r="G383" s="35"/>
      <c r="V383" s="37">
        <f t="shared" si="1"/>
        <v>0</v>
      </c>
    </row>
    <row r="384">
      <c r="A384" s="35"/>
      <c r="B384" s="35"/>
      <c r="C384" s="35"/>
      <c r="D384" s="35"/>
      <c r="E384" s="35"/>
      <c r="F384" s="35"/>
      <c r="G384" s="35"/>
      <c r="V384" s="37">
        <f t="shared" si="1"/>
        <v>0</v>
      </c>
    </row>
    <row r="385">
      <c r="A385" s="35"/>
      <c r="B385" s="35"/>
      <c r="C385" s="35"/>
      <c r="D385" s="35"/>
      <c r="E385" s="35"/>
      <c r="F385" s="35"/>
      <c r="G385" s="35"/>
      <c r="V385" s="37">
        <f t="shared" si="1"/>
        <v>0</v>
      </c>
    </row>
    <row r="386">
      <c r="A386" s="35"/>
      <c r="B386" s="35"/>
      <c r="C386" s="35"/>
      <c r="D386" s="35"/>
      <c r="E386" s="35"/>
      <c r="F386" s="35"/>
      <c r="G386" s="35"/>
      <c r="V386" s="37">
        <f t="shared" si="1"/>
        <v>0</v>
      </c>
    </row>
    <row r="387">
      <c r="A387" s="35"/>
      <c r="B387" s="35"/>
      <c r="C387" s="35"/>
      <c r="D387" s="35"/>
      <c r="E387" s="35"/>
      <c r="F387" s="35"/>
      <c r="G387" s="35"/>
      <c r="V387" s="37">
        <f t="shared" si="1"/>
        <v>0</v>
      </c>
    </row>
    <row r="388">
      <c r="A388" s="35"/>
      <c r="B388" s="35"/>
      <c r="C388" s="35"/>
      <c r="D388" s="35"/>
      <c r="E388" s="35"/>
      <c r="F388" s="35"/>
      <c r="G388" s="35"/>
      <c r="V388" s="37">
        <f t="shared" si="1"/>
        <v>0</v>
      </c>
    </row>
    <row r="389">
      <c r="A389" s="35"/>
      <c r="B389" s="35"/>
      <c r="C389" s="35"/>
      <c r="D389" s="35"/>
      <c r="E389" s="35"/>
      <c r="F389" s="35"/>
      <c r="G389" s="35"/>
      <c r="V389" s="37">
        <f t="shared" si="1"/>
        <v>0</v>
      </c>
    </row>
    <row r="390">
      <c r="A390" s="35"/>
      <c r="B390" s="35"/>
      <c r="C390" s="35"/>
      <c r="D390" s="35"/>
      <c r="E390" s="35"/>
      <c r="F390" s="35"/>
      <c r="G390" s="35"/>
      <c r="V390" s="37">
        <f t="shared" si="1"/>
        <v>0</v>
      </c>
    </row>
    <row r="391">
      <c r="A391" s="35"/>
      <c r="B391" s="35"/>
      <c r="C391" s="35"/>
      <c r="D391" s="35"/>
      <c r="E391" s="35"/>
      <c r="F391" s="35"/>
      <c r="G391" s="35"/>
      <c r="V391" s="37">
        <f t="shared" si="1"/>
        <v>0</v>
      </c>
    </row>
    <row r="392">
      <c r="A392" s="35"/>
      <c r="B392" s="35"/>
      <c r="C392" s="35"/>
      <c r="D392" s="35"/>
      <c r="E392" s="35"/>
      <c r="F392" s="35"/>
      <c r="G392" s="35"/>
      <c r="V392" s="37">
        <f t="shared" si="1"/>
        <v>0</v>
      </c>
    </row>
    <row r="393">
      <c r="A393" s="35"/>
      <c r="B393" s="35"/>
      <c r="C393" s="35"/>
      <c r="D393" s="35"/>
      <c r="E393" s="35"/>
      <c r="F393" s="35"/>
      <c r="G393" s="35"/>
      <c r="V393" s="37">
        <f t="shared" si="1"/>
        <v>0</v>
      </c>
    </row>
    <row r="394">
      <c r="A394" s="35"/>
      <c r="B394" s="35"/>
      <c r="C394" s="35"/>
      <c r="D394" s="35"/>
      <c r="E394" s="35"/>
      <c r="F394" s="35"/>
      <c r="G394" s="35"/>
      <c r="V394" s="37">
        <f t="shared" si="1"/>
        <v>0</v>
      </c>
    </row>
    <row r="395">
      <c r="A395" s="35"/>
      <c r="B395" s="35"/>
      <c r="C395" s="35"/>
      <c r="D395" s="35"/>
      <c r="E395" s="35"/>
      <c r="F395" s="35"/>
      <c r="G395" s="35"/>
      <c r="V395" s="37">
        <f t="shared" si="1"/>
        <v>0</v>
      </c>
    </row>
    <row r="396">
      <c r="A396" s="35"/>
      <c r="B396" s="35"/>
      <c r="C396" s="35"/>
      <c r="D396" s="35"/>
      <c r="E396" s="35"/>
      <c r="F396" s="35"/>
      <c r="G396" s="35"/>
      <c r="V396" s="37">
        <f t="shared" si="1"/>
        <v>0</v>
      </c>
    </row>
    <row r="397">
      <c r="A397" s="35"/>
      <c r="B397" s="35"/>
      <c r="C397" s="35"/>
      <c r="D397" s="35"/>
      <c r="E397" s="35"/>
      <c r="F397" s="35"/>
      <c r="G397" s="35"/>
      <c r="V397" s="37">
        <f t="shared" si="1"/>
        <v>0</v>
      </c>
    </row>
    <row r="398">
      <c r="A398" s="35"/>
      <c r="B398" s="35"/>
      <c r="C398" s="35"/>
      <c r="D398" s="35"/>
      <c r="E398" s="35"/>
      <c r="F398" s="35"/>
      <c r="G398" s="35"/>
      <c r="V398" s="37">
        <f t="shared" si="1"/>
        <v>0</v>
      </c>
    </row>
    <row r="399">
      <c r="A399" s="35"/>
      <c r="B399" s="35"/>
      <c r="C399" s="35"/>
      <c r="D399" s="35"/>
      <c r="E399" s="35"/>
      <c r="F399" s="35"/>
      <c r="G399" s="35"/>
      <c r="V399" s="37">
        <f t="shared" si="1"/>
        <v>0</v>
      </c>
    </row>
    <row r="400">
      <c r="A400" s="35"/>
      <c r="B400" s="35"/>
      <c r="C400" s="35"/>
      <c r="D400" s="35"/>
      <c r="E400" s="35"/>
      <c r="F400" s="35"/>
      <c r="G400" s="35"/>
      <c r="V400" s="37">
        <f t="shared" si="1"/>
        <v>0</v>
      </c>
    </row>
    <row r="401">
      <c r="A401" s="35"/>
      <c r="B401" s="35"/>
      <c r="C401" s="35"/>
      <c r="D401" s="35"/>
      <c r="E401" s="35"/>
      <c r="F401" s="35"/>
      <c r="G401" s="35"/>
      <c r="V401" s="37">
        <f t="shared" si="1"/>
        <v>0</v>
      </c>
    </row>
    <row r="402">
      <c r="A402" s="35"/>
      <c r="B402" s="35"/>
      <c r="C402" s="35"/>
      <c r="D402" s="35"/>
      <c r="E402" s="35"/>
      <c r="F402" s="35"/>
      <c r="G402" s="35"/>
      <c r="V402" s="37">
        <f t="shared" si="1"/>
        <v>0</v>
      </c>
    </row>
    <row r="403">
      <c r="A403" s="35"/>
      <c r="B403" s="35"/>
      <c r="C403" s="35"/>
      <c r="D403" s="35"/>
      <c r="E403" s="35"/>
      <c r="F403" s="35"/>
      <c r="G403" s="35"/>
      <c r="V403" s="37">
        <f t="shared" si="1"/>
        <v>0</v>
      </c>
    </row>
    <row r="404">
      <c r="A404" s="35"/>
      <c r="B404" s="35"/>
      <c r="C404" s="35"/>
      <c r="D404" s="35"/>
      <c r="E404" s="35"/>
      <c r="F404" s="35"/>
      <c r="G404" s="35"/>
      <c r="V404" s="37">
        <f t="shared" si="1"/>
        <v>0</v>
      </c>
    </row>
    <row r="405">
      <c r="A405" s="35"/>
      <c r="B405" s="35"/>
      <c r="C405" s="35"/>
      <c r="D405" s="35"/>
      <c r="E405" s="35"/>
      <c r="F405" s="35"/>
      <c r="G405" s="35"/>
      <c r="V405" s="37">
        <f t="shared" si="1"/>
        <v>0</v>
      </c>
    </row>
    <row r="406">
      <c r="A406" s="35"/>
      <c r="B406" s="35"/>
      <c r="C406" s="35"/>
      <c r="D406" s="35"/>
      <c r="E406" s="35"/>
      <c r="F406" s="35"/>
      <c r="G406" s="35"/>
      <c r="V406" s="37">
        <f t="shared" si="1"/>
        <v>0</v>
      </c>
    </row>
    <row r="407">
      <c r="A407" s="35"/>
      <c r="B407" s="35"/>
      <c r="C407" s="35"/>
      <c r="D407" s="35"/>
      <c r="E407" s="35"/>
      <c r="F407" s="35"/>
      <c r="G407" s="35"/>
      <c r="V407" s="37">
        <f t="shared" si="1"/>
        <v>0</v>
      </c>
    </row>
    <row r="408">
      <c r="A408" s="35"/>
      <c r="B408" s="35"/>
      <c r="C408" s="35"/>
      <c r="D408" s="35"/>
      <c r="E408" s="35"/>
      <c r="F408" s="35"/>
      <c r="G408" s="35"/>
      <c r="V408" s="37">
        <f t="shared" si="1"/>
        <v>0</v>
      </c>
    </row>
    <row r="409">
      <c r="A409" s="35"/>
      <c r="B409" s="35"/>
      <c r="C409" s="35"/>
      <c r="D409" s="35"/>
      <c r="E409" s="35"/>
      <c r="F409" s="35"/>
      <c r="G409" s="35"/>
      <c r="V409" s="37">
        <f t="shared" si="1"/>
        <v>0</v>
      </c>
    </row>
    <row r="410">
      <c r="A410" s="35"/>
      <c r="B410" s="35"/>
      <c r="C410" s="35"/>
      <c r="D410" s="35"/>
      <c r="E410" s="35"/>
      <c r="F410" s="35"/>
      <c r="G410" s="35"/>
      <c r="V410" s="37">
        <f t="shared" si="1"/>
        <v>0</v>
      </c>
    </row>
    <row r="411">
      <c r="A411" s="35"/>
      <c r="B411" s="35"/>
      <c r="C411" s="35"/>
      <c r="D411" s="35"/>
      <c r="E411" s="35"/>
      <c r="F411" s="35"/>
      <c r="G411" s="35"/>
      <c r="V411" s="37">
        <f t="shared" si="1"/>
        <v>0</v>
      </c>
    </row>
    <row r="412">
      <c r="A412" s="35"/>
      <c r="B412" s="35"/>
      <c r="C412" s="35"/>
      <c r="D412" s="35"/>
      <c r="E412" s="35"/>
      <c r="F412" s="35"/>
      <c r="G412" s="35"/>
      <c r="V412" s="37">
        <f t="shared" si="1"/>
        <v>0</v>
      </c>
    </row>
    <row r="413">
      <c r="A413" s="35"/>
      <c r="B413" s="35"/>
      <c r="C413" s="35"/>
      <c r="D413" s="35"/>
      <c r="E413" s="35"/>
      <c r="F413" s="35"/>
      <c r="G413" s="35"/>
      <c r="V413" s="37">
        <f t="shared" si="1"/>
        <v>0</v>
      </c>
    </row>
    <row r="414">
      <c r="A414" s="35"/>
      <c r="B414" s="35"/>
      <c r="C414" s="35"/>
      <c r="D414" s="35"/>
      <c r="E414" s="35"/>
      <c r="F414" s="35"/>
      <c r="G414" s="35"/>
      <c r="V414" s="37">
        <f t="shared" si="1"/>
        <v>0</v>
      </c>
    </row>
    <row r="415">
      <c r="A415" s="35"/>
      <c r="B415" s="35"/>
      <c r="C415" s="35"/>
      <c r="D415" s="35"/>
      <c r="E415" s="35"/>
      <c r="F415" s="35"/>
      <c r="G415" s="35"/>
      <c r="V415" s="37">
        <f t="shared" si="1"/>
        <v>0</v>
      </c>
    </row>
    <row r="416">
      <c r="A416" s="35"/>
      <c r="B416" s="35"/>
      <c r="C416" s="35"/>
      <c r="D416" s="35"/>
      <c r="E416" s="35"/>
      <c r="F416" s="35"/>
      <c r="G416" s="35"/>
      <c r="V416" s="37">
        <f t="shared" si="1"/>
        <v>0</v>
      </c>
    </row>
    <row r="417">
      <c r="A417" s="35"/>
      <c r="B417" s="35"/>
      <c r="C417" s="35"/>
      <c r="D417" s="35"/>
      <c r="E417" s="35"/>
      <c r="F417" s="35"/>
      <c r="G417" s="35"/>
      <c r="V417" s="37">
        <f t="shared" si="1"/>
        <v>0</v>
      </c>
    </row>
    <row r="418">
      <c r="A418" s="35"/>
      <c r="B418" s="35"/>
      <c r="C418" s="35"/>
      <c r="D418" s="35"/>
      <c r="E418" s="35"/>
      <c r="F418" s="35"/>
      <c r="G418" s="35"/>
      <c r="V418" s="37">
        <f t="shared" si="1"/>
        <v>0</v>
      </c>
    </row>
    <row r="419">
      <c r="A419" s="35"/>
      <c r="B419" s="35"/>
      <c r="C419" s="35"/>
      <c r="D419" s="35"/>
      <c r="E419" s="35"/>
      <c r="F419" s="35"/>
      <c r="G419" s="35"/>
      <c r="V419" s="37">
        <f t="shared" si="1"/>
        <v>0</v>
      </c>
    </row>
    <row r="420">
      <c r="A420" s="35"/>
      <c r="B420" s="35"/>
      <c r="C420" s="35"/>
      <c r="D420" s="35"/>
      <c r="E420" s="35"/>
      <c r="F420" s="35"/>
      <c r="G420" s="35"/>
      <c r="V420" s="37">
        <f t="shared" si="1"/>
        <v>0</v>
      </c>
    </row>
    <row r="421">
      <c r="A421" s="35"/>
      <c r="B421" s="35"/>
      <c r="C421" s="35"/>
      <c r="D421" s="35"/>
      <c r="E421" s="35"/>
      <c r="F421" s="35"/>
      <c r="G421" s="35"/>
      <c r="V421" s="37">
        <f t="shared" si="1"/>
        <v>0</v>
      </c>
    </row>
    <row r="422">
      <c r="A422" s="35"/>
      <c r="B422" s="35"/>
      <c r="C422" s="35"/>
      <c r="D422" s="35"/>
      <c r="E422" s="35"/>
      <c r="F422" s="35"/>
      <c r="G422" s="35"/>
      <c r="V422" s="37">
        <f t="shared" si="1"/>
        <v>0</v>
      </c>
    </row>
    <row r="423">
      <c r="A423" s="35"/>
      <c r="B423" s="35"/>
      <c r="C423" s="35"/>
      <c r="D423" s="35"/>
      <c r="E423" s="35"/>
      <c r="F423" s="35"/>
      <c r="G423" s="35"/>
      <c r="V423" s="37">
        <f t="shared" si="1"/>
        <v>0</v>
      </c>
    </row>
    <row r="424">
      <c r="A424" s="35"/>
      <c r="B424" s="35"/>
      <c r="C424" s="35"/>
      <c r="D424" s="35"/>
      <c r="E424" s="35"/>
      <c r="F424" s="35"/>
      <c r="G424" s="35"/>
      <c r="V424" s="37">
        <f t="shared" si="1"/>
        <v>0</v>
      </c>
    </row>
    <row r="425">
      <c r="A425" s="35"/>
      <c r="B425" s="35"/>
      <c r="C425" s="35"/>
      <c r="D425" s="35"/>
      <c r="E425" s="35"/>
      <c r="F425" s="35"/>
      <c r="G425" s="35"/>
      <c r="V425" s="37">
        <f t="shared" si="1"/>
        <v>0</v>
      </c>
    </row>
    <row r="426">
      <c r="A426" s="35"/>
      <c r="B426" s="35"/>
      <c r="C426" s="35"/>
      <c r="D426" s="35"/>
      <c r="E426" s="35"/>
      <c r="F426" s="35"/>
      <c r="G426" s="35"/>
      <c r="V426" s="37">
        <f t="shared" si="1"/>
        <v>0</v>
      </c>
    </row>
    <row r="427">
      <c r="A427" s="35"/>
      <c r="B427" s="35"/>
      <c r="C427" s="35"/>
      <c r="D427" s="35"/>
      <c r="E427" s="35"/>
      <c r="F427" s="35"/>
      <c r="G427" s="35"/>
      <c r="V427" s="37">
        <f t="shared" si="1"/>
        <v>0</v>
      </c>
    </row>
    <row r="428">
      <c r="A428" s="35"/>
      <c r="B428" s="35"/>
      <c r="C428" s="35"/>
      <c r="D428" s="35"/>
      <c r="E428" s="35"/>
      <c r="F428" s="35"/>
      <c r="G428" s="35"/>
      <c r="V428" s="37">
        <f t="shared" si="1"/>
        <v>0</v>
      </c>
    </row>
    <row r="429">
      <c r="A429" s="35"/>
      <c r="B429" s="35"/>
      <c r="C429" s="35"/>
      <c r="D429" s="35"/>
      <c r="E429" s="35"/>
      <c r="F429" s="35"/>
      <c r="G429" s="35"/>
      <c r="V429" s="37">
        <f t="shared" si="1"/>
        <v>0</v>
      </c>
    </row>
    <row r="430">
      <c r="A430" s="35"/>
      <c r="B430" s="35"/>
      <c r="C430" s="35"/>
      <c r="D430" s="35"/>
      <c r="E430" s="35"/>
      <c r="F430" s="35"/>
      <c r="G430" s="35"/>
      <c r="V430" s="37">
        <f t="shared" si="1"/>
        <v>0</v>
      </c>
    </row>
    <row r="431">
      <c r="A431" s="35"/>
      <c r="B431" s="35"/>
      <c r="C431" s="35"/>
      <c r="D431" s="35"/>
      <c r="E431" s="35"/>
      <c r="F431" s="35"/>
      <c r="G431" s="35"/>
      <c r="V431" s="37">
        <f t="shared" si="1"/>
        <v>0</v>
      </c>
    </row>
    <row r="432">
      <c r="A432" s="35"/>
      <c r="B432" s="35"/>
      <c r="C432" s="35"/>
      <c r="D432" s="35"/>
      <c r="E432" s="35"/>
      <c r="F432" s="35"/>
      <c r="G432" s="35"/>
      <c r="V432" s="37">
        <f t="shared" si="1"/>
        <v>0</v>
      </c>
    </row>
    <row r="433">
      <c r="A433" s="35"/>
      <c r="B433" s="35"/>
      <c r="C433" s="35"/>
      <c r="D433" s="35"/>
      <c r="E433" s="35"/>
      <c r="F433" s="35"/>
      <c r="G433" s="35"/>
      <c r="V433" s="37">
        <f t="shared" si="1"/>
        <v>0</v>
      </c>
    </row>
    <row r="434">
      <c r="A434" s="35"/>
      <c r="B434" s="35"/>
      <c r="C434" s="35"/>
      <c r="D434" s="35"/>
      <c r="E434" s="35"/>
      <c r="F434" s="35"/>
      <c r="G434" s="35"/>
      <c r="V434" s="37">
        <f t="shared" si="1"/>
        <v>0</v>
      </c>
    </row>
    <row r="435">
      <c r="A435" s="35"/>
      <c r="B435" s="35"/>
      <c r="C435" s="35"/>
      <c r="D435" s="35"/>
      <c r="E435" s="35"/>
      <c r="F435" s="35"/>
      <c r="G435" s="35"/>
      <c r="V435" s="37">
        <f t="shared" si="1"/>
        <v>0</v>
      </c>
    </row>
    <row r="436">
      <c r="A436" s="35"/>
      <c r="B436" s="35"/>
      <c r="C436" s="35"/>
      <c r="D436" s="35"/>
      <c r="E436" s="35"/>
      <c r="F436" s="35"/>
      <c r="G436" s="35"/>
      <c r="V436" s="37">
        <f t="shared" si="1"/>
        <v>0</v>
      </c>
    </row>
    <row r="437">
      <c r="A437" s="35"/>
      <c r="B437" s="35"/>
      <c r="C437" s="35"/>
      <c r="D437" s="35"/>
      <c r="E437" s="35"/>
      <c r="F437" s="35"/>
      <c r="G437" s="35"/>
      <c r="V437" s="37">
        <f t="shared" si="1"/>
        <v>0</v>
      </c>
    </row>
    <row r="438">
      <c r="A438" s="35"/>
      <c r="B438" s="35"/>
      <c r="C438" s="35"/>
      <c r="D438" s="35"/>
      <c r="E438" s="35"/>
      <c r="F438" s="35"/>
      <c r="G438" s="35"/>
      <c r="V438" s="37">
        <f t="shared" si="1"/>
        <v>0</v>
      </c>
    </row>
    <row r="439">
      <c r="A439" s="35"/>
      <c r="B439" s="35"/>
      <c r="C439" s="35"/>
      <c r="D439" s="35"/>
      <c r="E439" s="35"/>
      <c r="F439" s="35"/>
      <c r="G439" s="35"/>
      <c r="V439" s="37">
        <f t="shared" si="1"/>
        <v>0</v>
      </c>
    </row>
    <row r="440">
      <c r="A440" s="35"/>
      <c r="B440" s="35"/>
      <c r="C440" s="35"/>
      <c r="D440" s="35"/>
      <c r="E440" s="35"/>
      <c r="F440" s="35"/>
      <c r="G440" s="35"/>
      <c r="V440" s="37">
        <f t="shared" si="1"/>
        <v>0</v>
      </c>
    </row>
    <row r="441">
      <c r="A441" s="35"/>
      <c r="B441" s="35"/>
      <c r="C441" s="35"/>
      <c r="D441" s="35"/>
      <c r="E441" s="35"/>
      <c r="F441" s="35"/>
      <c r="G441" s="35"/>
      <c r="V441" s="37">
        <f t="shared" si="1"/>
        <v>0</v>
      </c>
    </row>
    <row r="442">
      <c r="A442" s="35"/>
      <c r="B442" s="35"/>
      <c r="C442" s="35"/>
      <c r="D442" s="35"/>
      <c r="E442" s="35"/>
      <c r="F442" s="35"/>
      <c r="G442" s="35"/>
      <c r="V442" s="37">
        <f t="shared" si="1"/>
        <v>0</v>
      </c>
    </row>
    <row r="443">
      <c r="A443" s="35"/>
      <c r="B443" s="35"/>
      <c r="C443" s="35"/>
      <c r="D443" s="35"/>
      <c r="E443" s="35"/>
      <c r="F443" s="35"/>
      <c r="G443" s="35"/>
      <c r="V443" s="37">
        <f t="shared" si="1"/>
        <v>0</v>
      </c>
    </row>
    <row r="444">
      <c r="A444" s="35"/>
      <c r="B444" s="35"/>
      <c r="C444" s="35"/>
      <c r="D444" s="35"/>
      <c r="E444" s="35"/>
      <c r="F444" s="35"/>
      <c r="G444" s="35"/>
      <c r="V444" s="37">
        <f t="shared" si="1"/>
        <v>0</v>
      </c>
    </row>
    <row r="445">
      <c r="A445" s="35"/>
      <c r="B445" s="35"/>
      <c r="C445" s="35"/>
      <c r="D445" s="35"/>
      <c r="E445" s="35"/>
      <c r="F445" s="35"/>
      <c r="G445" s="35"/>
      <c r="V445" s="37">
        <f t="shared" si="1"/>
        <v>0</v>
      </c>
    </row>
    <row r="446">
      <c r="A446" s="35"/>
      <c r="B446" s="35"/>
      <c r="C446" s="35"/>
      <c r="D446" s="35"/>
      <c r="E446" s="35"/>
      <c r="F446" s="35"/>
      <c r="G446" s="35"/>
      <c r="V446" s="37">
        <f t="shared" si="1"/>
        <v>0</v>
      </c>
    </row>
    <row r="447">
      <c r="A447" s="35"/>
      <c r="B447" s="35"/>
      <c r="C447" s="35"/>
      <c r="D447" s="35"/>
      <c r="E447" s="35"/>
      <c r="F447" s="35"/>
      <c r="G447" s="35"/>
      <c r="V447" s="37">
        <f t="shared" si="1"/>
        <v>0</v>
      </c>
    </row>
    <row r="448">
      <c r="A448" s="35"/>
      <c r="B448" s="35"/>
      <c r="C448" s="35"/>
      <c r="D448" s="35"/>
      <c r="E448" s="35"/>
      <c r="F448" s="35"/>
      <c r="G448" s="35"/>
      <c r="V448" s="37">
        <f t="shared" si="1"/>
        <v>0</v>
      </c>
    </row>
    <row r="449">
      <c r="A449" s="35"/>
      <c r="B449" s="35"/>
      <c r="C449" s="35"/>
      <c r="D449" s="35"/>
      <c r="E449" s="35"/>
      <c r="F449" s="35"/>
      <c r="G449" s="35"/>
      <c r="V449" s="37">
        <f t="shared" si="1"/>
        <v>0</v>
      </c>
    </row>
    <row r="450">
      <c r="A450" s="35"/>
      <c r="B450" s="35"/>
      <c r="C450" s="35"/>
      <c r="D450" s="35"/>
      <c r="E450" s="35"/>
      <c r="F450" s="35"/>
      <c r="G450" s="35"/>
      <c r="V450" s="37">
        <f t="shared" si="1"/>
        <v>0</v>
      </c>
    </row>
    <row r="451">
      <c r="A451" s="35"/>
      <c r="B451" s="35"/>
      <c r="C451" s="35"/>
      <c r="D451" s="35"/>
      <c r="E451" s="35"/>
      <c r="F451" s="35"/>
      <c r="G451" s="35"/>
      <c r="V451" s="37">
        <f t="shared" si="1"/>
        <v>0</v>
      </c>
    </row>
    <row r="452">
      <c r="A452" s="35"/>
      <c r="B452" s="35"/>
      <c r="C452" s="35"/>
      <c r="D452" s="35"/>
      <c r="E452" s="35"/>
      <c r="F452" s="35"/>
      <c r="G452" s="35"/>
      <c r="V452" s="37">
        <f t="shared" si="1"/>
        <v>0</v>
      </c>
    </row>
    <row r="453">
      <c r="A453" s="35"/>
      <c r="B453" s="35"/>
      <c r="C453" s="35"/>
      <c r="D453" s="35"/>
      <c r="E453" s="35"/>
      <c r="F453" s="35"/>
      <c r="G453" s="35"/>
      <c r="V453" s="37">
        <f t="shared" si="1"/>
        <v>0</v>
      </c>
    </row>
    <row r="454">
      <c r="A454" s="35"/>
      <c r="B454" s="35"/>
      <c r="C454" s="35"/>
      <c r="D454" s="35"/>
      <c r="E454" s="35"/>
      <c r="F454" s="35"/>
      <c r="G454" s="35"/>
      <c r="V454" s="37">
        <f t="shared" si="1"/>
        <v>0</v>
      </c>
    </row>
    <row r="455">
      <c r="A455" s="35"/>
      <c r="B455" s="35"/>
      <c r="C455" s="35"/>
      <c r="D455" s="35"/>
      <c r="E455" s="35"/>
      <c r="F455" s="35"/>
      <c r="G455" s="35"/>
      <c r="V455" s="37">
        <f t="shared" si="1"/>
        <v>0</v>
      </c>
    </row>
    <row r="456">
      <c r="A456" s="35"/>
      <c r="B456" s="35"/>
      <c r="C456" s="35"/>
      <c r="D456" s="35"/>
      <c r="E456" s="35"/>
      <c r="F456" s="35"/>
      <c r="G456" s="35"/>
      <c r="V456" s="37">
        <f t="shared" si="1"/>
        <v>0</v>
      </c>
    </row>
    <row r="457">
      <c r="A457" s="35"/>
      <c r="B457" s="35"/>
      <c r="C457" s="35"/>
      <c r="D457" s="35"/>
      <c r="E457" s="35"/>
      <c r="F457" s="35"/>
      <c r="G457" s="35"/>
      <c r="V457" s="37">
        <f t="shared" si="1"/>
        <v>0</v>
      </c>
    </row>
    <row r="458">
      <c r="A458" s="35"/>
      <c r="B458" s="35"/>
      <c r="C458" s="35"/>
      <c r="D458" s="35"/>
      <c r="E458" s="35"/>
      <c r="F458" s="35"/>
      <c r="G458" s="35"/>
      <c r="V458" s="37">
        <f t="shared" si="1"/>
        <v>0</v>
      </c>
    </row>
    <row r="459">
      <c r="A459" s="35"/>
      <c r="B459" s="35"/>
      <c r="C459" s="35"/>
      <c r="D459" s="35"/>
      <c r="E459" s="35"/>
      <c r="F459" s="35"/>
      <c r="G459" s="35"/>
      <c r="V459" s="37">
        <f t="shared" si="1"/>
        <v>0</v>
      </c>
    </row>
    <row r="460">
      <c r="A460" s="35"/>
      <c r="B460" s="35"/>
      <c r="C460" s="35"/>
      <c r="D460" s="35"/>
      <c r="E460" s="35"/>
      <c r="F460" s="35"/>
      <c r="G460" s="35"/>
      <c r="V460" s="37">
        <f t="shared" si="1"/>
        <v>0</v>
      </c>
    </row>
    <row r="461">
      <c r="A461" s="35"/>
      <c r="B461" s="35"/>
      <c r="C461" s="35"/>
      <c r="D461" s="35"/>
      <c r="E461" s="35"/>
      <c r="F461" s="35"/>
      <c r="G461" s="35"/>
      <c r="V461" s="37">
        <f t="shared" si="1"/>
        <v>0</v>
      </c>
    </row>
    <row r="462">
      <c r="A462" s="35"/>
      <c r="B462" s="35"/>
      <c r="C462" s="35"/>
      <c r="D462" s="35"/>
      <c r="E462" s="35"/>
      <c r="F462" s="35"/>
      <c r="G462" s="35"/>
      <c r="V462" s="37">
        <f t="shared" si="1"/>
        <v>0</v>
      </c>
    </row>
    <row r="463">
      <c r="A463" s="35"/>
      <c r="B463" s="35"/>
      <c r="C463" s="35"/>
      <c r="D463" s="35"/>
      <c r="E463" s="35"/>
      <c r="F463" s="35"/>
      <c r="G463" s="35"/>
      <c r="V463" s="37">
        <f t="shared" si="1"/>
        <v>0</v>
      </c>
    </row>
    <row r="464">
      <c r="A464" s="35"/>
      <c r="B464" s="35"/>
      <c r="C464" s="35"/>
      <c r="D464" s="35"/>
      <c r="E464" s="35"/>
      <c r="F464" s="35"/>
      <c r="G464" s="35"/>
      <c r="V464" s="37">
        <f t="shared" si="1"/>
        <v>0</v>
      </c>
    </row>
    <row r="465">
      <c r="A465" s="35"/>
      <c r="B465" s="35"/>
      <c r="C465" s="35"/>
      <c r="D465" s="35"/>
      <c r="E465" s="35"/>
      <c r="F465" s="35"/>
      <c r="G465" s="35"/>
      <c r="V465" s="37">
        <f t="shared" si="1"/>
        <v>0</v>
      </c>
    </row>
    <row r="466">
      <c r="A466" s="35"/>
      <c r="B466" s="35"/>
      <c r="C466" s="35"/>
      <c r="D466" s="35"/>
      <c r="E466" s="35"/>
      <c r="F466" s="35"/>
      <c r="G466" s="35"/>
      <c r="V466" s="37">
        <f t="shared" si="1"/>
        <v>0</v>
      </c>
    </row>
    <row r="467">
      <c r="A467" s="35"/>
      <c r="B467" s="35"/>
      <c r="C467" s="35"/>
      <c r="D467" s="35"/>
      <c r="E467" s="35"/>
      <c r="F467" s="35"/>
      <c r="G467" s="35"/>
      <c r="V467" s="37">
        <f t="shared" si="1"/>
        <v>0</v>
      </c>
    </row>
    <row r="468">
      <c r="A468" s="35"/>
      <c r="B468" s="35"/>
      <c r="C468" s="35"/>
      <c r="D468" s="35"/>
      <c r="E468" s="35"/>
      <c r="F468" s="35"/>
      <c r="G468" s="35"/>
      <c r="V468" s="37">
        <f t="shared" si="1"/>
        <v>0</v>
      </c>
    </row>
    <row r="469">
      <c r="A469" s="35"/>
      <c r="B469" s="35"/>
      <c r="C469" s="35"/>
      <c r="D469" s="35"/>
      <c r="E469" s="35"/>
      <c r="F469" s="35"/>
      <c r="G469" s="35"/>
      <c r="V469" s="37">
        <f t="shared" si="1"/>
        <v>0</v>
      </c>
    </row>
    <row r="470">
      <c r="A470" s="35"/>
      <c r="B470" s="35"/>
      <c r="C470" s="35"/>
      <c r="D470" s="35"/>
      <c r="E470" s="35"/>
      <c r="F470" s="35"/>
      <c r="G470" s="35"/>
      <c r="V470" s="37">
        <f t="shared" si="1"/>
        <v>0</v>
      </c>
    </row>
    <row r="471">
      <c r="A471" s="35"/>
      <c r="B471" s="35"/>
      <c r="C471" s="35"/>
      <c r="D471" s="35"/>
      <c r="E471" s="35"/>
      <c r="F471" s="35"/>
      <c r="G471" s="35"/>
      <c r="V471" s="37">
        <f t="shared" si="1"/>
        <v>0</v>
      </c>
    </row>
    <row r="472">
      <c r="A472" s="35"/>
      <c r="B472" s="35"/>
      <c r="C472" s="35"/>
      <c r="D472" s="35"/>
      <c r="E472" s="35"/>
      <c r="F472" s="35"/>
      <c r="G472" s="35"/>
      <c r="V472" s="37">
        <f t="shared" si="1"/>
        <v>0</v>
      </c>
    </row>
    <row r="473">
      <c r="A473" s="35"/>
      <c r="B473" s="35"/>
      <c r="C473" s="35"/>
      <c r="D473" s="35"/>
      <c r="E473" s="35"/>
      <c r="F473" s="35"/>
      <c r="G473" s="35"/>
      <c r="V473" s="37">
        <f t="shared" si="1"/>
        <v>0</v>
      </c>
    </row>
    <row r="474">
      <c r="A474" s="35"/>
      <c r="B474" s="35"/>
      <c r="C474" s="35"/>
      <c r="D474" s="35"/>
      <c r="E474" s="35"/>
      <c r="F474" s="35"/>
      <c r="G474" s="35"/>
      <c r="V474" s="37">
        <f t="shared" si="1"/>
        <v>0</v>
      </c>
    </row>
    <row r="475">
      <c r="A475" s="35"/>
      <c r="B475" s="35"/>
      <c r="C475" s="35"/>
      <c r="D475" s="35"/>
      <c r="E475" s="35"/>
      <c r="F475" s="35"/>
      <c r="G475" s="35"/>
      <c r="V475" s="37">
        <f t="shared" si="1"/>
        <v>0</v>
      </c>
    </row>
    <row r="476">
      <c r="A476" s="35"/>
      <c r="B476" s="35"/>
      <c r="C476" s="35"/>
      <c r="D476" s="35"/>
      <c r="E476" s="35"/>
      <c r="F476" s="35"/>
      <c r="G476" s="35"/>
      <c r="V476" s="37">
        <f t="shared" si="1"/>
        <v>0</v>
      </c>
    </row>
    <row r="477">
      <c r="A477" s="35"/>
      <c r="B477" s="35"/>
      <c r="C477" s="35"/>
      <c r="D477" s="35"/>
      <c r="E477" s="35"/>
      <c r="F477" s="35"/>
      <c r="G477" s="35"/>
      <c r="V477" s="37">
        <f t="shared" si="1"/>
        <v>0</v>
      </c>
    </row>
    <row r="478">
      <c r="A478" s="35"/>
      <c r="B478" s="35"/>
      <c r="C478" s="35"/>
      <c r="D478" s="35"/>
      <c r="E478" s="35"/>
      <c r="F478" s="35"/>
      <c r="G478" s="35"/>
      <c r="V478" s="37">
        <f t="shared" si="1"/>
        <v>0</v>
      </c>
    </row>
    <row r="479">
      <c r="A479" s="35"/>
      <c r="B479" s="35"/>
      <c r="C479" s="35"/>
      <c r="D479" s="35"/>
      <c r="E479" s="35"/>
      <c r="F479" s="35"/>
      <c r="G479" s="35"/>
      <c r="V479" s="37">
        <f t="shared" si="1"/>
        <v>0</v>
      </c>
    </row>
    <row r="480">
      <c r="A480" s="35"/>
      <c r="B480" s="35"/>
      <c r="C480" s="35"/>
      <c r="D480" s="35"/>
      <c r="E480" s="35"/>
      <c r="F480" s="35"/>
      <c r="G480" s="35"/>
      <c r="V480" s="37">
        <f t="shared" si="1"/>
        <v>0</v>
      </c>
    </row>
    <row r="481">
      <c r="A481" s="35"/>
      <c r="B481" s="35"/>
      <c r="C481" s="35"/>
      <c r="D481" s="35"/>
      <c r="E481" s="35"/>
      <c r="F481" s="35"/>
      <c r="G481" s="35"/>
      <c r="V481" s="37">
        <f t="shared" si="1"/>
        <v>0</v>
      </c>
    </row>
    <row r="482">
      <c r="A482" s="35"/>
      <c r="B482" s="35"/>
      <c r="C482" s="35"/>
      <c r="D482" s="35"/>
      <c r="E482" s="35"/>
      <c r="F482" s="35"/>
      <c r="G482" s="35"/>
      <c r="V482" s="37">
        <f t="shared" si="1"/>
        <v>0</v>
      </c>
    </row>
    <row r="483">
      <c r="A483" s="35"/>
      <c r="B483" s="35"/>
      <c r="C483" s="35"/>
      <c r="D483" s="35"/>
      <c r="E483" s="35"/>
      <c r="F483" s="35"/>
      <c r="G483" s="35"/>
      <c r="V483" s="37">
        <f t="shared" si="1"/>
        <v>0</v>
      </c>
    </row>
    <row r="484">
      <c r="A484" s="35"/>
      <c r="B484" s="35"/>
      <c r="C484" s="35"/>
      <c r="D484" s="35"/>
      <c r="E484" s="35"/>
      <c r="F484" s="35"/>
      <c r="G484" s="35"/>
      <c r="V484" s="37">
        <f t="shared" si="1"/>
        <v>0</v>
      </c>
    </row>
    <row r="485">
      <c r="A485" s="35"/>
      <c r="B485" s="35"/>
      <c r="C485" s="35"/>
      <c r="D485" s="35"/>
      <c r="E485" s="35"/>
      <c r="F485" s="35"/>
      <c r="G485" s="35"/>
      <c r="V485" s="37">
        <f t="shared" si="1"/>
        <v>0</v>
      </c>
    </row>
    <row r="486">
      <c r="A486" s="35"/>
      <c r="B486" s="35"/>
      <c r="C486" s="35"/>
      <c r="D486" s="35"/>
      <c r="E486" s="35"/>
      <c r="F486" s="35"/>
      <c r="G486" s="35"/>
      <c r="V486" s="37">
        <f t="shared" si="1"/>
        <v>0</v>
      </c>
    </row>
    <row r="487">
      <c r="A487" s="35"/>
      <c r="B487" s="35"/>
      <c r="C487" s="35"/>
      <c r="D487" s="35"/>
      <c r="E487" s="35"/>
      <c r="F487" s="35"/>
      <c r="G487" s="35"/>
      <c r="V487" s="37">
        <f t="shared" si="1"/>
        <v>0</v>
      </c>
    </row>
    <row r="488">
      <c r="A488" s="35"/>
      <c r="B488" s="35"/>
      <c r="C488" s="35"/>
      <c r="D488" s="35"/>
      <c r="E488" s="35"/>
      <c r="F488" s="35"/>
      <c r="G488" s="35"/>
      <c r="V488" s="37">
        <f t="shared" si="1"/>
        <v>0</v>
      </c>
    </row>
    <row r="489">
      <c r="A489" s="35"/>
      <c r="B489" s="35"/>
      <c r="C489" s="35"/>
      <c r="D489" s="35"/>
      <c r="E489" s="35"/>
      <c r="F489" s="35"/>
      <c r="G489" s="35"/>
      <c r="V489" s="37">
        <f t="shared" si="1"/>
        <v>0</v>
      </c>
    </row>
    <row r="490">
      <c r="A490" s="35"/>
      <c r="B490" s="35"/>
      <c r="C490" s="35"/>
      <c r="D490" s="35"/>
      <c r="E490" s="35"/>
      <c r="F490" s="35"/>
      <c r="G490" s="35"/>
      <c r="V490" s="37">
        <f t="shared" si="1"/>
        <v>0</v>
      </c>
    </row>
    <row r="491">
      <c r="A491" s="35"/>
      <c r="B491" s="35"/>
      <c r="C491" s="35"/>
      <c r="D491" s="35"/>
      <c r="E491" s="35"/>
      <c r="F491" s="35"/>
      <c r="G491" s="35"/>
      <c r="V491" s="37">
        <f t="shared" si="1"/>
        <v>0</v>
      </c>
    </row>
    <row r="492">
      <c r="A492" s="35"/>
      <c r="B492" s="35"/>
      <c r="C492" s="35"/>
      <c r="D492" s="35"/>
      <c r="E492" s="35"/>
      <c r="F492" s="35"/>
      <c r="G492" s="35"/>
      <c r="V492" s="37">
        <f t="shared" si="1"/>
        <v>0</v>
      </c>
    </row>
    <row r="493">
      <c r="A493" s="35"/>
      <c r="B493" s="35"/>
      <c r="C493" s="35"/>
      <c r="D493" s="35"/>
      <c r="E493" s="35"/>
      <c r="F493" s="35"/>
      <c r="G493" s="35"/>
      <c r="V493" s="37">
        <f t="shared" si="1"/>
        <v>0</v>
      </c>
    </row>
    <row r="494">
      <c r="A494" s="35"/>
      <c r="B494" s="35"/>
      <c r="C494" s="35"/>
      <c r="D494" s="35"/>
      <c r="E494" s="35"/>
      <c r="F494" s="35"/>
      <c r="G494" s="35"/>
      <c r="V494" s="37">
        <f t="shared" si="1"/>
        <v>0</v>
      </c>
    </row>
    <row r="495">
      <c r="A495" s="35"/>
      <c r="B495" s="35"/>
      <c r="C495" s="35"/>
      <c r="D495" s="35"/>
      <c r="E495" s="35"/>
      <c r="F495" s="35"/>
      <c r="G495" s="35"/>
      <c r="V495" s="37">
        <f t="shared" si="1"/>
        <v>0</v>
      </c>
    </row>
    <row r="496">
      <c r="A496" s="35"/>
      <c r="B496" s="35"/>
      <c r="C496" s="35"/>
      <c r="D496" s="35"/>
      <c r="E496" s="35"/>
      <c r="F496" s="35"/>
      <c r="G496" s="35"/>
      <c r="V496" s="37">
        <f t="shared" si="1"/>
        <v>0</v>
      </c>
    </row>
    <row r="497">
      <c r="A497" s="35"/>
      <c r="B497" s="35"/>
      <c r="C497" s="35"/>
      <c r="D497" s="35"/>
      <c r="E497" s="35"/>
      <c r="F497" s="35"/>
      <c r="G497" s="35"/>
      <c r="V497" s="37">
        <f t="shared" si="1"/>
        <v>0</v>
      </c>
    </row>
    <row r="498">
      <c r="A498" s="35"/>
      <c r="B498" s="35"/>
      <c r="C498" s="35"/>
      <c r="D498" s="35"/>
      <c r="E498" s="35"/>
      <c r="F498" s="35"/>
      <c r="G498" s="35"/>
      <c r="V498" s="37">
        <f t="shared" si="1"/>
        <v>0</v>
      </c>
    </row>
    <row r="499">
      <c r="A499" s="35"/>
      <c r="B499" s="35"/>
      <c r="C499" s="35"/>
      <c r="D499" s="35"/>
      <c r="E499" s="35"/>
      <c r="F499" s="35"/>
      <c r="G499" s="35"/>
      <c r="V499" s="37">
        <f t="shared" si="1"/>
        <v>0</v>
      </c>
    </row>
    <row r="500">
      <c r="A500" s="35"/>
      <c r="B500" s="35"/>
      <c r="C500" s="35"/>
      <c r="D500" s="35"/>
      <c r="E500" s="35"/>
      <c r="F500" s="35"/>
      <c r="G500" s="35"/>
      <c r="V500" s="37">
        <f t="shared" si="1"/>
        <v>0</v>
      </c>
    </row>
    <row r="501">
      <c r="A501" s="35"/>
      <c r="B501" s="35"/>
      <c r="C501" s="35"/>
      <c r="D501" s="35"/>
      <c r="E501" s="35"/>
      <c r="F501" s="35"/>
      <c r="G501" s="35"/>
      <c r="V501" s="37">
        <f t="shared" si="1"/>
        <v>0</v>
      </c>
    </row>
    <row r="502">
      <c r="A502" s="35"/>
      <c r="B502" s="35"/>
      <c r="C502" s="35"/>
      <c r="D502" s="35"/>
      <c r="E502" s="35"/>
      <c r="F502" s="35"/>
      <c r="G502" s="35"/>
      <c r="V502" s="37">
        <f t="shared" si="1"/>
        <v>0</v>
      </c>
    </row>
    <row r="503">
      <c r="A503" s="35"/>
      <c r="B503" s="35"/>
      <c r="C503" s="35"/>
      <c r="D503" s="35"/>
      <c r="E503" s="35"/>
      <c r="F503" s="35"/>
      <c r="G503" s="35"/>
      <c r="V503" s="37">
        <f t="shared" si="1"/>
        <v>0</v>
      </c>
    </row>
    <row r="504">
      <c r="A504" s="35"/>
      <c r="B504" s="35"/>
      <c r="C504" s="35"/>
      <c r="D504" s="35"/>
      <c r="E504" s="35"/>
      <c r="F504" s="35"/>
      <c r="G504" s="35"/>
      <c r="V504" s="37">
        <f t="shared" si="1"/>
        <v>0</v>
      </c>
    </row>
    <row r="505">
      <c r="A505" s="35"/>
      <c r="B505" s="35"/>
      <c r="C505" s="35"/>
      <c r="D505" s="35"/>
      <c r="E505" s="35"/>
      <c r="F505" s="35"/>
      <c r="G505" s="35"/>
      <c r="V505" s="37">
        <f t="shared" si="1"/>
        <v>0</v>
      </c>
    </row>
    <row r="506">
      <c r="A506" s="35"/>
      <c r="B506" s="35"/>
      <c r="C506" s="35"/>
      <c r="D506" s="35"/>
      <c r="E506" s="35"/>
      <c r="F506" s="35"/>
      <c r="G506" s="35"/>
      <c r="V506" s="37">
        <f t="shared" si="1"/>
        <v>0</v>
      </c>
    </row>
    <row r="507">
      <c r="A507" s="35"/>
      <c r="B507" s="35"/>
      <c r="C507" s="35"/>
      <c r="D507" s="35"/>
      <c r="E507" s="35"/>
      <c r="F507" s="35"/>
      <c r="G507" s="35"/>
      <c r="V507" s="37">
        <f t="shared" si="1"/>
        <v>0</v>
      </c>
    </row>
    <row r="508">
      <c r="A508" s="35"/>
      <c r="B508" s="35"/>
      <c r="C508" s="35"/>
      <c r="D508" s="35"/>
      <c r="E508" s="35"/>
      <c r="F508" s="35"/>
      <c r="G508" s="35"/>
      <c r="V508" s="37">
        <f t="shared" si="1"/>
        <v>0</v>
      </c>
    </row>
    <row r="509">
      <c r="A509" s="35"/>
      <c r="B509" s="35"/>
      <c r="C509" s="35"/>
      <c r="D509" s="35"/>
      <c r="E509" s="35"/>
      <c r="F509" s="35"/>
      <c r="G509" s="35"/>
      <c r="V509" s="37">
        <f t="shared" si="1"/>
        <v>0</v>
      </c>
    </row>
    <row r="510">
      <c r="A510" s="35"/>
      <c r="B510" s="35"/>
      <c r="C510" s="35"/>
      <c r="D510" s="35"/>
      <c r="E510" s="35"/>
      <c r="F510" s="35"/>
      <c r="G510" s="35"/>
      <c r="V510" s="37">
        <f t="shared" si="1"/>
        <v>0</v>
      </c>
    </row>
    <row r="511">
      <c r="A511" s="35"/>
      <c r="B511" s="35"/>
      <c r="C511" s="35"/>
      <c r="D511" s="35"/>
      <c r="E511" s="35"/>
      <c r="F511" s="35"/>
      <c r="G511" s="35"/>
      <c r="V511" s="37">
        <f t="shared" si="1"/>
        <v>0</v>
      </c>
    </row>
    <row r="512">
      <c r="A512" s="35"/>
      <c r="B512" s="35"/>
      <c r="C512" s="35"/>
      <c r="D512" s="35"/>
      <c r="E512" s="35"/>
      <c r="F512" s="35"/>
      <c r="G512" s="35"/>
      <c r="V512" s="37">
        <f t="shared" si="1"/>
        <v>0</v>
      </c>
    </row>
    <row r="513">
      <c r="A513" s="35"/>
      <c r="B513" s="35"/>
      <c r="C513" s="35"/>
      <c r="D513" s="35"/>
      <c r="E513" s="35"/>
      <c r="F513" s="35"/>
      <c r="G513" s="35"/>
      <c r="V513" s="37">
        <f t="shared" si="1"/>
        <v>0</v>
      </c>
    </row>
    <row r="514">
      <c r="A514" s="35"/>
      <c r="B514" s="35"/>
      <c r="C514" s="35"/>
      <c r="D514" s="35"/>
      <c r="E514" s="35"/>
      <c r="F514" s="35"/>
      <c r="G514" s="35"/>
      <c r="V514" s="37">
        <f t="shared" si="1"/>
        <v>0</v>
      </c>
    </row>
    <row r="515">
      <c r="A515" s="35"/>
      <c r="B515" s="35"/>
      <c r="C515" s="35"/>
      <c r="D515" s="35"/>
      <c r="E515" s="35"/>
      <c r="F515" s="35"/>
      <c r="G515" s="35"/>
      <c r="V515" s="37">
        <f t="shared" si="1"/>
        <v>0</v>
      </c>
    </row>
    <row r="516">
      <c r="A516" s="35"/>
      <c r="B516" s="35"/>
      <c r="C516" s="35"/>
      <c r="D516" s="35"/>
      <c r="E516" s="35"/>
      <c r="F516" s="35"/>
      <c r="G516" s="35"/>
      <c r="V516" s="37">
        <f t="shared" si="1"/>
        <v>0</v>
      </c>
    </row>
    <row r="517">
      <c r="A517" s="35"/>
      <c r="B517" s="35"/>
      <c r="C517" s="35"/>
      <c r="D517" s="35"/>
      <c r="E517" s="35"/>
      <c r="F517" s="35"/>
      <c r="G517" s="35"/>
      <c r="V517" s="37">
        <f t="shared" si="1"/>
        <v>0</v>
      </c>
    </row>
    <row r="518">
      <c r="A518" s="35"/>
      <c r="B518" s="35"/>
      <c r="C518" s="35"/>
      <c r="D518" s="35"/>
      <c r="E518" s="35"/>
      <c r="F518" s="35"/>
      <c r="G518" s="35"/>
      <c r="V518" s="37">
        <f t="shared" si="1"/>
        <v>0</v>
      </c>
    </row>
    <row r="519">
      <c r="A519" s="35"/>
      <c r="B519" s="35"/>
      <c r="C519" s="35"/>
      <c r="D519" s="35"/>
      <c r="E519" s="35"/>
      <c r="F519" s="35"/>
      <c r="G519" s="35"/>
      <c r="V519" s="37">
        <f t="shared" si="1"/>
        <v>0</v>
      </c>
    </row>
    <row r="520">
      <c r="A520" s="35"/>
      <c r="B520" s="35"/>
      <c r="C520" s="35"/>
      <c r="D520" s="35"/>
      <c r="E520" s="35"/>
      <c r="F520" s="35"/>
      <c r="G520" s="35"/>
      <c r="V520" s="37">
        <f t="shared" si="1"/>
        <v>0</v>
      </c>
    </row>
    <row r="521">
      <c r="A521" s="35"/>
      <c r="B521" s="35"/>
      <c r="C521" s="35"/>
      <c r="D521" s="35"/>
      <c r="E521" s="35"/>
      <c r="F521" s="35"/>
      <c r="G521" s="35"/>
      <c r="V521" s="37">
        <f t="shared" si="1"/>
        <v>0</v>
      </c>
    </row>
    <row r="522">
      <c r="A522" s="35"/>
      <c r="B522" s="35"/>
      <c r="C522" s="35"/>
      <c r="D522" s="35"/>
      <c r="E522" s="35"/>
      <c r="F522" s="35"/>
      <c r="G522" s="35"/>
      <c r="V522" s="37">
        <f t="shared" si="1"/>
        <v>0</v>
      </c>
    </row>
    <row r="523">
      <c r="A523" s="35"/>
      <c r="B523" s="35"/>
      <c r="C523" s="35"/>
      <c r="D523" s="35"/>
      <c r="E523" s="35"/>
      <c r="F523" s="35"/>
      <c r="G523" s="35"/>
      <c r="V523" s="37">
        <f t="shared" si="1"/>
        <v>0</v>
      </c>
    </row>
    <row r="524">
      <c r="A524" s="35"/>
      <c r="B524" s="35"/>
      <c r="C524" s="35"/>
      <c r="D524" s="35"/>
      <c r="E524" s="35"/>
      <c r="F524" s="35"/>
      <c r="G524" s="35"/>
      <c r="V524" s="37">
        <f t="shared" si="1"/>
        <v>0</v>
      </c>
    </row>
    <row r="525">
      <c r="A525" s="35"/>
      <c r="B525" s="35"/>
      <c r="C525" s="35"/>
      <c r="D525" s="35"/>
      <c r="E525" s="35"/>
      <c r="F525" s="35"/>
      <c r="G525" s="35"/>
      <c r="V525" s="37">
        <f t="shared" si="1"/>
        <v>0</v>
      </c>
    </row>
    <row r="526">
      <c r="A526" s="35"/>
      <c r="B526" s="35"/>
      <c r="C526" s="35"/>
      <c r="D526" s="35"/>
      <c r="E526" s="35"/>
      <c r="F526" s="35"/>
      <c r="G526" s="35"/>
      <c r="V526" s="37">
        <f t="shared" si="1"/>
        <v>0</v>
      </c>
    </row>
    <row r="527">
      <c r="A527" s="35"/>
      <c r="B527" s="35"/>
      <c r="C527" s="35"/>
      <c r="D527" s="35"/>
      <c r="E527" s="35"/>
      <c r="F527" s="35"/>
      <c r="G527" s="35"/>
      <c r="V527" s="37">
        <f t="shared" si="1"/>
        <v>0</v>
      </c>
    </row>
    <row r="528">
      <c r="A528" s="35"/>
      <c r="B528" s="35"/>
      <c r="C528" s="35"/>
      <c r="D528" s="35"/>
      <c r="E528" s="35"/>
      <c r="F528" s="35"/>
      <c r="G528" s="35"/>
      <c r="V528" s="37">
        <f t="shared" si="1"/>
        <v>0</v>
      </c>
    </row>
    <row r="529">
      <c r="A529" s="35"/>
      <c r="B529" s="35"/>
      <c r="C529" s="35"/>
      <c r="D529" s="35"/>
      <c r="E529" s="35"/>
      <c r="F529" s="35"/>
      <c r="G529" s="35"/>
      <c r="V529" s="37">
        <f t="shared" si="1"/>
        <v>0</v>
      </c>
    </row>
    <row r="530">
      <c r="A530" s="35"/>
      <c r="B530" s="35"/>
      <c r="C530" s="35"/>
      <c r="D530" s="35"/>
      <c r="E530" s="35"/>
      <c r="F530" s="35"/>
      <c r="G530" s="35"/>
      <c r="V530" s="37">
        <f t="shared" si="1"/>
        <v>0</v>
      </c>
    </row>
    <row r="531">
      <c r="A531" s="35"/>
      <c r="B531" s="35"/>
      <c r="C531" s="35"/>
      <c r="D531" s="35"/>
      <c r="E531" s="35"/>
      <c r="F531" s="35"/>
      <c r="G531" s="35"/>
      <c r="V531" s="37">
        <f t="shared" si="1"/>
        <v>0</v>
      </c>
    </row>
    <row r="532">
      <c r="A532" s="35"/>
      <c r="B532" s="35"/>
      <c r="C532" s="35"/>
      <c r="D532" s="35"/>
      <c r="E532" s="35"/>
      <c r="F532" s="35"/>
      <c r="G532" s="35"/>
      <c r="V532" s="37">
        <f t="shared" si="1"/>
        <v>0</v>
      </c>
    </row>
    <row r="533">
      <c r="A533" s="35"/>
      <c r="B533" s="35"/>
      <c r="C533" s="35"/>
      <c r="D533" s="35"/>
      <c r="E533" s="35"/>
      <c r="F533" s="35"/>
      <c r="G533" s="35"/>
      <c r="V533" s="37">
        <f t="shared" si="1"/>
        <v>0</v>
      </c>
    </row>
    <row r="534">
      <c r="A534" s="35"/>
      <c r="B534" s="35"/>
      <c r="C534" s="35"/>
      <c r="D534" s="35"/>
      <c r="E534" s="35"/>
      <c r="F534" s="35"/>
      <c r="G534" s="35"/>
      <c r="V534" s="37">
        <f t="shared" si="1"/>
        <v>0</v>
      </c>
    </row>
    <row r="535">
      <c r="A535" s="35"/>
      <c r="B535" s="35"/>
      <c r="C535" s="35"/>
      <c r="D535" s="35"/>
      <c r="E535" s="35"/>
      <c r="F535" s="35"/>
      <c r="G535" s="35"/>
      <c r="V535" s="37">
        <f t="shared" si="1"/>
        <v>0</v>
      </c>
    </row>
    <row r="536">
      <c r="A536" s="35"/>
      <c r="B536" s="35"/>
      <c r="C536" s="35"/>
      <c r="D536" s="35"/>
      <c r="E536" s="35"/>
      <c r="F536" s="35"/>
      <c r="G536" s="35"/>
      <c r="V536" s="37">
        <f t="shared" si="1"/>
        <v>0</v>
      </c>
    </row>
    <row r="537">
      <c r="A537" s="35"/>
      <c r="B537" s="35"/>
      <c r="C537" s="35"/>
      <c r="D537" s="35"/>
      <c r="E537" s="35"/>
      <c r="F537" s="35"/>
      <c r="G537" s="35"/>
      <c r="V537" s="37">
        <f t="shared" si="1"/>
        <v>0</v>
      </c>
    </row>
    <row r="538">
      <c r="A538" s="35"/>
      <c r="B538" s="35"/>
      <c r="C538" s="35"/>
      <c r="D538" s="35"/>
      <c r="E538" s="35"/>
      <c r="F538" s="35"/>
      <c r="G538" s="35"/>
      <c r="V538" s="37">
        <f t="shared" si="1"/>
        <v>0</v>
      </c>
    </row>
    <row r="539">
      <c r="A539" s="35"/>
      <c r="B539" s="35"/>
      <c r="C539" s="35"/>
      <c r="D539" s="35"/>
      <c r="E539" s="35"/>
      <c r="F539" s="35"/>
      <c r="G539" s="35"/>
      <c r="V539" s="37">
        <f t="shared" si="1"/>
        <v>0</v>
      </c>
    </row>
    <row r="540">
      <c r="A540" s="35"/>
      <c r="B540" s="35"/>
      <c r="C540" s="35"/>
      <c r="D540" s="35"/>
      <c r="E540" s="35"/>
      <c r="F540" s="35"/>
      <c r="G540" s="35"/>
      <c r="V540" s="37">
        <f t="shared" si="1"/>
        <v>0</v>
      </c>
    </row>
    <row r="541">
      <c r="A541" s="35"/>
      <c r="B541" s="35"/>
      <c r="C541" s="35"/>
      <c r="D541" s="35"/>
      <c r="E541" s="35"/>
      <c r="F541" s="35"/>
      <c r="G541" s="35"/>
      <c r="V541" s="37">
        <f t="shared" si="1"/>
        <v>0</v>
      </c>
    </row>
    <row r="542">
      <c r="A542" s="35"/>
      <c r="B542" s="35"/>
      <c r="C542" s="35"/>
      <c r="D542" s="35"/>
      <c r="E542" s="35"/>
      <c r="F542" s="35"/>
      <c r="G542" s="35"/>
      <c r="V542" s="37">
        <f t="shared" si="1"/>
        <v>0</v>
      </c>
    </row>
    <row r="543">
      <c r="A543" s="35"/>
      <c r="B543" s="35"/>
      <c r="C543" s="35"/>
      <c r="D543" s="35"/>
      <c r="E543" s="35"/>
      <c r="F543" s="35"/>
      <c r="G543" s="35"/>
      <c r="V543" s="37">
        <f t="shared" si="1"/>
        <v>0</v>
      </c>
    </row>
    <row r="544">
      <c r="A544" s="35"/>
      <c r="B544" s="35"/>
      <c r="C544" s="35"/>
      <c r="D544" s="35"/>
      <c r="E544" s="35"/>
      <c r="F544" s="35"/>
      <c r="G544" s="35"/>
      <c r="V544" s="37">
        <f t="shared" si="1"/>
        <v>0</v>
      </c>
    </row>
    <row r="545">
      <c r="A545" s="35"/>
      <c r="B545" s="35"/>
      <c r="C545" s="35"/>
      <c r="D545" s="35"/>
      <c r="E545" s="35"/>
      <c r="F545" s="35"/>
      <c r="G545" s="35"/>
      <c r="V545" s="37">
        <f t="shared" si="1"/>
        <v>0</v>
      </c>
    </row>
    <row r="546">
      <c r="A546" s="35"/>
      <c r="B546" s="35"/>
      <c r="C546" s="35"/>
      <c r="D546" s="35"/>
      <c r="E546" s="35"/>
      <c r="F546" s="35"/>
      <c r="G546" s="35"/>
      <c r="V546" s="37">
        <f t="shared" si="1"/>
        <v>0</v>
      </c>
    </row>
    <row r="547">
      <c r="A547" s="35"/>
      <c r="B547" s="35"/>
      <c r="C547" s="35"/>
      <c r="D547" s="35"/>
      <c r="E547" s="35"/>
      <c r="F547" s="35"/>
      <c r="G547" s="35"/>
      <c r="V547" s="37">
        <f t="shared" si="1"/>
        <v>0</v>
      </c>
    </row>
    <row r="548">
      <c r="A548" s="35"/>
      <c r="B548" s="35"/>
      <c r="C548" s="35"/>
      <c r="D548" s="35"/>
      <c r="E548" s="35"/>
      <c r="F548" s="35"/>
      <c r="G548" s="35"/>
      <c r="V548" s="37">
        <f t="shared" si="1"/>
        <v>0</v>
      </c>
    </row>
    <row r="549">
      <c r="A549" s="35"/>
      <c r="B549" s="35"/>
      <c r="C549" s="35"/>
      <c r="D549" s="35"/>
      <c r="E549" s="35"/>
      <c r="F549" s="35"/>
      <c r="G549" s="35"/>
      <c r="V549" s="37">
        <f t="shared" si="1"/>
        <v>0</v>
      </c>
    </row>
    <row r="550">
      <c r="A550" s="35"/>
      <c r="B550" s="35"/>
      <c r="C550" s="35"/>
      <c r="D550" s="35"/>
      <c r="E550" s="35"/>
      <c r="F550" s="35"/>
      <c r="G550" s="35"/>
      <c r="V550" s="37">
        <f t="shared" si="1"/>
        <v>0</v>
      </c>
    </row>
    <row r="551">
      <c r="A551" s="35"/>
      <c r="B551" s="35"/>
      <c r="C551" s="35"/>
      <c r="D551" s="35"/>
      <c r="E551" s="35"/>
      <c r="F551" s="35"/>
      <c r="G551" s="35"/>
      <c r="V551" s="37">
        <f t="shared" si="1"/>
        <v>0</v>
      </c>
    </row>
    <row r="552">
      <c r="A552" s="35"/>
      <c r="B552" s="35"/>
      <c r="C552" s="35"/>
      <c r="D552" s="35"/>
      <c r="E552" s="35"/>
      <c r="F552" s="35"/>
      <c r="G552" s="35"/>
      <c r="V552" s="37">
        <f t="shared" si="1"/>
        <v>0</v>
      </c>
    </row>
    <row r="553">
      <c r="A553" s="35"/>
      <c r="B553" s="35"/>
      <c r="C553" s="35"/>
      <c r="D553" s="35"/>
      <c r="E553" s="35"/>
      <c r="F553" s="35"/>
      <c r="G553" s="35"/>
      <c r="V553" s="37">
        <f t="shared" si="1"/>
        <v>0</v>
      </c>
    </row>
    <row r="554">
      <c r="A554" s="35"/>
      <c r="B554" s="35"/>
      <c r="C554" s="35"/>
      <c r="D554" s="35"/>
      <c r="E554" s="35"/>
      <c r="F554" s="35"/>
      <c r="G554" s="35"/>
      <c r="V554" s="37">
        <f t="shared" si="1"/>
        <v>0</v>
      </c>
    </row>
    <row r="555">
      <c r="A555" s="35"/>
      <c r="B555" s="35"/>
      <c r="C555" s="35"/>
      <c r="D555" s="35"/>
      <c r="E555" s="35"/>
      <c r="F555" s="35"/>
      <c r="G555" s="35"/>
      <c r="V555" s="37">
        <f t="shared" si="1"/>
        <v>0</v>
      </c>
    </row>
    <row r="556">
      <c r="A556" s="35"/>
      <c r="B556" s="35"/>
      <c r="C556" s="35"/>
      <c r="D556" s="35"/>
      <c r="E556" s="35"/>
      <c r="F556" s="35"/>
      <c r="G556" s="35"/>
      <c r="V556" s="37">
        <f t="shared" si="1"/>
        <v>0</v>
      </c>
    </row>
    <row r="557">
      <c r="A557" s="35"/>
      <c r="B557" s="35"/>
      <c r="C557" s="35"/>
      <c r="D557" s="35"/>
      <c r="E557" s="35"/>
      <c r="F557" s="35"/>
      <c r="G557" s="35"/>
      <c r="V557" s="37">
        <f t="shared" si="1"/>
        <v>0</v>
      </c>
    </row>
    <row r="558">
      <c r="A558" s="35"/>
      <c r="B558" s="35"/>
      <c r="C558" s="35"/>
      <c r="D558" s="35"/>
      <c r="E558" s="35"/>
      <c r="F558" s="35"/>
      <c r="G558" s="35"/>
      <c r="V558" s="37">
        <f t="shared" si="1"/>
        <v>0</v>
      </c>
    </row>
    <row r="559">
      <c r="A559" s="35"/>
      <c r="B559" s="35"/>
      <c r="C559" s="35"/>
      <c r="D559" s="35"/>
      <c r="E559" s="35"/>
      <c r="F559" s="35"/>
      <c r="G559" s="35"/>
      <c r="V559" s="37">
        <f t="shared" si="1"/>
        <v>0</v>
      </c>
    </row>
    <row r="560">
      <c r="A560" s="35"/>
      <c r="B560" s="35"/>
      <c r="C560" s="35"/>
      <c r="D560" s="35"/>
      <c r="E560" s="35"/>
      <c r="F560" s="35"/>
      <c r="G560" s="35"/>
      <c r="V560" s="37">
        <f t="shared" si="1"/>
        <v>0</v>
      </c>
    </row>
    <row r="561">
      <c r="A561" s="35"/>
      <c r="B561" s="35"/>
      <c r="C561" s="35"/>
      <c r="D561" s="35"/>
      <c r="E561" s="35"/>
      <c r="F561" s="35"/>
      <c r="G561" s="35"/>
      <c r="V561" s="37">
        <f t="shared" si="1"/>
        <v>0</v>
      </c>
    </row>
    <row r="562">
      <c r="A562" s="35"/>
      <c r="B562" s="35"/>
      <c r="C562" s="35"/>
      <c r="D562" s="35"/>
      <c r="E562" s="35"/>
      <c r="F562" s="35"/>
      <c r="G562" s="35"/>
      <c r="V562" s="37">
        <f t="shared" si="1"/>
        <v>0</v>
      </c>
    </row>
    <row r="563">
      <c r="A563" s="35"/>
      <c r="B563" s="35"/>
      <c r="C563" s="35"/>
      <c r="D563" s="35"/>
      <c r="E563" s="35"/>
      <c r="F563" s="35"/>
      <c r="G563" s="35"/>
      <c r="V563" s="37">
        <f t="shared" si="1"/>
        <v>0</v>
      </c>
    </row>
    <row r="564">
      <c r="A564" s="35"/>
      <c r="B564" s="35"/>
      <c r="C564" s="35"/>
      <c r="D564" s="35"/>
      <c r="E564" s="35"/>
      <c r="F564" s="35"/>
      <c r="G564" s="35"/>
      <c r="V564" s="37">
        <f t="shared" si="1"/>
        <v>0</v>
      </c>
    </row>
    <row r="565">
      <c r="A565" s="35"/>
      <c r="B565" s="35"/>
      <c r="C565" s="35"/>
      <c r="D565" s="35"/>
      <c r="E565" s="35"/>
      <c r="F565" s="35"/>
      <c r="G565" s="35"/>
      <c r="V565" s="37">
        <f t="shared" si="1"/>
        <v>0</v>
      </c>
    </row>
    <row r="566">
      <c r="A566" s="35"/>
      <c r="B566" s="35"/>
      <c r="C566" s="35"/>
      <c r="D566" s="35"/>
      <c r="E566" s="35"/>
      <c r="F566" s="35"/>
      <c r="G566" s="35"/>
      <c r="V566" s="37">
        <f t="shared" si="1"/>
        <v>0</v>
      </c>
    </row>
    <row r="567">
      <c r="A567" s="35"/>
      <c r="B567" s="35"/>
      <c r="C567" s="35"/>
      <c r="D567" s="35"/>
      <c r="E567" s="35"/>
      <c r="F567" s="35"/>
      <c r="G567" s="35"/>
      <c r="V567" s="37">
        <f t="shared" si="1"/>
        <v>0</v>
      </c>
    </row>
    <row r="568">
      <c r="A568" s="35"/>
      <c r="B568" s="35"/>
      <c r="C568" s="35"/>
      <c r="D568" s="35"/>
      <c r="E568" s="35"/>
      <c r="F568" s="35"/>
      <c r="G568" s="35"/>
      <c r="V568" s="37">
        <f t="shared" si="1"/>
        <v>0</v>
      </c>
    </row>
    <row r="569">
      <c r="A569" s="35"/>
      <c r="B569" s="35"/>
      <c r="C569" s="35"/>
      <c r="D569" s="35"/>
      <c r="E569" s="35"/>
      <c r="F569" s="35"/>
      <c r="G569" s="35"/>
      <c r="V569" s="37">
        <f t="shared" si="1"/>
        <v>0</v>
      </c>
    </row>
    <row r="570">
      <c r="A570" s="35"/>
      <c r="B570" s="35"/>
      <c r="C570" s="35"/>
      <c r="D570" s="35"/>
      <c r="E570" s="35"/>
      <c r="F570" s="35"/>
      <c r="G570" s="35"/>
      <c r="V570" s="37">
        <f t="shared" si="1"/>
        <v>0</v>
      </c>
    </row>
    <row r="571">
      <c r="A571" s="35"/>
      <c r="B571" s="35"/>
      <c r="C571" s="35"/>
      <c r="D571" s="35"/>
      <c r="E571" s="35"/>
      <c r="F571" s="35"/>
      <c r="G571" s="35"/>
      <c r="V571" s="37">
        <f t="shared" si="1"/>
        <v>0</v>
      </c>
    </row>
    <row r="572">
      <c r="A572" s="35"/>
      <c r="B572" s="35"/>
      <c r="C572" s="35"/>
      <c r="D572" s="35"/>
      <c r="E572" s="35"/>
      <c r="F572" s="35"/>
      <c r="G572" s="35"/>
      <c r="V572" s="37">
        <f t="shared" si="1"/>
        <v>0</v>
      </c>
    </row>
    <row r="573">
      <c r="A573" s="35"/>
      <c r="B573" s="35"/>
      <c r="C573" s="35"/>
      <c r="D573" s="35"/>
      <c r="E573" s="35"/>
      <c r="F573" s="35"/>
      <c r="G573" s="35"/>
      <c r="V573" s="37">
        <f t="shared" si="1"/>
        <v>0</v>
      </c>
    </row>
    <row r="574">
      <c r="A574" s="35"/>
      <c r="B574" s="35"/>
      <c r="C574" s="35"/>
      <c r="D574" s="35"/>
      <c r="E574" s="35"/>
      <c r="F574" s="35"/>
      <c r="G574" s="35"/>
      <c r="V574" s="37">
        <f t="shared" si="1"/>
        <v>0</v>
      </c>
    </row>
    <row r="575">
      <c r="A575" s="35"/>
      <c r="B575" s="35"/>
      <c r="C575" s="35"/>
      <c r="D575" s="35"/>
      <c r="E575" s="35"/>
      <c r="F575" s="35"/>
      <c r="G575" s="35"/>
      <c r="V575" s="37">
        <f t="shared" si="1"/>
        <v>0</v>
      </c>
    </row>
    <row r="576">
      <c r="A576" s="35"/>
      <c r="B576" s="35"/>
      <c r="C576" s="35"/>
      <c r="D576" s="35"/>
      <c r="E576" s="35"/>
      <c r="F576" s="35"/>
      <c r="G576" s="35"/>
      <c r="V576" s="37">
        <f t="shared" si="1"/>
        <v>0</v>
      </c>
    </row>
    <row r="577">
      <c r="A577" s="35"/>
      <c r="B577" s="35"/>
      <c r="C577" s="35"/>
      <c r="D577" s="35"/>
      <c r="E577" s="35"/>
      <c r="F577" s="35"/>
      <c r="G577" s="35"/>
      <c r="V577" s="37">
        <f t="shared" si="1"/>
        <v>0</v>
      </c>
    </row>
    <row r="578">
      <c r="A578" s="35"/>
      <c r="B578" s="35"/>
      <c r="C578" s="35"/>
      <c r="D578" s="35"/>
      <c r="E578" s="35"/>
      <c r="F578" s="35"/>
      <c r="G578" s="35"/>
      <c r="V578" s="37">
        <f t="shared" si="1"/>
        <v>0</v>
      </c>
    </row>
    <row r="579">
      <c r="A579" s="35"/>
      <c r="B579" s="35"/>
      <c r="C579" s="35"/>
      <c r="D579" s="35"/>
      <c r="E579" s="35"/>
      <c r="F579" s="35"/>
      <c r="G579" s="35"/>
      <c r="V579" s="37">
        <f t="shared" si="1"/>
        <v>0</v>
      </c>
    </row>
    <row r="580">
      <c r="A580" s="35"/>
      <c r="B580" s="35"/>
      <c r="C580" s="35"/>
      <c r="D580" s="35"/>
      <c r="E580" s="35"/>
      <c r="F580" s="35"/>
      <c r="G580" s="35"/>
      <c r="V580" s="37">
        <f t="shared" si="1"/>
        <v>0</v>
      </c>
    </row>
    <row r="581">
      <c r="A581" s="35"/>
      <c r="B581" s="35"/>
      <c r="C581" s="35"/>
      <c r="D581" s="35"/>
      <c r="E581" s="35"/>
      <c r="F581" s="35"/>
      <c r="G581" s="35"/>
      <c r="V581" s="37">
        <f t="shared" si="1"/>
        <v>0</v>
      </c>
    </row>
    <row r="582">
      <c r="A582" s="35"/>
      <c r="B582" s="35"/>
      <c r="C582" s="35"/>
      <c r="D582" s="35"/>
      <c r="E582" s="35"/>
      <c r="F582" s="35"/>
      <c r="G582" s="35"/>
      <c r="V582" s="37">
        <f t="shared" si="1"/>
        <v>0</v>
      </c>
    </row>
    <row r="583">
      <c r="A583" s="35"/>
      <c r="B583" s="35"/>
      <c r="C583" s="35"/>
      <c r="D583" s="35"/>
      <c r="E583" s="35"/>
      <c r="F583" s="35"/>
      <c r="G583" s="35"/>
      <c r="V583" s="37">
        <f t="shared" si="1"/>
        <v>0</v>
      </c>
    </row>
    <row r="584">
      <c r="A584" s="35"/>
      <c r="B584" s="35"/>
      <c r="C584" s="35"/>
      <c r="D584" s="35"/>
      <c r="E584" s="35"/>
      <c r="F584" s="35"/>
      <c r="G584" s="35"/>
      <c r="V584" s="37">
        <f t="shared" si="1"/>
        <v>0</v>
      </c>
    </row>
    <row r="585">
      <c r="A585" s="35"/>
      <c r="B585" s="35"/>
      <c r="C585" s="35"/>
      <c r="D585" s="35"/>
      <c r="E585" s="35"/>
      <c r="F585" s="35"/>
      <c r="G585" s="35"/>
      <c r="V585" s="37">
        <f t="shared" si="1"/>
        <v>0</v>
      </c>
    </row>
    <row r="586">
      <c r="A586" s="35"/>
      <c r="B586" s="35"/>
      <c r="C586" s="35"/>
      <c r="D586" s="35"/>
      <c r="E586" s="35"/>
      <c r="F586" s="35"/>
      <c r="G586" s="35"/>
      <c r="V586" s="37">
        <f t="shared" si="1"/>
        <v>0</v>
      </c>
    </row>
    <row r="587">
      <c r="A587" s="35"/>
      <c r="B587" s="35"/>
      <c r="C587" s="35"/>
      <c r="D587" s="35"/>
      <c r="E587" s="35"/>
      <c r="F587" s="35"/>
      <c r="G587" s="35"/>
      <c r="V587" s="37">
        <f t="shared" si="1"/>
        <v>0</v>
      </c>
    </row>
    <row r="588">
      <c r="A588" s="35"/>
      <c r="B588" s="35"/>
      <c r="C588" s="35"/>
      <c r="D588" s="35"/>
      <c r="E588" s="35"/>
      <c r="F588" s="35"/>
      <c r="G588" s="35"/>
      <c r="V588" s="37">
        <f t="shared" si="1"/>
        <v>0</v>
      </c>
    </row>
    <row r="589">
      <c r="A589" s="35"/>
      <c r="B589" s="35"/>
      <c r="C589" s="35"/>
      <c r="D589" s="35"/>
      <c r="E589" s="35"/>
      <c r="F589" s="35"/>
      <c r="G589" s="35"/>
      <c r="V589" s="37">
        <f t="shared" si="1"/>
        <v>0</v>
      </c>
    </row>
    <row r="590">
      <c r="A590" s="35"/>
      <c r="B590" s="35"/>
      <c r="C590" s="35"/>
      <c r="D590" s="35"/>
      <c r="E590" s="35"/>
      <c r="F590" s="35"/>
      <c r="G590" s="35"/>
      <c r="V590" s="37">
        <f t="shared" si="1"/>
        <v>0</v>
      </c>
    </row>
    <row r="591">
      <c r="A591" s="35"/>
      <c r="B591" s="35"/>
      <c r="C591" s="35"/>
      <c r="D591" s="35"/>
      <c r="E591" s="35"/>
      <c r="F591" s="35"/>
      <c r="G591" s="35"/>
      <c r="V591" s="37">
        <f t="shared" si="1"/>
        <v>0</v>
      </c>
    </row>
    <row r="592">
      <c r="A592" s="35"/>
      <c r="B592" s="35"/>
      <c r="C592" s="35"/>
      <c r="D592" s="35"/>
      <c r="E592" s="35"/>
      <c r="F592" s="35"/>
      <c r="G592" s="35"/>
      <c r="V592" s="37">
        <f t="shared" si="1"/>
        <v>0</v>
      </c>
    </row>
    <row r="593">
      <c r="A593" s="35"/>
      <c r="B593" s="35"/>
      <c r="C593" s="35"/>
      <c r="D593" s="35"/>
      <c r="E593" s="35"/>
      <c r="F593" s="35"/>
      <c r="G593" s="35"/>
      <c r="V593" s="37">
        <f t="shared" si="1"/>
        <v>0</v>
      </c>
    </row>
    <row r="594">
      <c r="A594" s="35"/>
      <c r="B594" s="35"/>
      <c r="C594" s="35"/>
      <c r="D594" s="35"/>
      <c r="E594" s="35"/>
      <c r="F594" s="35"/>
      <c r="G594" s="35"/>
      <c r="V594" s="37">
        <f t="shared" si="1"/>
        <v>0</v>
      </c>
    </row>
    <row r="595">
      <c r="A595" s="35"/>
      <c r="B595" s="35"/>
      <c r="C595" s="35"/>
      <c r="D595" s="35"/>
      <c r="E595" s="35"/>
      <c r="F595" s="35"/>
      <c r="G595" s="35"/>
      <c r="V595" s="37">
        <f t="shared" si="1"/>
        <v>0</v>
      </c>
    </row>
    <row r="596">
      <c r="A596" s="35"/>
      <c r="B596" s="35"/>
      <c r="C596" s="35"/>
      <c r="D596" s="35"/>
      <c r="E596" s="35"/>
      <c r="F596" s="35"/>
      <c r="G596" s="35"/>
      <c r="V596" s="37">
        <f t="shared" si="1"/>
        <v>0</v>
      </c>
    </row>
    <row r="597">
      <c r="A597" s="35"/>
      <c r="B597" s="35"/>
      <c r="C597" s="35"/>
      <c r="D597" s="35"/>
      <c r="E597" s="35"/>
      <c r="F597" s="35"/>
      <c r="G597" s="35"/>
      <c r="V597" s="37">
        <f t="shared" si="1"/>
        <v>0</v>
      </c>
    </row>
    <row r="598">
      <c r="A598" s="35"/>
      <c r="B598" s="35"/>
      <c r="C598" s="35"/>
      <c r="D598" s="35"/>
      <c r="E598" s="35"/>
      <c r="F598" s="35"/>
      <c r="G598" s="35"/>
      <c r="V598" s="37">
        <f t="shared" si="1"/>
        <v>0</v>
      </c>
    </row>
    <row r="599">
      <c r="A599" s="35"/>
      <c r="B599" s="35"/>
      <c r="C599" s="35"/>
      <c r="D599" s="35"/>
      <c r="E599" s="35"/>
      <c r="F599" s="35"/>
      <c r="G599" s="35"/>
      <c r="V599" s="37">
        <f t="shared" si="1"/>
        <v>0</v>
      </c>
    </row>
    <row r="600">
      <c r="A600" s="35"/>
      <c r="B600" s="35"/>
      <c r="C600" s="35"/>
      <c r="D600" s="35"/>
      <c r="E600" s="35"/>
      <c r="F600" s="35"/>
      <c r="G600" s="35"/>
      <c r="V600" s="37">
        <f t="shared" si="1"/>
        <v>0</v>
      </c>
    </row>
    <row r="601">
      <c r="A601" s="35"/>
      <c r="B601" s="35"/>
      <c r="C601" s="35"/>
      <c r="D601" s="35"/>
      <c r="E601" s="35"/>
      <c r="F601" s="35"/>
      <c r="G601" s="35"/>
      <c r="V601" s="37">
        <f t="shared" si="1"/>
        <v>0</v>
      </c>
    </row>
    <row r="602">
      <c r="A602" s="35"/>
      <c r="B602" s="35"/>
      <c r="C602" s="35"/>
      <c r="D602" s="35"/>
      <c r="E602" s="35"/>
      <c r="F602" s="35"/>
      <c r="G602" s="35"/>
      <c r="V602" s="37">
        <f t="shared" si="1"/>
        <v>0</v>
      </c>
    </row>
    <row r="603">
      <c r="A603" s="35"/>
      <c r="B603" s="35"/>
      <c r="C603" s="35"/>
      <c r="D603" s="35"/>
      <c r="E603" s="35"/>
      <c r="F603" s="35"/>
      <c r="G603" s="35"/>
      <c r="V603" s="37">
        <f t="shared" si="1"/>
        <v>0</v>
      </c>
    </row>
    <row r="604">
      <c r="A604" s="35"/>
      <c r="B604" s="35"/>
      <c r="C604" s="35"/>
      <c r="D604" s="35"/>
      <c r="E604" s="35"/>
      <c r="F604" s="35"/>
      <c r="G604" s="35"/>
      <c r="V604" s="37">
        <f t="shared" si="1"/>
        <v>0</v>
      </c>
    </row>
    <row r="605">
      <c r="A605" s="35"/>
      <c r="B605" s="35"/>
      <c r="C605" s="35"/>
      <c r="D605" s="35"/>
      <c r="E605" s="35"/>
      <c r="F605" s="35"/>
      <c r="G605" s="35"/>
      <c r="V605" s="37">
        <f t="shared" si="1"/>
        <v>0</v>
      </c>
    </row>
    <row r="606">
      <c r="A606" s="35"/>
      <c r="B606" s="35"/>
      <c r="C606" s="35"/>
      <c r="D606" s="35"/>
      <c r="E606" s="35"/>
      <c r="F606" s="35"/>
      <c r="G606" s="35"/>
      <c r="V606" s="37">
        <f t="shared" si="1"/>
        <v>0</v>
      </c>
    </row>
    <row r="607">
      <c r="A607" s="35"/>
      <c r="B607" s="35"/>
      <c r="C607" s="35"/>
      <c r="D607" s="35"/>
      <c r="E607" s="35"/>
      <c r="F607" s="35"/>
      <c r="G607" s="35"/>
      <c r="V607" s="37">
        <f t="shared" si="1"/>
        <v>0</v>
      </c>
    </row>
    <row r="608">
      <c r="A608" s="35"/>
      <c r="B608" s="35"/>
      <c r="C608" s="35"/>
      <c r="D608" s="35"/>
      <c r="E608" s="35"/>
      <c r="F608" s="35"/>
      <c r="G608" s="35"/>
      <c r="V608" s="37">
        <f t="shared" si="1"/>
        <v>0</v>
      </c>
    </row>
    <row r="609">
      <c r="A609" s="35"/>
      <c r="B609" s="35"/>
      <c r="C609" s="35"/>
      <c r="D609" s="35"/>
      <c r="E609" s="35"/>
      <c r="F609" s="35"/>
      <c r="G609" s="35"/>
      <c r="V609" s="37">
        <f t="shared" si="1"/>
        <v>0</v>
      </c>
    </row>
    <row r="610">
      <c r="A610" s="35"/>
      <c r="B610" s="35"/>
      <c r="C610" s="35"/>
      <c r="D610" s="35"/>
      <c r="E610" s="35"/>
      <c r="F610" s="35"/>
      <c r="G610" s="35"/>
      <c r="V610" s="37">
        <f t="shared" si="1"/>
        <v>0</v>
      </c>
    </row>
    <row r="611">
      <c r="A611" s="35"/>
      <c r="B611" s="35"/>
      <c r="C611" s="35"/>
      <c r="D611" s="35"/>
      <c r="E611" s="35"/>
      <c r="F611" s="35"/>
      <c r="G611" s="35"/>
      <c r="V611" s="37">
        <f t="shared" si="1"/>
        <v>0</v>
      </c>
    </row>
    <row r="612">
      <c r="A612" s="35"/>
      <c r="B612" s="35"/>
      <c r="C612" s="35"/>
      <c r="D612" s="35"/>
      <c r="E612" s="35"/>
      <c r="F612" s="35"/>
      <c r="G612" s="35"/>
      <c r="V612" s="37">
        <f t="shared" si="1"/>
        <v>0</v>
      </c>
    </row>
    <row r="613">
      <c r="A613" s="35"/>
      <c r="B613" s="35"/>
      <c r="C613" s="35"/>
      <c r="D613" s="35"/>
      <c r="E613" s="35"/>
      <c r="F613" s="35"/>
      <c r="G613" s="35"/>
      <c r="V613" s="37">
        <f t="shared" si="1"/>
        <v>0</v>
      </c>
    </row>
    <row r="614">
      <c r="A614" s="35"/>
      <c r="B614" s="35"/>
      <c r="C614" s="35"/>
      <c r="D614" s="35"/>
      <c r="E614" s="35"/>
      <c r="F614" s="35"/>
      <c r="G614" s="35"/>
      <c r="V614" s="37">
        <f t="shared" si="1"/>
        <v>0</v>
      </c>
    </row>
    <row r="615">
      <c r="A615" s="35"/>
      <c r="B615" s="35"/>
      <c r="C615" s="35"/>
      <c r="D615" s="35"/>
      <c r="E615" s="35"/>
      <c r="F615" s="35"/>
      <c r="G615" s="35"/>
      <c r="V615" s="37">
        <f t="shared" si="1"/>
        <v>0</v>
      </c>
    </row>
    <row r="616">
      <c r="A616" s="35"/>
      <c r="B616" s="35"/>
      <c r="C616" s="35"/>
      <c r="D616" s="35"/>
      <c r="E616" s="35"/>
      <c r="F616" s="35"/>
      <c r="G616" s="35"/>
      <c r="V616" s="37">
        <f t="shared" si="1"/>
        <v>0</v>
      </c>
    </row>
    <row r="617">
      <c r="A617" s="35"/>
      <c r="B617" s="35"/>
      <c r="C617" s="35"/>
      <c r="D617" s="35"/>
      <c r="E617" s="35"/>
      <c r="F617" s="35"/>
      <c r="G617" s="35"/>
      <c r="V617" s="37">
        <f t="shared" si="1"/>
        <v>0</v>
      </c>
    </row>
    <row r="618">
      <c r="A618" s="35"/>
      <c r="B618" s="35"/>
      <c r="C618" s="35"/>
      <c r="D618" s="35"/>
      <c r="E618" s="35"/>
      <c r="F618" s="35"/>
      <c r="G618" s="35"/>
      <c r="V618" s="37">
        <f t="shared" si="1"/>
        <v>0</v>
      </c>
    </row>
    <row r="619">
      <c r="A619" s="35"/>
      <c r="B619" s="35"/>
      <c r="C619" s="35"/>
      <c r="D619" s="35"/>
      <c r="E619" s="35"/>
      <c r="F619" s="35"/>
      <c r="G619" s="35"/>
      <c r="V619" s="37">
        <f t="shared" si="1"/>
        <v>0</v>
      </c>
    </row>
    <row r="620">
      <c r="A620" s="35"/>
      <c r="B620" s="35"/>
      <c r="C620" s="35"/>
      <c r="D620" s="35"/>
      <c r="E620" s="35"/>
      <c r="F620" s="35"/>
      <c r="G620" s="35"/>
      <c r="V620" s="37">
        <f t="shared" si="1"/>
        <v>0</v>
      </c>
    </row>
    <row r="621">
      <c r="A621" s="35"/>
      <c r="B621" s="35"/>
      <c r="C621" s="35"/>
      <c r="D621" s="35"/>
      <c r="E621" s="35"/>
      <c r="F621" s="35"/>
      <c r="G621" s="35"/>
      <c r="V621" s="37">
        <f t="shared" si="1"/>
        <v>0</v>
      </c>
    </row>
    <row r="622">
      <c r="A622" s="35"/>
      <c r="B622" s="35"/>
      <c r="C622" s="35"/>
      <c r="D622" s="35"/>
      <c r="E622" s="35"/>
      <c r="F622" s="35"/>
      <c r="G622" s="35"/>
      <c r="V622" s="37">
        <f t="shared" si="1"/>
        <v>0</v>
      </c>
    </row>
    <row r="623">
      <c r="A623" s="35"/>
      <c r="B623" s="35"/>
      <c r="C623" s="35"/>
      <c r="D623" s="35"/>
      <c r="E623" s="35"/>
      <c r="F623" s="35"/>
      <c r="G623" s="35"/>
      <c r="V623" s="37">
        <f t="shared" si="1"/>
        <v>0</v>
      </c>
    </row>
    <row r="624">
      <c r="A624" s="35"/>
      <c r="B624" s="35"/>
      <c r="C624" s="35"/>
      <c r="D624" s="35"/>
      <c r="E624" s="35"/>
      <c r="F624" s="35"/>
      <c r="G624" s="35"/>
      <c r="V624" s="37">
        <f t="shared" si="1"/>
        <v>0</v>
      </c>
    </row>
    <row r="625">
      <c r="A625" s="35"/>
      <c r="B625" s="35"/>
      <c r="C625" s="35"/>
      <c r="D625" s="35"/>
      <c r="E625" s="35"/>
      <c r="F625" s="35"/>
      <c r="G625" s="35"/>
      <c r="V625" s="37">
        <f t="shared" si="1"/>
        <v>0</v>
      </c>
    </row>
    <row r="626">
      <c r="A626" s="35"/>
      <c r="B626" s="35"/>
      <c r="C626" s="35"/>
      <c r="D626" s="35"/>
      <c r="E626" s="35"/>
      <c r="F626" s="35"/>
      <c r="G626" s="35"/>
      <c r="V626" s="37">
        <f t="shared" si="1"/>
        <v>0</v>
      </c>
    </row>
    <row r="627">
      <c r="A627" s="35"/>
      <c r="B627" s="35"/>
      <c r="C627" s="35"/>
      <c r="D627" s="35"/>
      <c r="E627" s="35"/>
      <c r="F627" s="35"/>
      <c r="G627" s="35"/>
      <c r="V627" s="37">
        <f t="shared" si="1"/>
        <v>0</v>
      </c>
    </row>
    <row r="628">
      <c r="A628" s="35"/>
      <c r="B628" s="35"/>
      <c r="C628" s="35"/>
      <c r="D628" s="35"/>
      <c r="E628" s="35"/>
      <c r="F628" s="35"/>
      <c r="G628" s="35"/>
      <c r="V628" s="37">
        <f t="shared" si="1"/>
        <v>0</v>
      </c>
    </row>
    <row r="629">
      <c r="A629" s="35"/>
      <c r="B629" s="35"/>
      <c r="C629" s="35"/>
      <c r="D629" s="35"/>
      <c r="E629" s="35"/>
      <c r="F629" s="35"/>
      <c r="G629" s="35"/>
      <c r="V629" s="37">
        <f t="shared" si="1"/>
        <v>0</v>
      </c>
    </row>
    <row r="630">
      <c r="A630" s="35"/>
      <c r="B630" s="35"/>
      <c r="C630" s="35"/>
      <c r="D630" s="35"/>
      <c r="E630" s="35"/>
      <c r="F630" s="35"/>
      <c r="G630" s="35"/>
      <c r="V630" s="37">
        <f t="shared" si="1"/>
        <v>0</v>
      </c>
    </row>
    <row r="631">
      <c r="A631" s="35"/>
      <c r="B631" s="35"/>
      <c r="C631" s="35"/>
      <c r="D631" s="35"/>
      <c r="E631" s="35"/>
      <c r="F631" s="35"/>
      <c r="G631" s="35"/>
      <c r="V631" s="37">
        <f t="shared" si="1"/>
        <v>0</v>
      </c>
    </row>
    <row r="632">
      <c r="A632" s="35"/>
      <c r="B632" s="35"/>
      <c r="C632" s="35"/>
      <c r="D632" s="35"/>
      <c r="E632" s="35"/>
      <c r="F632" s="35"/>
      <c r="G632" s="35"/>
      <c r="V632" s="37">
        <f t="shared" si="1"/>
        <v>0</v>
      </c>
    </row>
    <row r="633">
      <c r="A633" s="35"/>
      <c r="B633" s="35"/>
      <c r="C633" s="35"/>
      <c r="D633" s="35"/>
      <c r="E633" s="35"/>
      <c r="F633" s="35"/>
      <c r="G633" s="35"/>
      <c r="V633" s="37">
        <f t="shared" si="1"/>
        <v>0</v>
      </c>
    </row>
    <row r="634">
      <c r="A634" s="35"/>
      <c r="B634" s="35"/>
      <c r="C634" s="35"/>
      <c r="D634" s="35"/>
      <c r="E634" s="35"/>
      <c r="F634" s="35"/>
      <c r="G634" s="35"/>
      <c r="V634" s="37">
        <f t="shared" si="1"/>
        <v>0</v>
      </c>
    </row>
    <row r="635">
      <c r="A635" s="35"/>
      <c r="B635" s="35"/>
      <c r="C635" s="35"/>
      <c r="D635" s="35"/>
      <c r="E635" s="35"/>
      <c r="F635" s="35"/>
      <c r="G635" s="35"/>
      <c r="V635" s="37">
        <f t="shared" si="1"/>
        <v>0</v>
      </c>
    </row>
    <row r="636">
      <c r="A636" s="35"/>
      <c r="B636" s="35"/>
      <c r="C636" s="35"/>
      <c r="D636" s="35"/>
      <c r="E636" s="35"/>
      <c r="F636" s="35"/>
      <c r="G636" s="35"/>
      <c r="V636" s="37">
        <f t="shared" si="1"/>
        <v>0</v>
      </c>
    </row>
    <row r="637">
      <c r="A637" s="35"/>
      <c r="B637" s="35"/>
      <c r="C637" s="35"/>
      <c r="D637" s="35"/>
      <c r="E637" s="35"/>
      <c r="F637" s="35"/>
      <c r="G637" s="35"/>
      <c r="V637" s="37">
        <f t="shared" si="1"/>
        <v>0</v>
      </c>
    </row>
    <row r="638">
      <c r="A638" s="35"/>
      <c r="B638" s="35"/>
      <c r="C638" s="35"/>
      <c r="D638" s="35"/>
      <c r="E638" s="35"/>
      <c r="F638" s="35"/>
      <c r="G638" s="35"/>
      <c r="V638" s="37">
        <f t="shared" si="1"/>
        <v>0</v>
      </c>
    </row>
    <row r="639">
      <c r="A639" s="35"/>
      <c r="B639" s="35"/>
      <c r="C639" s="35"/>
      <c r="D639" s="35"/>
      <c r="E639" s="35"/>
      <c r="F639" s="35"/>
      <c r="G639" s="35"/>
      <c r="V639" s="37">
        <f t="shared" si="1"/>
        <v>0</v>
      </c>
    </row>
    <row r="640">
      <c r="A640" s="35"/>
      <c r="B640" s="35"/>
      <c r="C640" s="35"/>
      <c r="D640" s="35"/>
      <c r="E640" s="35"/>
      <c r="F640" s="35"/>
      <c r="G640" s="35"/>
      <c r="V640" s="37">
        <f t="shared" si="1"/>
        <v>0</v>
      </c>
    </row>
    <row r="641">
      <c r="A641" s="35"/>
      <c r="B641" s="35"/>
      <c r="C641" s="35"/>
      <c r="D641" s="35"/>
      <c r="E641" s="35"/>
      <c r="F641" s="35"/>
      <c r="G641" s="35"/>
      <c r="V641" s="37">
        <f t="shared" si="1"/>
        <v>0</v>
      </c>
    </row>
    <row r="642">
      <c r="A642" s="35"/>
      <c r="B642" s="35"/>
      <c r="C642" s="35"/>
      <c r="D642" s="35"/>
      <c r="E642" s="35"/>
      <c r="F642" s="35"/>
      <c r="G642" s="35"/>
      <c r="V642" s="37">
        <f t="shared" si="1"/>
        <v>0</v>
      </c>
    </row>
    <row r="643">
      <c r="A643" s="35"/>
      <c r="B643" s="35"/>
      <c r="C643" s="35"/>
      <c r="D643" s="35"/>
      <c r="E643" s="35"/>
      <c r="F643" s="35"/>
      <c r="G643" s="35"/>
      <c r="V643" s="37">
        <f t="shared" si="1"/>
        <v>0</v>
      </c>
    </row>
    <row r="644">
      <c r="A644" s="35"/>
      <c r="B644" s="35"/>
      <c r="C644" s="35"/>
      <c r="D644" s="35"/>
      <c r="E644" s="35"/>
      <c r="F644" s="35"/>
      <c r="G644" s="35"/>
      <c r="V644" s="37">
        <f t="shared" si="1"/>
        <v>0</v>
      </c>
    </row>
    <row r="645">
      <c r="A645" s="35"/>
      <c r="B645" s="35"/>
      <c r="C645" s="35"/>
      <c r="D645" s="35"/>
      <c r="E645" s="35"/>
      <c r="F645" s="35"/>
      <c r="G645" s="35"/>
      <c r="V645" s="37">
        <f t="shared" si="1"/>
        <v>0</v>
      </c>
    </row>
    <row r="646">
      <c r="A646" s="35"/>
      <c r="B646" s="35"/>
      <c r="C646" s="35"/>
      <c r="D646" s="35"/>
      <c r="E646" s="35"/>
      <c r="F646" s="35"/>
      <c r="G646" s="35"/>
      <c r="V646" s="37">
        <f t="shared" si="1"/>
        <v>0</v>
      </c>
    </row>
    <row r="647">
      <c r="A647" s="35"/>
      <c r="B647" s="35"/>
      <c r="C647" s="35"/>
      <c r="D647" s="35"/>
      <c r="E647" s="35"/>
      <c r="F647" s="35"/>
      <c r="G647" s="35"/>
      <c r="V647" s="37">
        <f t="shared" si="1"/>
        <v>0</v>
      </c>
    </row>
    <row r="648">
      <c r="A648" s="35"/>
      <c r="B648" s="35"/>
      <c r="C648" s="35"/>
      <c r="D648" s="35"/>
      <c r="E648" s="35"/>
      <c r="F648" s="35"/>
      <c r="G648" s="35"/>
      <c r="V648" s="37">
        <f t="shared" si="1"/>
        <v>0</v>
      </c>
    </row>
    <row r="649">
      <c r="A649" s="35"/>
      <c r="B649" s="35"/>
      <c r="C649" s="35"/>
      <c r="D649" s="35"/>
      <c r="E649" s="35"/>
      <c r="F649" s="35"/>
      <c r="G649" s="35"/>
      <c r="V649" s="37">
        <f t="shared" si="1"/>
        <v>0</v>
      </c>
    </row>
    <row r="650">
      <c r="A650" s="35"/>
      <c r="B650" s="35"/>
      <c r="C650" s="35"/>
      <c r="D650" s="35"/>
      <c r="E650" s="35"/>
      <c r="F650" s="35"/>
      <c r="G650" s="35"/>
      <c r="V650" s="37">
        <f t="shared" si="1"/>
        <v>0</v>
      </c>
    </row>
    <row r="651">
      <c r="A651" s="35"/>
      <c r="B651" s="35"/>
      <c r="C651" s="35"/>
      <c r="D651" s="35"/>
      <c r="E651" s="35"/>
      <c r="F651" s="35"/>
      <c r="G651" s="35"/>
      <c r="V651" s="37">
        <f t="shared" si="1"/>
        <v>0</v>
      </c>
    </row>
    <row r="652">
      <c r="A652" s="35"/>
      <c r="B652" s="35"/>
      <c r="C652" s="35"/>
      <c r="D652" s="35"/>
      <c r="E652" s="35"/>
      <c r="F652" s="35"/>
      <c r="G652" s="35"/>
      <c r="V652" s="37">
        <f t="shared" si="1"/>
        <v>0</v>
      </c>
    </row>
    <row r="653">
      <c r="A653" s="35"/>
      <c r="B653" s="35"/>
      <c r="C653" s="35"/>
      <c r="D653" s="35"/>
      <c r="E653" s="35"/>
      <c r="F653" s="35"/>
      <c r="G653" s="35"/>
      <c r="V653" s="37">
        <f t="shared" si="1"/>
        <v>0</v>
      </c>
    </row>
    <row r="654">
      <c r="A654" s="35"/>
      <c r="B654" s="35"/>
      <c r="C654" s="35"/>
      <c r="D654" s="35"/>
      <c r="E654" s="35"/>
      <c r="F654" s="35"/>
      <c r="G654" s="35"/>
      <c r="V654" s="37">
        <f t="shared" si="1"/>
        <v>0</v>
      </c>
    </row>
    <row r="655">
      <c r="A655" s="35"/>
      <c r="B655" s="35"/>
      <c r="C655" s="35"/>
      <c r="D655" s="35"/>
      <c r="E655" s="35"/>
      <c r="F655" s="35"/>
      <c r="G655" s="35"/>
      <c r="V655" s="37">
        <f t="shared" si="1"/>
        <v>0</v>
      </c>
    </row>
    <row r="656">
      <c r="A656" s="35"/>
      <c r="B656" s="35"/>
      <c r="C656" s="35"/>
      <c r="D656" s="35"/>
      <c r="E656" s="35"/>
      <c r="F656" s="35"/>
      <c r="G656" s="35"/>
      <c r="V656" s="37">
        <f t="shared" si="1"/>
        <v>0</v>
      </c>
    </row>
    <row r="657">
      <c r="A657" s="35"/>
      <c r="B657" s="35"/>
      <c r="C657" s="35"/>
      <c r="D657" s="35"/>
      <c r="E657" s="35"/>
      <c r="F657" s="35"/>
      <c r="G657" s="35"/>
      <c r="V657" s="37">
        <f t="shared" si="1"/>
        <v>0</v>
      </c>
    </row>
    <row r="658">
      <c r="A658" s="35"/>
      <c r="B658" s="35"/>
      <c r="C658" s="35"/>
      <c r="D658" s="35"/>
      <c r="E658" s="35"/>
      <c r="F658" s="35"/>
      <c r="G658" s="35"/>
      <c r="V658" s="37">
        <f t="shared" si="1"/>
        <v>0</v>
      </c>
    </row>
    <row r="659">
      <c r="A659" s="35"/>
      <c r="B659" s="35"/>
      <c r="C659" s="35"/>
      <c r="D659" s="35"/>
      <c r="E659" s="35"/>
      <c r="F659" s="35"/>
      <c r="G659" s="35"/>
      <c r="V659" s="37">
        <f t="shared" si="1"/>
        <v>0</v>
      </c>
    </row>
    <row r="660">
      <c r="A660" s="35"/>
      <c r="B660" s="35"/>
      <c r="C660" s="35"/>
      <c r="D660" s="35"/>
      <c r="E660" s="35"/>
      <c r="F660" s="35"/>
      <c r="G660" s="35"/>
      <c r="V660" s="37">
        <f t="shared" si="1"/>
        <v>0</v>
      </c>
    </row>
    <row r="661">
      <c r="A661" s="35"/>
      <c r="B661" s="35"/>
      <c r="C661" s="35"/>
      <c r="D661" s="35"/>
      <c r="E661" s="35"/>
      <c r="F661" s="35"/>
      <c r="G661" s="35"/>
      <c r="V661" s="37">
        <f t="shared" si="1"/>
        <v>0</v>
      </c>
    </row>
    <row r="662">
      <c r="A662" s="35"/>
      <c r="B662" s="35"/>
      <c r="C662" s="35"/>
      <c r="D662" s="35"/>
      <c r="E662" s="35"/>
      <c r="F662" s="35"/>
      <c r="G662" s="35"/>
      <c r="V662" s="37">
        <f t="shared" si="1"/>
        <v>0</v>
      </c>
    </row>
    <row r="663">
      <c r="A663" s="35"/>
      <c r="B663" s="35"/>
      <c r="C663" s="35"/>
      <c r="D663" s="35"/>
      <c r="E663" s="35"/>
      <c r="F663" s="35"/>
      <c r="G663" s="35"/>
      <c r="V663" s="37">
        <f t="shared" si="1"/>
        <v>0</v>
      </c>
    </row>
    <row r="664">
      <c r="A664" s="35"/>
      <c r="B664" s="35"/>
      <c r="C664" s="35"/>
      <c r="D664" s="35"/>
      <c r="E664" s="35"/>
      <c r="F664" s="35"/>
      <c r="G664" s="35"/>
      <c r="V664" s="37">
        <f t="shared" si="1"/>
        <v>0</v>
      </c>
    </row>
    <row r="665">
      <c r="A665" s="35"/>
      <c r="B665" s="35"/>
      <c r="C665" s="35"/>
      <c r="D665" s="35"/>
      <c r="E665" s="35"/>
      <c r="F665" s="35"/>
      <c r="G665" s="35"/>
      <c r="V665" s="37">
        <f t="shared" si="1"/>
        <v>0</v>
      </c>
    </row>
    <row r="666">
      <c r="A666" s="35"/>
      <c r="B666" s="35"/>
      <c r="C666" s="35"/>
      <c r="D666" s="35"/>
      <c r="E666" s="35"/>
      <c r="F666" s="35"/>
      <c r="G666" s="35"/>
      <c r="V666" s="37">
        <f t="shared" si="1"/>
        <v>0</v>
      </c>
    </row>
    <row r="667">
      <c r="A667" s="35"/>
      <c r="B667" s="35"/>
      <c r="C667" s="35"/>
      <c r="D667" s="35"/>
      <c r="E667" s="35"/>
      <c r="F667" s="35"/>
      <c r="G667" s="35"/>
      <c r="V667" s="37">
        <f t="shared" si="1"/>
        <v>0</v>
      </c>
    </row>
    <row r="668">
      <c r="A668" s="35"/>
      <c r="B668" s="35"/>
      <c r="C668" s="35"/>
      <c r="D668" s="35"/>
      <c r="E668" s="35"/>
      <c r="F668" s="35"/>
      <c r="G668" s="35"/>
      <c r="V668" s="37">
        <f t="shared" si="1"/>
        <v>0</v>
      </c>
    </row>
    <row r="669">
      <c r="A669" s="35"/>
      <c r="B669" s="35"/>
      <c r="C669" s="35"/>
      <c r="D669" s="35"/>
      <c r="E669" s="35"/>
      <c r="F669" s="35"/>
      <c r="G669" s="35"/>
      <c r="V669" s="37">
        <f t="shared" si="1"/>
        <v>0</v>
      </c>
    </row>
    <row r="670">
      <c r="A670" s="35"/>
      <c r="B670" s="35"/>
      <c r="C670" s="35"/>
      <c r="D670" s="35"/>
      <c r="E670" s="35"/>
      <c r="F670" s="35"/>
      <c r="G670" s="35"/>
      <c r="V670" s="37">
        <f t="shared" si="1"/>
        <v>0</v>
      </c>
    </row>
    <row r="671">
      <c r="A671" s="35"/>
      <c r="B671" s="35"/>
      <c r="C671" s="35"/>
      <c r="D671" s="35"/>
      <c r="E671" s="35"/>
      <c r="F671" s="35"/>
      <c r="G671" s="35"/>
      <c r="V671" s="37">
        <f t="shared" si="1"/>
        <v>0</v>
      </c>
    </row>
    <row r="672">
      <c r="A672" s="35"/>
      <c r="B672" s="35"/>
      <c r="C672" s="35"/>
      <c r="D672" s="35"/>
      <c r="E672" s="35"/>
      <c r="F672" s="35"/>
      <c r="G672" s="35"/>
      <c r="V672" s="37">
        <f t="shared" si="1"/>
        <v>0</v>
      </c>
    </row>
    <row r="673">
      <c r="A673" s="35"/>
      <c r="B673" s="35"/>
      <c r="C673" s="35"/>
      <c r="D673" s="35"/>
      <c r="E673" s="35"/>
      <c r="F673" s="35"/>
      <c r="G673" s="35"/>
      <c r="V673" s="37">
        <f t="shared" si="1"/>
        <v>0</v>
      </c>
    </row>
    <row r="674">
      <c r="A674" s="35"/>
      <c r="B674" s="35"/>
      <c r="C674" s="35"/>
      <c r="D674" s="35"/>
      <c r="E674" s="35"/>
      <c r="F674" s="35"/>
      <c r="G674" s="35"/>
      <c r="V674" s="37">
        <f t="shared" si="1"/>
        <v>0</v>
      </c>
    </row>
    <row r="675">
      <c r="A675" s="35"/>
      <c r="B675" s="35"/>
      <c r="C675" s="35"/>
      <c r="D675" s="35"/>
      <c r="E675" s="35"/>
      <c r="F675" s="35"/>
      <c r="G675" s="35"/>
      <c r="V675" s="37">
        <f t="shared" si="1"/>
        <v>0</v>
      </c>
    </row>
    <row r="676">
      <c r="A676" s="35"/>
      <c r="B676" s="35"/>
      <c r="C676" s="35"/>
      <c r="D676" s="35"/>
      <c r="E676" s="35"/>
      <c r="F676" s="35"/>
      <c r="G676" s="35"/>
      <c r="V676" s="37">
        <f t="shared" si="1"/>
        <v>0</v>
      </c>
    </row>
    <row r="677">
      <c r="A677" s="35"/>
      <c r="B677" s="35"/>
      <c r="C677" s="35"/>
      <c r="D677" s="35"/>
      <c r="E677" s="35"/>
      <c r="F677" s="35"/>
      <c r="G677" s="35"/>
      <c r="V677" s="37">
        <f t="shared" si="1"/>
        <v>0</v>
      </c>
    </row>
    <row r="678">
      <c r="A678" s="35"/>
      <c r="B678" s="35"/>
      <c r="C678" s="35"/>
      <c r="D678" s="35"/>
      <c r="E678" s="35"/>
      <c r="F678" s="35"/>
      <c r="G678" s="35"/>
      <c r="V678" s="37">
        <f t="shared" si="1"/>
        <v>0</v>
      </c>
    </row>
    <row r="679">
      <c r="A679" s="35"/>
      <c r="B679" s="35"/>
      <c r="C679" s="35"/>
      <c r="D679" s="35"/>
      <c r="E679" s="35"/>
      <c r="F679" s="35"/>
      <c r="G679" s="35"/>
      <c r="V679" s="37">
        <f t="shared" si="1"/>
        <v>0</v>
      </c>
    </row>
    <row r="680">
      <c r="A680" s="35"/>
      <c r="B680" s="35"/>
      <c r="C680" s="35"/>
      <c r="D680" s="35"/>
      <c r="E680" s="35"/>
      <c r="F680" s="35"/>
      <c r="G680" s="35"/>
      <c r="V680" s="37">
        <f t="shared" si="1"/>
        <v>0</v>
      </c>
    </row>
    <row r="681">
      <c r="A681" s="35"/>
      <c r="B681" s="35"/>
      <c r="C681" s="35"/>
      <c r="D681" s="35"/>
      <c r="E681" s="35"/>
      <c r="F681" s="35"/>
      <c r="G681" s="35"/>
      <c r="V681" s="37">
        <f t="shared" si="1"/>
        <v>0</v>
      </c>
    </row>
    <row r="682">
      <c r="A682" s="35"/>
      <c r="B682" s="35"/>
      <c r="C682" s="35"/>
      <c r="D682" s="35"/>
      <c r="E682" s="35"/>
      <c r="F682" s="35"/>
      <c r="G682" s="35"/>
      <c r="V682" s="37">
        <f t="shared" si="1"/>
        <v>0</v>
      </c>
    </row>
    <row r="683">
      <c r="A683" s="35"/>
      <c r="B683" s="35"/>
      <c r="C683" s="35"/>
      <c r="D683" s="35"/>
      <c r="E683" s="35"/>
      <c r="F683" s="35"/>
      <c r="G683" s="35"/>
      <c r="V683" s="37">
        <f t="shared" si="1"/>
        <v>0</v>
      </c>
    </row>
    <row r="684">
      <c r="A684" s="35"/>
      <c r="B684" s="35"/>
      <c r="C684" s="35"/>
      <c r="D684" s="35"/>
      <c r="E684" s="35"/>
      <c r="F684" s="35"/>
      <c r="G684" s="35"/>
      <c r="V684" s="37">
        <f t="shared" si="1"/>
        <v>0</v>
      </c>
    </row>
    <row r="685">
      <c r="A685" s="35"/>
      <c r="B685" s="35"/>
      <c r="C685" s="35"/>
      <c r="D685" s="35"/>
      <c r="E685" s="35"/>
      <c r="F685" s="35"/>
      <c r="G685" s="35"/>
      <c r="V685" s="37">
        <f t="shared" si="1"/>
        <v>0</v>
      </c>
    </row>
    <row r="686">
      <c r="A686" s="35"/>
      <c r="B686" s="35"/>
      <c r="C686" s="35"/>
      <c r="D686" s="35"/>
      <c r="E686" s="35"/>
      <c r="F686" s="35"/>
      <c r="G686" s="35"/>
      <c r="V686" s="37">
        <f t="shared" si="1"/>
        <v>0</v>
      </c>
    </row>
    <row r="687">
      <c r="A687" s="35"/>
      <c r="B687" s="35"/>
      <c r="C687" s="35"/>
      <c r="D687" s="35"/>
      <c r="E687" s="35"/>
      <c r="F687" s="35"/>
      <c r="G687" s="35"/>
      <c r="V687" s="37">
        <f t="shared" si="1"/>
        <v>0</v>
      </c>
    </row>
    <row r="688">
      <c r="A688" s="35"/>
      <c r="B688" s="35"/>
      <c r="C688" s="35"/>
      <c r="D688" s="35"/>
      <c r="E688" s="35"/>
      <c r="F688" s="35"/>
      <c r="G688" s="35"/>
      <c r="V688" s="37">
        <f t="shared" si="1"/>
        <v>0</v>
      </c>
    </row>
    <row r="689">
      <c r="A689" s="35"/>
      <c r="B689" s="35"/>
      <c r="C689" s="35"/>
      <c r="D689" s="35"/>
      <c r="E689" s="35"/>
      <c r="F689" s="35"/>
      <c r="G689" s="35"/>
      <c r="V689" s="37">
        <f t="shared" si="1"/>
        <v>0</v>
      </c>
    </row>
    <row r="690">
      <c r="A690" s="35"/>
      <c r="B690" s="35"/>
      <c r="C690" s="35"/>
      <c r="D690" s="35"/>
      <c r="E690" s="35"/>
      <c r="F690" s="35"/>
      <c r="G690" s="35"/>
      <c r="V690" s="37">
        <f t="shared" si="1"/>
        <v>0</v>
      </c>
    </row>
    <row r="691">
      <c r="A691" s="35"/>
      <c r="B691" s="35"/>
      <c r="C691" s="35"/>
      <c r="D691" s="35"/>
      <c r="E691" s="35"/>
      <c r="F691" s="35"/>
      <c r="G691" s="35"/>
      <c r="V691" s="37">
        <f t="shared" si="1"/>
        <v>0</v>
      </c>
    </row>
    <row r="692">
      <c r="A692" s="35"/>
      <c r="B692" s="35"/>
      <c r="C692" s="35"/>
      <c r="D692" s="35"/>
      <c r="E692" s="35"/>
      <c r="F692" s="35"/>
      <c r="G692" s="35"/>
      <c r="V692" s="37">
        <f t="shared" si="1"/>
        <v>0</v>
      </c>
    </row>
    <row r="693">
      <c r="A693" s="35"/>
      <c r="B693" s="35"/>
      <c r="C693" s="35"/>
      <c r="D693" s="35"/>
      <c r="E693" s="35"/>
      <c r="F693" s="35"/>
      <c r="G693" s="35"/>
      <c r="V693" s="37">
        <f t="shared" si="1"/>
        <v>0</v>
      </c>
    </row>
    <row r="694">
      <c r="A694" s="35"/>
      <c r="B694" s="35"/>
      <c r="C694" s="35"/>
      <c r="D694" s="35"/>
      <c r="E694" s="35"/>
      <c r="F694" s="35"/>
      <c r="G694" s="35"/>
      <c r="V694" s="37">
        <f t="shared" si="1"/>
        <v>0</v>
      </c>
    </row>
    <row r="695">
      <c r="A695" s="35"/>
      <c r="B695" s="35"/>
      <c r="C695" s="35"/>
      <c r="D695" s="35"/>
      <c r="E695" s="35"/>
      <c r="F695" s="35"/>
      <c r="G695" s="35"/>
      <c r="V695" s="37">
        <f t="shared" si="1"/>
        <v>0</v>
      </c>
    </row>
    <row r="696">
      <c r="A696" s="35"/>
      <c r="B696" s="35"/>
      <c r="C696" s="35"/>
      <c r="D696" s="35"/>
      <c r="E696" s="35"/>
      <c r="F696" s="35"/>
      <c r="G696" s="35"/>
      <c r="V696" s="37">
        <f t="shared" si="1"/>
        <v>0</v>
      </c>
    </row>
    <row r="697">
      <c r="A697" s="35"/>
      <c r="B697" s="35"/>
      <c r="C697" s="35"/>
      <c r="D697" s="35"/>
      <c r="E697" s="35"/>
      <c r="F697" s="35"/>
      <c r="G697" s="35"/>
      <c r="V697" s="37">
        <f t="shared" si="1"/>
        <v>0</v>
      </c>
    </row>
    <row r="698">
      <c r="A698" s="35"/>
      <c r="B698" s="35"/>
      <c r="C698" s="35"/>
      <c r="D698" s="35"/>
      <c r="E698" s="35"/>
      <c r="F698" s="35"/>
      <c r="G698" s="35"/>
      <c r="V698" s="37">
        <f t="shared" si="1"/>
        <v>0</v>
      </c>
    </row>
    <row r="699">
      <c r="A699" s="35"/>
      <c r="B699" s="35"/>
      <c r="C699" s="35"/>
      <c r="D699" s="35"/>
      <c r="E699" s="35"/>
      <c r="F699" s="35"/>
      <c r="G699" s="35"/>
      <c r="V699" s="37">
        <f t="shared" si="1"/>
        <v>0</v>
      </c>
    </row>
    <row r="700">
      <c r="A700" s="35"/>
      <c r="B700" s="35"/>
      <c r="C700" s="35"/>
      <c r="D700" s="35"/>
      <c r="E700" s="35"/>
      <c r="F700" s="35"/>
      <c r="G700" s="35"/>
      <c r="V700" s="37">
        <f t="shared" si="1"/>
        <v>0</v>
      </c>
    </row>
    <row r="701">
      <c r="A701" s="35"/>
      <c r="B701" s="35"/>
      <c r="C701" s="35"/>
      <c r="D701" s="35"/>
      <c r="E701" s="35"/>
      <c r="F701" s="35"/>
      <c r="G701" s="35"/>
      <c r="V701" s="37">
        <f t="shared" si="1"/>
        <v>0</v>
      </c>
    </row>
    <row r="702">
      <c r="A702" s="35"/>
      <c r="B702" s="35"/>
      <c r="C702" s="35"/>
      <c r="D702" s="35"/>
      <c r="E702" s="35"/>
      <c r="F702" s="35"/>
      <c r="G702" s="35"/>
      <c r="V702" s="37">
        <f t="shared" si="1"/>
        <v>0</v>
      </c>
    </row>
    <row r="703">
      <c r="A703" s="35"/>
      <c r="B703" s="35"/>
      <c r="C703" s="35"/>
      <c r="D703" s="35"/>
      <c r="E703" s="35"/>
      <c r="F703" s="35"/>
      <c r="G703" s="35"/>
      <c r="V703" s="37">
        <f t="shared" si="1"/>
        <v>0</v>
      </c>
    </row>
    <row r="704">
      <c r="A704" s="35"/>
      <c r="B704" s="35"/>
      <c r="C704" s="35"/>
      <c r="D704" s="35"/>
      <c r="E704" s="35"/>
      <c r="F704" s="35"/>
      <c r="G704" s="35"/>
      <c r="V704" s="37">
        <f t="shared" si="1"/>
        <v>0</v>
      </c>
    </row>
    <row r="705">
      <c r="A705" s="35"/>
      <c r="B705" s="35"/>
      <c r="C705" s="35"/>
      <c r="D705" s="35"/>
      <c r="E705" s="35"/>
      <c r="F705" s="35"/>
      <c r="G705" s="35"/>
      <c r="V705" s="37">
        <f t="shared" si="1"/>
        <v>0</v>
      </c>
    </row>
    <row r="706">
      <c r="A706" s="35"/>
      <c r="B706" s="35"/>
      <c r="C706" s="35"/>
      <c r="D706" s="35"/>
      <c r="E706" s="35"/>
      <c r="F706" s="35"/>
      <c r="G706" s="35"/>
      <c r="V706" s="37">
        <f t="shared" si="1"/>
        <v>0</v>
      </c>
    </row>
    <row r="707">
      <c r="A707" s="35"/>
      <c r="B707" s="35"/>
      <c r="C707" s="35"/>
      <c r="D707" s="35"/>
      <c r="E707" s="35"/>
      <c r="F707" s="35"/>
      <c r="G707" s="35"/>
      <c r="V707" s="37">
        <f t="shared" si="1"/>
        <v>0</v>
      </c>
    </row>
    <row r="708">
      <c r="A708" s="35"/>
      <c r="B708" s="35"/>
      <c r="C708" s="35"/>
      <c r="D708" s="35"/>
      <c r="E708" s="35"/>
      <c r="F708" s="35"/>
      <c r="G708" s="35"/>
      <c r="V708" s="37">
        <f t="shared" si="1"/>
        <v>0</v>
      </c>
    </row>
    <row r="709">
      <c r="A709" s="35"/>
      <c r="B709" s="35"/>
      <c r="C709" s="35"/>
      <c r="D709" s="35"/>
      <c r="E709" s="35"/>
      <c r="F709" s="35"/>
      <c r="G709" s="35"/>
      <c r="V709" s="37">
        <f t="shared" si="1"/>
        <v>0</v>
      </c>
    </row>
    <row r="710">
      <c r="A710" s="35"/>
      <c r="B710" s="35"/>
      <c r="C710" s="35"/>
      <c r="D710" s="35"/>
      <c r="E710" s="35"/>
      <c r="F710" s="35"/>
      <c r="G710" s="35"/>
      <c r="V710" s="37">
        <f t="shared" si="1"/>
        <v>0</v>
      </c>
    </row>
    <row r="711">
      <c r="A711" s="35"/>
      <c r="B711" s="35"/>
      <c r="C711" s="35"/>
      <c r="D711" s="35"/>
      <c r="E711" s="35"/>
      <c r="F711" s="35"/>
      <c r="G711" s="35"/>
      <c r="V711" s="37">
        <f t="shared" si="1"/>
        <v>0</v>
      </c>
    </row>
    <row r="712">
      <c r="A712" s="35"/>
      <c r="B712" s="35"/>
      <c r="C712" s="35"/>
      <c r="D712" s="35"/>
      <c r="E712" s="35"/>
      <c r="F712" s="35"/>
      <c r="G712" s="35"/>
      <c r="V712" s="37">
        <f t="shared" si="1"/>
        <v>0</v>
      </c>
    </row>
    <row r="713">
      <c r="A713" s="35"/>
      <c r="B713" s="35"/>
      <c r="C713" s="35"/>
      <c r="D713" s="35"/>
      <c r="E713" s="35"/>
      <c r="F713" s="35"/>
      <c r="G713" s="35"/>
      <c r="V713" s="37">
        <f t="shared" si="1"/>
        <v>0</v>
      </c>
    </row>
    <row r="714">
      <c r="A714" s="35"/>
      <c r="B714" s="35"/>
      <c r="C714" s="35"/>
      <c r="D714" s="35"/>
      <c r="E714" s="35"/>
      <c r="F714" s="35"/>
      <c r="G714" s="35"/>
      <c r="V714" s="37">
        <f t="shared" si="1"/>
        <v>0</v>
      </c>
    </row>
    <row r="715">
      <c r="A715" s="35"/>
      <c r="B715" s="35"/>
      <c r="C715" s="35"/>
      <c r="D715" s="35"/>
      <c r="E715" s="35"/>
      <c r="F715" s="35"/>
      <c r="G715" s="35"/>
      <c r="V715" s="37">
        <f t="shared" si="1"/>
        <v>0</v>
      </c>
    </row>
    <row r="716">
      <c r="A716" s="35"/>
      <c r="B716" s="35"/>
      <c r="C716" s="35"/>
      <c r="D716" s="35"/>
      <c r="E716" s="35"/>
      <c r="F716" s="35"/>
      <c r="G716" s="35"/>
      <c r="V716" s="37">
        <f t="shared" si="1"/>
        <v>0</v>
      </c>
    </row>
    <row r="717">
      <c r="A717" s="35"/>
      <c r="B717" s="35"/>
      <c r="C717" s="35"/>
      <c r="D717" s="35"/>
      <c r="E717" s="35"/>
      <c r="F717" s="35"/>
      <c r="G717" s="35"/>
      <c r="V717" s="37">
        <f t="shared" si="1"/>
        <v>0</v>
      </c>
    </row>
    <row r="718">
      <c r="A718" s="35"/>
      <c r="B718" s="35"/>
      <c r="C718" s="35"/>
      <c r="D718" s="35"/>
      <c r="E718" s="35"/>
      <c r="F718" s="35"/>
      <c r="G718" s="35"/>
      <c r="V718" s="37">
        <f t="shared" si="1"/>
        <v>0</v>
      </c>
    </row>
    <row r="719">
      <c r="A719" s="35"/>
      <c r="B719" s="35"/>
      <c r="C719" s="35"/>
      <c r="D719" s="35"/>
      <c r="E719" s="35"/>
      <c r="F719" s="35"/>
      <c r="G719" s="35"/>
      <c r="V719" s="37">
        <f t="shared" si="1"/>
        <v>0</v>
      </c>
    </row>
    <row r="720">
      <c r="A720" s="35"/>
      <c r="B720" s="35"/>
      <c r="C720" s="35"/>
      <c r="D720" s="35"/>
      <c r="E720" s="35"/>
      <c r="F720" s="35"/>
      <c r="G720" s="35"/>
      <c r="V720" s="37">
        <f t="shared" si="1"/>
        <v>0</v>
      </c>
    </row>
    <row r="721">
      <c r="A721" s="35"/>
      <c r="B721" s="35"/>
      <c r="C721" s="35"/>
      <c r="D721" s="35"/>
      <c r="E721" s="35"/>
      <c r="F721" s="35"/>
      <c r="G721" s="35"/>
      <c r="V721" s="37">
        <f t="shared" si="1"/>
        <v>0</v>
      </c>
    </row>
    <row r="722">
      <c r="A722" s="35"/>
      <c r="B722" s="35"/>
      <c r="C722" s="35"/>
      <c r="D722" s="35"/>
      <c r="E722" s="35"/>
      <c r="F722" s="35"/>
      <c r="G722" s="35"/>
      <c r="V722" s="37">
        <f t="shared" si="1"/>
        <v>0</v>
      </c>
    </row>
    <row r="723">
      <c r="A723" s="35"/>
      <c r="B723" s="35"/>
      <c r="C723" s="35"/>
      <c r="D723" s="35"/>
      <c r="E723" s="35"/>
      <c r="F723" s="35"/>
      <c r="G723" s="35"/>
      <c r="V723" s="37">
        <f t="shared" si="1"/>
        <v>0</v>
      </c>
    </row>
    <row r="724">
      <c r="A724" s="35"/>
      <c r="B724" s="35"/>
      <c r="C724" s="35"/>
      <c r="D724" s="35"/>
      <c r="E724" s="35"/>
      <c r="F724" s="35"/>
      <c r="G724" s="35"/>
      <c r="V724" s="37">
        <f t="shared" si="1"/>
        <v>0</v>
      </c>
    </row>
    <row r="725">
      <c r="A725" s="35"/>
      <c r="B725" s="35"/>
      <c r="C725" s="35"/>
      <c r="D725" s="35"/>
      <c r="E725" s="35"/>
      <c r="F725" s="35"/>
      <c r="G725" s="35"/>
      <c r="V725" s="37">
        <f t="shared" si="1"/>
        <v>0</v>
      </c>
    </row>
    <row r="726">
      <c r="A726" s="35"/>
      <c r="B726" s="35"/>
      <c r="C726" s="35"/>
      <c r="D726" s="35"/>
      <c r="E726" s="35"/>
      <c r="F726" s="35"/>
      <c r="G726" s="35"/>
      <c r="V726" s="37">
        <f t="shared" si="1"/>
        <v>0</v>
      </c>
    </row>
    <row r="727">
      <c r="A727" s="35"/>
      <c r="B727" s="35"/>
      <c r="C727" s="35"/>
      <c r="D727" s="35"/>
      <c r="E727" s="35"/>
      <c r="F727" s="35"/>
      <c r="G727" s="35"/>
      <c r="V727" s="37">
        <f t="shared" si="1"/>
        <v>0</v>
      </c>
    </row>
    <row r="728">
      <c r="A728" s="35"/>
      <c r="B728" s="35"/>
      <c r="C728" s="35"/>
      <c r="D728" s="35"/>
      <c r="E728" s="35"/>
      <c r="F728" s="35"/>
      <c r="G728" s="35"/>
      <c r="V728" s="37">
        <f t="shared" si="1"/>
        <v>0</v>
      </c>
    </row>
    <row r="729">
      <c r="A729" s="35"/>
      <c r="B729" s="35"/>
      <c r="C729" s="35"/>
      <c r="D729" s="35"/>
      <c r="E729" s="35"/>
      <c r="F729" s="35"/>
      <c r="G729" s="35"/>
      <c r="V729" s="37">
        <f t="shared" si="1"/>
        <v>0</v>
      </c>
    </row>
    <row r="730">
      <c r="A730" s="35"/>
      <c r="B730" s="35"/>
      <c r="C730" s="35"/>
      <c r="D730" s="35"/>
      <c r="E730" s="35"/>
      <c r="F730" s="35"/>
      <c r="G730" s="35"/>
      <c r="V730" s="37">
        <f t="shared" si="1"/>
        <v>0</v>
      </c>
    </row>
    <row r="731">
      <c r="A731" s="35"/>
      <c r="B731" s="35"/>
      <c r="C731" s="35"/>
      <c r="D731" s="35"/>
      <c r="E731" s="35"/>
      <c r="F731" s="35"/>
      <c r="G731" s="35"/>
      <c r="V731" s="37">
        <f t="shared" si="1"/>
        <v>0</v>
      </c>
    </row>
    <row r="732">
      <c r="A732" s="35"/>
      <c r="B732" s="35"/>
      <c r="C732" s="35"/>
      <c r="D732" s="35"/>
      <c r="E732" s="35"/>
      <c r="F732" s="35"/>
      <c r="G732" s="35"/>
      <c r="V732" s="37">
        <f t="shared" si="1"/>
        <v>0</v>
      </c>
    </row>
    <row r="733">
      <c r="A733" s="35"/>
      <c r="B733" s="35"/>
      <c r="C733" s="35"/>
      <c r="D733" s="35"/>
      <c r="E733" s="35"/>
      <c r="F733" s="35"/>
      <c r="G733" s="35"/>
      <c r="V733" s="37">
        <f t="shared" si="1"/>
        <v>0</v>
      </c>
    </row>
    <row r="734">
      <c r="A734" s="35"/>
      <c r="B734" s="35"/>
      <c r="C734" s="35"/>
      <c r="D734" s="35"/>
      <c r="E734" s="35"/>
      <c r="F734" s="35"/>
      <c r="G734" s="35"/>
      <c r="V734" s="37">
        <f t="shared" si="1"/>
        <v>0</v>
      </c>
    </row>
    <row r="735">
      <c r="A735" s="35"/>
      <c r="B735" s="35"/>
      <c r="C735" s="35"/>
      <c r="D735" s="35"/>
      <c r="E735" s="35"/>
      <c r="F735" s="35"/>
      <c r="G735" s="35"/>
      <c r="V735" s="37">
        <f t="shared" si="1"/>
        <v>0</v>
      </c>
    </row>
    <row r="736">
      <c r="A736" s="35"/>
      <c r="B736" s="35"/>
      <c r="C736" s="35"/>
      <c r="D736" s="35"/>
      <c r="E736" s="35"/>
      <c r="F736" s="35"/>
      <c r="G736" s="35"/>
      <c r="V736" s="37">
        <f t="shared" si="1"/>
        <v>0</v>
      </c>
    </row>
    <row r="737">
      <c r="A737" s="35"/>
      <c r="B737" s="35"/>
      <c r="C737" s="35"/>
      <c r="D737" s="35"/>
      <c r="E737" s="35"/>
      <c r="F737" s="35"/>
      <c r="G737" s="35"/>
      <c r="V737" s="37">
        <f t="shared" si="1"/>
        <v>0</v>
      </c>
    </row>
    <row r="738">
      <c r="A738" s="35"/>
      <c r="B738" s="35"/>
      <c r="C738" s="35"/>
      <c r="D738" s="35"/>
      <c r="E738" s="35"/>
      <c r="F738" s="35"/>
      <c r="G738" s="35"/>
      <c r="V738" s="37">
        <f t="shared" si="1"/>
        <v>0</v>
      </c>
    </row>
    <row r="739">
      <c r="A739" s="35"/>
      <c r="B739" s="35"/>
      <c r="C739" s="35"/>
      <c r="D739" s="35"/>
      <c r="E739" s="35"/>
      <c r="F739" s="35"/>
      <c r="G739" s="35"/>
      <c r="V739" s="37">
        <f t="shared" si="1"/>
        <v>0</v>
      </c>
    </row>
    <row r="740">
      <c r="A740" s="35"/>
      <c r="B740" s="35"/>
      <c r="C740" s="35"/>
      <c r="D740" s="35"/>
      <c r="E740" s="35"/>
      <c r="F740" s="35"/>
      <c r="G740" s="35"/>
      <c r="V740" s="37">
        <f t="shared" si="1"/>
        <v>0</v>
      </c>
    </row>
    <row r="741">
      <c r="A741" s="35"/>
      <c r="B741" s="35"/>
      <c r="C741" s="35"/>
      <c r="D741" s="35"/>
      <c r="E741" s="35"/>
      <c r="F741" s="35"/>
      <c r="G741" s="35"/>
      <c r="V741" s="37">
        <f t="shared" si="1"/>
        <v>0</v>
      </c>
    </row>
    <row r="742">
      <c r="A742" s="35"/>
      <c r="B742" s="35"/>
      <c r="C742" s="35"/>
      <c r="D742" s="35"/>
      <c r="E742" s="35"/>
      <c r="F742" s="35"/>
      <c r="G742" s="35"/>
      <c r="V742" s="37">
        <f t="shared" si="1"/>
        <v>0</v>
      </c>
    </row>
    <row r="743">
      <c r="A743" s="35"/>
      <c r="B743" s="35"/>
      <c r="C743" s="35"/>
      <c r="D743" s="35"/>
      <c r="E743" s="35"/>
      <c r="F743" s="35"/>
      <c r="G743" s="35"/>
      <c r="V743" s="37">
        <f t="shared" si="1"/>
        <v>0</v>
      </c>
    </row>
    <row r="744">
      <c r="A744" s="35"/>
      <c r="B744" s="35"/>
      <c r="C744" s="35"/>
      <c r="D744" s="35"/>
      <c r="E744" s="35"/>
      <c r="F744" s="35"/>
      <c r="G744" s="35"/>
      <c r="V744" s="37">
        <f t="shared" si="1"/>
        <v>0</v>
      </c>
    </row>
    <row r="745">
      <c r="A745" s="35"/>
      <c r="B745" s="35"/>
      <c r="C745" s="35"/>
      <c r="D745" s="35"/>
      <c r="E745" s="35"/>
      <c r="F745" s="35"/>
      <c r="G745" s="35"/>
      <c r="V745" s="37">
        <f t="shared" si="1"/>
        <v>0</v>
      </c>
    </row>
    <row r="746">
      <c r="A746" s="35"/>
      <c r="B746" s="35"/>
      <c r="C746" s="35"/>
      <c r="D746" s="35"/>
      <c r="E746" s="35"/>
      <c r="F746" s="35"/>
      <c r="G746" s="35"/>
      <c r="V746" s="37">
        <f t="shared" si="1"/>
        <v>0</v>
      </c>
    </row>
    <row r="747">
      <c r="A747" s="35"/>
      <c r="B747" s="35"/>
      <c r="C747" s="35"/>
      <c r="D747" s="35"/>
      <c r="E747" s="35"/>
      <c r="F747" s="35"/>
      <c r="G747" s="35"/>
      <c r="V747" s="37">
        <f t="shared" si="1"/>
        <v>0</v>
      </c>
    </row>
    <row r="748">
      <c r="A748" s="35"/>
      <c r="B748" s="35"/>
      <c r="C748" s="35"/>
      <c r="D748" s="35"/>
      <c r="E748" s="35"/>
      <c r="F748" s="35"/>
      <c r="G748" s="35"/>
      <c r="V748" s="37">
        <f t="shared" si="1"/>
        <v>0</v>
      </c>
    </row>
    <row r="749">
      <c r="A749" s="35"/>
      <c r="B749" s="35"/>
      <c r="C749" s="35"/>
      <c r="D749" s="35"/>
      <c r="E749" s="35"/>
      <c r="F749" s="35"/>
      <c r="G749" s="35"/>
      <c r="V749" s="37">
        <f t="shared" si="1"/>
        <v>0</v>
      </c>
    </row>
    <row r="750">
      <c r="A750" s="35"/>
      <c r="B750" s="35"/>
      <c r="C750" s="35"/>
      <c r="D750" s="35"/>
      <c r="E750" s="35"/>
      <c r="F750" s="35"/>
      <c r="G750" s="35"/>
      <c r="V750" s="37">
        <f t="shared" si="1"/>
        <v>0</v>
      </c>
    </row>
    <row r="751">
      <c r="A751" s="35"/>
      <c r="B751" s="35"/>
      <c r="C751" s="35"/>
      <c r="D751" s="35"/>
      <c r="E751" s="35"/>
      <c r="F751" s="35"/>
      <c r="G751" s="35"/>
      <c r="V751" s="37">
        <f t="shared" si="1"/>
        <v>0</v>
      </c>
    </row>
    <row r="752">
      <c r="A752" s="35"/>
      <c r="B752" s="35"/>
      <c r="C752" s="35"/>
      <c r="D752" s="35"/>
      <c r="E752" s="35"/>
      <c r="F752" s="35"/>
      <c r="G752" s="35"/>
      <c r="V752" s="37">
        <f t="shared" si="1"/>
        <v>0</v>
      </c>
    </row>
    <row r="753">
      <c r="A753" s="35"/>
      <c r="B753" s="35"/>
      <c r="C753" s="35"/>
      <c r="D753" s="35"/>
      <c r="E753" s="35"/>
      <c r="F753" s="35"/>
      <c r="G753" s="35"/>
      <c r="V753" s="37">
        <f t="shared" si="1"/>
        <v>0</v>
      </c>
    </row>
    <row r="754">
      <c r="A754" s="35"/>
      <c r="B754" s="35"/>
      <c r="C754" s="35"/>
      <c r="D754" s="35"/>
      <c r="E754" s="35"/>
      <c r="F754" s="35"/>
      <c r="G754" s="35"/>
      <c r="V754" s="37">
        <f t="shared" si="1"/>
        <v>0</v>
      </c>
    </row>
    <row r="755">
      <c r="A755" s="35"/>
      <c r="B755" s="35"/>
      <c r="C755" s="35"/>
      <c r="D755" s="35"/>
      <c r="E755" s="35"/>
      <c r="F755" s="35"/>
      <c r="G755" s="35"/>
      <c r="V755" s="37">
        <f t="shared" si="1"/>
        <v>0</v>
      </c>
    </row>
    <row r="756">
      <c r="A756" s="35"/>
      <c r="B756" s="35"/>
      <c r="C756" s="35"/>
      <c r="D756" s="35"/>
      <c r="E756" s="35"/>
      <c r="F756" s="35"/>
      <c r="G756" s="35"/>
      <c r="V756" s="37">
        <f t="shared" si="1"/>
        <v>0</v>
      </c>
    </row>
    <row r="757">
      <c r="A757" s="35"/>
      <c r="B757" s="35"/>
      <c r="C757" s="35"/>
      <c r="D757" s="35"/>
      <c r="E757" s="35"/>
      <c r="F757" s="35"/>
      <c r="G757" s="35"/>
      <c r="V757" s="37">
        <f t="shared" si="1"/>
        <v>0</v>
      </c>
    </row>
    <row r="758">
      <c r="A758" s="35"/>
      <c r="B758" s="35"/>
      <c r="C758" s="35"/>
      <c r="D758" s="35"/>
      <c r="E758" s="35"/>
      <c r="F758" s="35"/>
      <c r="G758" s="35"/>
      <c r="V758" s="37">
        <f t="shared" si="1"/>
        <v>0</v>
      </c>
    </row>
    <row r="759">
      <c r="A759" s="35"/>
      <c r="B759" s="35"/>
      <c r="C759" s="35"/>
      <c r="D759" s="35"/>
      <c r="E759" s="35"/>
      <c r="F759" s="35"/>
      <c r="G759" s="35"/>
      <c r="V759" s="37">
        <f t="shared" si="1"/>
        <v>0</v>
      </c>
    </row>
    <row r="760">
      <c r="A760" s="35"/>
      <c r="B760" s="35"/>
      <c r="C760" s="35"/>
      <c r="D760" s="35"/>
      <c r="E760" s="35"/>
      <c r="F760" s="35"/>
      <c r="G760" s="35"/>
      <c r="V760" s="37">
        <f t="shared" si="1"/>
        <v>0</v>
      </c>
    </row>
    <row r="761">
      <c r="A761" s="35"/>
      <c r="B761" s="35"/>
      <c r="C761" s="35"/>
      <c r="D761" s="35"/>
      <c r="E761" s="35"/>
      <c r="F761" s="35"/>
      <c r="G761" s="35"/>
      <c r="V761" s="37">
        <f t="shared" si="1"/>
        <v>0</v>
      </c>
    </row>
    <row r="762">
      <c r="A762" s="35"/>
      <c r="B762" s="35"/>
      <c r="C762" s="35"/>
      <c r="D762" s="35"/>
      <c r="E762" s="35"/>
      <c r="F762" s="35"/>
      <c r="G762" s="35"/>
      <c r="V762" s="37">
        <f t="shared" si="1"/>
        <v>0</v>
      </c>
    </row>
    <row r="763">
      <c r="A763" s="35"/>
      <c r="B763" s="35"/>
      <c r="C763" s="35"/>
      <c r="D763" s="35"/>
      <c r="E763" s="35"/>
      <c r="F763" s="35"/>
      <c r="G763" s="35"/>
      <c r="V763" s="37">
        <f t="shared" si="1"/>
        <v>0</v>
      </c>
    </row>
    <row r="764">
      <c r="A764" s="35"/>
      <c r="B764" s="35"/>
      <c r="C764" s="35"/>
      <c r="D764" s="35"/>
      <c r="E764" s="35"/>
      <c r="F764" s="35"/>
      <c r="G764" s="35"/>
      <c r="V764" s="37">
        <f t="shared" si="1"/>
        <v>0</v>
      </c>
    </row>
    <row r="765">
      <c r="A765" s="35"/>
      <c r="B765" s="35"/>
      <c r="C765" s="35"/>
      <c r="D765" s="35"/>
      <c r="E765" s="35"/>
      <c r="F765" s="35"/>
      <c r="G765" s="35"/>
      <c r="V765" s="37">
        <f t="shared" si="1"/>
        <v>0</v>
      </c>
    </row>
    <row r="766">
      <c r="A766" s="35"/>
      <c r="B766" s="35"/>
      <c r="C766" s="35"/>
      <c r="D766" s="35"/>
      <c r="E766" s="35"/>
      <c r="F766" s="35"/>
      <c r="G766" s="35"/>
      <c r="V766" s="37">
        <f t="shared" si="1"/>
        <v>0</v>
      </c>
    </row>
    <row r="767">
      <c r="A767" s="35"/>
      <c r="B767" s="35"/>
      <c r="C767" s="35"/>
      <c r="D767" s="35"/>
      <c r="E767" s="35"/>
      <c r="F767" s="35"/>
      <c r="G767" s="35"/>
      <c r="V767" s="37">
        <f t="shared" si="1"/>
        <v>0</v>
      </c>
    </row>
    <row r="768">
      <c r="A768" s="35"/>
      <c r="B768" s="35"/>
      <c r="C768" s="35"/>
      <c r="D768" s="35"/>
      <c r="E768" s="35"/>
      <c r="F768" s="35"/>
      <c r="G768" s="35"/>
      <c r="V768" s="37">
        <f t="shared" si="1"/>
        <v>0</v>
      </c>
    </row>
    <row r="769">
      <c r="A769" s="35"/>
      <c r="B769" s="35"/>
      <c r="C769" s="35"/>
      <c r="D769" s="35"/>
      <c r="E769" s="35"/>
      <c r="F769" s="35"/>
      <c r="G769" s="35"/>
      <c r="V769" s="37">
        <f t="shared" si="1"/>
        <v>0</v>
      </c>
    </row>
    <row r="770">
      <c r="A770" s="35"/>
      <c r="B770" s="35"/>
      <c r="C770" s="35"/>
      <c r="D770" s="35"/>
      <c r="E770" s="35"/>
      <c r="F770" s="35"/>
      <c r="G770" s="35"/>
      <c r="V770" s="37">
        <f t="shared" si="1"/>
        <v>0</v>
      </c>
    </row>
    <row r="771">
      <c r="A771" s="35"/>
      <c r="B771" s="35"/>
      <c r="C771" s="35"/>
      <c r="D771" s="35"/>
      <c r="E771" s="35"/>
      <c r="F771" s="35"/>
      <c r="G771" s="35"/>
      <c r="V771" s="37">
        <f t="shared" si="1"/>
        <v>0</v>
      </c>
    </row>
    <row r="772">
      <c r="A772" s="35"/>
      <c r="B772" s="35"/>
      <c r="C772" s="35"/>
      <c r="D772" s="35"/>
      <c r="E772" s="35"/>
      <c r="F772" s="35"/>
      <c r="G772" s="35"/>
      <c r="V772" s="37">
        <f t="shared" si="1"/>
        <v>0</v>
      </c>
    </row>
    <row r="773">
      <c r="A773" s="35"/>
      <c r="B773" s="35"/>
      <c r="C773" s="35"/>
      <c r="D773" s="35"/>
      <c r="E773" s="35"/>
      <c r="F773" s="35"/>
      <c r="G773" s="35"/>
      <c r="V773" s="37">
        <f t="shared" si="1"/>
        <v>0</v>
      </c>
    </row>
    <row r="774">
      <c r="A774" s="35"/>
      <c r="B774" s="35"/>
      <c r="C774" s="35"/>
      <c r="D774" s="35"/>
      <c r="E774" s="35"/>
      <c r="F774" s="35"/>
      <c r="G774" s="35"/>
      <c r="V774" s="37">
        <f t="shared" si="1"/>
        <v>0</v>
      </c>
    </row>
    <row r="775">
      <c r="A775" s="35"/>
      <c r="B775" s="35"/>
      <c r="C775" s="35"/>
      <c r="D775" s="35"/>
      <c r="E775" s="35"/>
      <c r="F775" s="35"/>
      <c r="G775" s="35"/>
      <c r="V775" s="37">
        <f t="shared" si="1"/>
        <v>0</v>
      </c>
    </row>
    <row r="776">
      <c r="A776" s="35"/>
      <c r="B776" s="35"/>
      <c r="C776" s="35"/>
      <c r="D776" s="35"/>
      <c r="E776" s="35"/>
      <c r="F776" s="35"/>
      <c r="G776" s="35"/>
      <c r="V776" s="37">
        <f t="shared" si="1"/>
        <v>0</v>
      </c>
    </row>
    <row r="777">
      <c r="A777" s="35"/>
      <c r="B777" s="35"/>
      <c r="C777" s="35"/>
      <c r="D777" s="35"/>
      <c r="E777" s="35"/>
      <c r="F777" s="35"/>
      <c r="G777" s="35"/>
      <c r="V777" s="37">
        <f t="shared" si="1"/>
        <v>0</v>
      </c>
    </row>
    <row r="778">
      <c r="A778" s="35"/>
      <c r="B778" s="35"/>
      <c r="C778" s="35"/>
      <c r="D778" s="35"/>
      <c r="E778" s="35"/>
      <c r="F778" s="35"/>
      <c r="G778" s="35"/>
      <c r="V778" s="37">
        <f t="shared" si="1"/>
        <v>0</v>
      </c>
    </row>
    <row r="779">
      <c r="A779" s="35"/>
      <c r="B779" s="35"/>
      <c r="C779" s="35"/>
      <c r="D779" s="35"/>
      <c r="E779" s="35"/>
      <c r="F779" s="35"/>
      <c r="G779" s="35"/>
      <c r="V779" s="37">
        <f t="shared" si="1"/>
        <v>0</v>
      </c>
    </row>
    <row r="780">
      <c r="A780" s="35"/>
      <c r="B780" s="35"/>
      <c r="C780" s="35"/>
      <c r="D780" s="35"/>
      <c r="E780" s="35"/>
      <c r="F780" s="35"/>
      <c r="G780" s="35"/>
      <c r="V780" s="37">
        <f t="shared" si="1"/>
        <v>0</v>
      </c>
    </row>
    <row r="781">
      <c r="A781" s="35"/>
      <c r="B781" s="35"/>
      <c r="C781" s="35"/>
      <c r="D781" s="35"/>
      <c r="E781" s="35"/>
      <c r="F781" s="35"/>
      <c r="G781" s="35"/>
      <c r="V781" s="37">
        <f t="shared" si="1"/>
        <v>0</v>
      </c>
    </row>
    <row r="782">
      <c r="A782" s="35"/>
      <c r="B782" s="35"/>
      <c r="C782" s="35"/>
      <c r="D782" s="35"/>
      <c r="E782" s="35"/>
      <c r="F782" s="35"/>
      <c r="G782" s="35"/>
      <c r="V782" s="37">
        <f t="shared" si="1"/>
        <v>0</v>
      </c>
    </row>
    <row r="783">
      <c r="A783" s="35"/>
      <c r="B783" s="35"/>
      <c r="C783" s="35"/>
      <c r="D783" s="35"/>
      <c r="E783" s="35"/>
      <c r="F783" s="35"/>
      <c r="G783" s="35"/>
      <c r="V783" s="37">
        <f t="shared" si="1"/>
        <v>0</v>
      </c>
    </row>
    <row r="784">
      <c r="A784" s="35"/>
      <c r="B784" s="35"/>
      <c r="C784" s="35"/>
      <c r="D784" s="35"/>
      <c r="E784" s="35"/>
      <c r="F784" s="35"/>
      <c r="G784" s="35"/>
      <c r="V784" s="37">
        <f t="shared" si="1"/>
        <v>0</v>
      </c>
    </row>
    <row r="785">
      <c r="A785" s="35"/>
      <c r="B785" s="35"/>
      <c r="C785" s="35"/>
      <c r="D785" s="35"/>
      <c r="E785" s="35"/>
      <c r="F785" s="35"/>
      <c r="G785" s="35"/>
      <c r="V785" s="37">
        <f t="shared" si="1"/>
        <v>0</v>
      </c>
    </row>
    <row r="786">
      <c r="A786" s="35"/>
      <c r="B786" s="35"/>
      <c r="C786" s="35"/>
      <c r="D786" s="35"/>
      <c r="E786" s="35"/>
      <c r="F786" s="35"/>
      <c r="G786" s="35"/>
      <c r="V786" s="37">
        <f t="shared" si="1"/>
        <v>0</v>
      </c>
    </row>
    <row r="787">
      <c r="A787" s="35"/>
      <c r="B787" s="35"/>
      <c r="C787" s="35"/>
      <c r="D787" s="35"/>
      <c r="E787" s="35"/>
      <c r="F787" s="35"/>
      <c r="G787" s="35"/>
      <c r="V787" s="37">
        <f t="shared" si="1"/>
        <v>0</v>
      </c>
    </row>
    <row r="788">
      <c r="A788" s="35"/>
      <c r="B788" s="35"/>
      <c r="C788" s="35"/>
      <c r="D788" s="35"/>
      <c r="E788" s="35"/>
      <c r="F788" s="35"/>
      <c r="G788" s="35"/>
      <c r="V788" s="37">
        <f t="shared" si="1"/>
        <v>0</v>
      </c>
    </row>
    <row r="789">
      <c r="A789" s="35"/>
      <c r="B789" s="35"/>
      <c r="C789" s="35"/>
      <c r="D789" s="35"/>
      <c r="E789" s="35"/>
      <c r="F789" s="35"/>
      <c r="G789" s="35"/>
      <c r="V789" s="37">
        <f t="shared" si="1"/>
        <v>0</v>
      </c>
    </row>
    <row r="790">
      <c r="A790" s="35"/>
      <c r="B790" s="35"/>
      <c r="C790" s="35"/>
      <c r="D790" s="35"/>
      <c r="E790" s="35"/>
      <c r="F790" s="35"/>
      <c r="G790" s="35"/>
      <c r="V790" s="37">
        <f t="shared" si="1"/>
        <v>0</v>
      </c>
    </row>
    <row r="791">
      <c r="A791" s="35"/>
      <c r="B791" s="35"/>
      <c r="C791" s="35"/>
      <c r="D791" s="35"/>
      <c r="E791" s="35"/>
      <c r="F791" s="35"/>
      <c r="G791" s="35"/>
      <c r="V791" s="37">
        <f t="shared" si="1"/>
        <v>0</v>
      </c>
    </row>
    <row r="792">
      <c r="A792" s="35"/>
      <c r="B792" s="35"/>
      <c r="C792" s="35"/>
      <c r="D792" s="35"/>
      <c r="E792" s="35"/>
      <c r="F792" s="35"/>
      <c r="G792" s="35"/>
      <c r="V792" s="37">
        <f t="shared" si="1"/>
        <v>0</v>
      </c>
    </row>
    <row r="793">
      <c r="A793" s="35"/>
      <c r="B793" s="35"/>
      <c r="C793" s="35"/>
      <c r="D793" s="35"/>
      <c r="E793" s="35"/>
      <c r="F793" s="35"/>
      <c r="G793" s="35"/>
      <c r="V793" s="37">
        <f t="shared" si="1"/>
        <v>0</v>
      </c>
    </row>
    <row r="794">
      <c r="A794" s="35"/>
      <c r="B794" s="35"/>
      <c r="C794" s="35"/>
      <c r="D794" s="35"/>
      <c r="E794" s="35"/>
      <c r="F794" s="35"/>
      <c r="G794" s="35"/>
      <c r="V794" s="37">
        <f t="shared" si="1"/>
        <v>0</v>
      </c>
    </row>
    <row r="795">
      <c r="A795" s="35"/>
      <c r="B795" s="35"/>
      <c r="C795" s="35"/>
      <c r="D795" s="35"/>
      <c r="E795" s="35"/>
      <c r="F795" s="35"/>
      <c r="G795" s="35"/>
      <c r="V795" s="37">
        <f t="shared" si="1"/>
        <v>0</v>
      </c>
    </row>
    <row r="796">
      <c r="A796" s="35"/>
      <c r="B796" s="35"/>
      <c r="C796" s="35"/>
      <c r="D796" s="35"/>
      <c r="E796" s="35"/>
      <c r="F796" s="35"/>
      <c r="G796" s="35"/>
      <c r="V796" s="37">
        <f t="shared" si="1"/>
        <v>0</v>
      </c>
    </row>
    <row r="797">
      <c r="A797" s="35"/>
      <c r="B797" s="35"/>
      <c r="C797" s="35"/>
      <c r="D797" s="35"/>
      <c r="E797" s="35"/>
      <c r="F797" s="35"/>
      <c r="G797" s="35"/>
      <c r="V797" s="37">
        <f t="shared" si="1"/>
        <v>0</v>
      </c>
    </row>
    <row r="798">
      <c r="A798" s="35"/>
      <c r="B798" s="35"/>
      <c r="C798" s="35"/>
      <c r="D798" s="35"/>
      <c r="E798" s="35"/>
      <c r="F798" s="35"/>
      <c r="G798" s="35"/>
      <c r="V798" s="37">
        <f t="shared" si="1"/>
        <v>0</v>
      </c>
    </row>
    <row r="799">
      <c r="A799" s="35"/>
      <c r="B799" s="35"/>
      <c r="C799" s="35"/>
      <c r="D799" s="35"/>
      <c r="E799" s="35"/>
      <c r="F799" s="35"/>
      <c r="G799" s="35"/>
      <c r="V799" s="37">
        <f t="shared" si="1"/>
        <v>0</v>
      </c>
    </row>
    <row r="800">
      <c r="A800" s="35"/>
      <c r="B800" s="35"/>
      <c r="C800" s="35"/>
      <c r="D800" s="35"/>
      <c r="E800" s="35"/>
      <c r="F800" s="35"/>
      <c r="G800" s="35"/>
      <c r="V800" s="37">
        <f t="shared" si="1"/>
        <v>0</v>
      </c>
    </row>
    <row r="801">
      <c r="A801" s="35"/>
      <c r="B801" s="35"/>
      <c r="C801" s="35"/>
      <c r="D801" s="35"/>
      <c r="E801" s="35"/>
      <c r="F801" s="35"/>
      <c r="G801" s="35"/>
      <c r="V801" s="37">
        <f t="shared" si="1"/>
        <v>0</v>
      </c>
    </row>
    <row r="802">
      <c r="A802" s="35"/>
      <c r="B802" s="35"/>
      <c r="C802" s="35"/>
      <c r="D802" s="35"/>
      <c r="E802" s="35"/>
      <c r="F802" s="35"/>
      <c r="G802" s="35"/>
      <c r="V802" s="37">
        <f t="shared" si="1"/>
        <v>0</v>
      </c>
    </row>
    <row r="803">
      <c r="A803" s="35"/>
      <c r="B803" s="35"/>
      <c r="C803" s="35"/>
      <c r="D803" s="35"/>
      <c r="E803" s="35"/>
      <c r="F803" s="35"/>
      <c r="G803" s="35"/>
      <c r="V803" s="37">
        <f t="shared" si="1"/>
        <v>0</v>
      </c>
    </row>
    <row r="804">
      <c r="A804" s="35"/>
      <c r="B804" s="35"/>
      <c r="C804" s="35"/>
      <c r="D804" s="35"/>
      <c r="E804" s="35"/>
      <c r="F804" s="35"/>
      <c r="G804" s="35"/>
      <c r="V804" s="37">
        <f t="shared" si="1"/>
        <v>0</v>
      </c>
    </row>
    <row r="805">
      <c r="A805" s="35"/>
      <c r="B805" s="35"/>
      <c r="C805" s="35"/>
      <c r="D805" s="35"/>
      <c r="E805" s="35"/>
      <c r="F805" s="35"/>
      <c r="G805" s="35"/>
      <c r="V805" s="37">
        <f t="shared" si="1"/>
        <v>0</v>
      </c>
    </row>
    <row r="806">
      <c r="A806" s="35"/>
      <c r="B806" s="35"/>
      <c r="C806" s="35"/>
      <c r="D806" s="35"/>
      <c r="E806" s="35"/>
      <c r="F806" s="35"/>
      <c r="G806" s="35"/>
      <c r="V806" s="37">
        <f t="shared" si="1"/>
        <v>0</v>
      </c>
    </row>
    <row r="807">
      <c r="A807" s="35"/>
      <c r="B807" s="35"/>
      <c r="C807" s="35"/>
      <c r="D807" s="35"/>
      <c r="E807" s="35"/>
      <c r="F807" s="35"/>
      <c r="G807" s="35"/>
      <c r="V807" s="37">
        <f t="shared" si="1"/>
        <v>0</v>
      </c>
    </row>
    <row r="808">
      <c r="A808" s="35"/>
      <c r="B808" s="35"/>
      <c r="C808" s="35"/>
      <c r="D808" s="35"/>
      <c r="E808" s="35"/>
      <c r="F808" s="35"/>
      <c r="G808" s="35"/>
      <c r="V808" s="37">
        <f t="shared" si="1"/>
        <v>0</v>
      </c>
    </row>
    <row r="809">
      <c r="A809" s="35"/>
      <c r="B809" s="35"/>
      <c r="C809" s="35"/>
      <c r="D809" s="35"/>
      <c r="E809" s="35"/>
      <c r="F809" s="35"/>
      <c r="G809" s="35"/>
      <c r="V809" s="37">
        <f t="shared" si="1"/>
        <v>0</v>
      </c>
    </row>
    <row r="810">
      <c r="A810" s="35"/>
      <c r="B810" s="35"/>
      <c r="C810" s="35"/>
      <c r="D810" s="35"/>
      <c r="E810" s="35"/>
      <c r="F810" s="35"/>
      <c r="G810" s="35"/>
      <c r="V810" s="37">
        <f t="shared" si="1"/>
        <v>0</v>
      </c>
    </row>
    <row r="811">
      <c r="A811" s="35"/>
      <c r="B811" s="35"/>
      <c r="C811" s="35"/>
      <c r="D811" s="35"/>
      <c r="E811" s="35"/>
      <c r="F811" s="35"/>
      <c r="G811" s="35"/>
      <c r="V811" s="37">
        <f t="shared" si="1"/>
        <v>0</v>
      </c>
    </row>
    <row r="812">
      <c r="A812" s="35"/>
      <c r="B812" s="35"/>
      <c r="C812" s="35"/>
      <c r="D812" s="35"/>
      <c r="E812" s="35"/>
      <c r="F812" s="35"/>
      <c r="G812" s="35"/>
      <c r="V812" s="37">
        <f t="shared" si="1"/>
        <v>0</v>
      </c>
    </row>
    <row r="813">
      <c r="A813" s="35"/>
      <c r="B813" s="35"/>
      <c r="C813" s="35"/>
      <c r="D813" s="35"/>
      <c r="E813" s="35"/>
      <c r="F813" s="35"/>
      <c r="G813" s="35"/>
      <c r="V813" s="37">
        <f t="shared" si="1"/>
        <v>0</v>
      </c>
    </row>
    <row r="814">
      <c r="A814" s="35"/>
      <c r="B814" s="35"/>
      <c r="C814" s="35"/>
      <c r="D814" s="35"/>
      <c r="E814" s="35"/>
      <c r="F814" s="35"/>
      <c r="G814" s="35"/>
      <c r="V814" s="37">
        <f t="shared" si="1"/>
        <v>0</v>
      </c>
    </row>
    <row r="815">
      <c r="A815" s="35"/>
      <c r="B815" s="35"/>
      <c r="C815" s="35"/>
      <c r="D815" s="35"/>
      <c r="E815" s="35"/>
      <c r="F815" s="35"/>
      <c r="G815" s="35"/>
      <c r="V815" s="37">
        <f t="shared" si="1"/>
        <v>0</v>
      </c>
    </row>
    <row r="816">
      <c r="A816" s="35"/>
      <c r="B816" s="35"/>
      <c r="C816" s="35"/>
      <c r="D816" s="35"/>
      <c r="E816" s="35"/>
      <c r="F816" s="35"/>
      <c r="G816" s="35"/>
      <c r="V816" s="37">
        <f t="shared" si="1"/>
        <v>0</v>
      </c>
    </row>
    <row r="817">
      <c r="A817" s="35"/>
      <c r="B817" s="35"/>
      <c r="C817" s="35"/>
      <c r="D817" s="35"/>
      <c r="E817" s="35"/>
      <c r="F817" s="35"/>
      <c r="G817" s="35"/>
      <c r="V817" s="37">
        <f t="shared" si="1"/>
        <v>0</v>
      </c>
    </row>
    <row r="818">
      <c r="A818" s="35"/>
      <c r="B818" s="35"/>
      <c r="C818" s="35"/>
      <c r="D818" s="35"/>
      <c r="E818" s="35"/>
      <c r="F818" s="35"/>
      <c r="G818" s="35"/>
      <c r="V818" s="37">
        <f t="shared" si="1"/>
        <v>0</v>
      </c>
    </row>
    <row r="819">
      <c r="A819" s="35"/>
      <c r="B819" s="35"/>
      <c r="C819" s="35"/>
      <c r="D819" s="35"/>
      <c r="E819" s="35"/>
      <c r="F819" s="35"/>
      <c r="G819" s="35"/>
      <c r="V819" s="37">
        <f t="shared" si="1"/>
        <v>0</v>
      </c>
    </row>
    <row r="820">
      <c r="A820" s="35"/>
      <c r="B820" s="35"/>
      <c r="C820" s="35"/>
      <c r="D820" s="35"/>
      <c r="E820" s="35"/>
      <c r="F820" s="35"/>
      <c r="G820" s="35"/>
      <c r="V820" s="37">
        <f t="shared" si="1"/>
        <v>0</v>
      </c>
    </row>
    <row r="821">
      <c r="A821" s="35"/>
      <c r="B821" s="35"/>
      <c r="C821" s="35"/>
      <c r="D821" s="35"/>
      <c r="E821" s="35"/>
      <c r="F821" s="35"/>
      <c r="G821" s="35"/>
      <c r="V821" s="37">
        <f t="shared" si="1"/>
        <v>0</v>
      </c>
    </row>
    <row r="822">
      <c r="A822" s="35"/>
      <c r="B822" s="35"/>
      <c r="C822" s="35"/>
      <c r="D822" s="35"/>
      <c r="E822" s="35"/>
      <c r="F822" s="35"/>
      <c r="G822" s="35"/>
      <c r="V822" s="37">
        <f t="shared" si="1"/>
        <v>0</v>
      </c>
    </row>
    <row r="823">
      <c r="A823" s="35"/>
      <c r="B823" s="35"/>
      <c r="C823" s="35"/>
      <c r="D823" s="35"/>
      <c r="E823" s="35"/>
      <c r="F823" s="35"/>
      <c r="G823" s="35"/>
      <c r="V823" s="37">
        <f t="shared" si="1"/>
        <v>0</v>
      </c>
    </row>
    <row r="824">
      <c r="A824" s="35"/>
      <c r="B824" s="35"/>
      <c r="C824" s="35"/>
      <c r="D824" s="35"/>
      <c r="E824" s="35"/>
      <c r="F824" s="35"/>
      <c r="G824" s="35"/>
      <c r="V824" s="37">
        <f t="shared" si="1"/>
        <v>0</v>
      </c>
    </row>
    <row r="825">
      <c r="A825" s="35"/>
      <c r="B825" s="35"/>
      <c r="C825" s="35"/>
      <c r="D825" s="35"/>
      <c r="E825" s="35"/>
      <c r="F825" s="35"/>
      <c r="G825" s="35"/>
      <c r="V825" s="37">
        <f t="shared" si="1"/>
        <v>0</v>
      </c>
    </row>
    <row r="826">
      <c r="A826" s="35"/>
      <c r="B826" s="35"/>
      <c r="C826" s="35"/>
      <c r="D826" s="35"/>
      <c r="E826" s="35"/>
      <c r="F826" s="35"/>
      <c r="G826" s="35"/>
      <c r="V826" s="37">
        <f t="shared" si="1"/>
        <v>0</v>
      </c>
    </row>
    <row r="827">
      <c r="A827" s="35"/>
      <c r="B827" s="35"/>
      <c r="C827" s="35"/>
      <c r="D827" s="35"/>
      <c r="E827" s="35"/>
      <c r="F827" s="35"/>
      <c r="G827" s="35"/>
      <c r="V827" s="37">
        <f t="shared" si="1"/>
        <v>0</v>
      </c>
    </row>
    <row r="828">
      <c r="A828" s="35"/>
      <c r="B828" s="35"/>
      <c r="C828" s="35"/>
      <c r="D828" s="35"/>
      <c r="E828" s="35"/>
      <c r="F828" s="35"/>
      <c r="G828" s="35"/>
      <c r="V828" s="37">
        <f t="shared" si="1"/>
        <v>0</v>
      </c>
    </row>
    <row r="829">
      <c r="A829" s="35"/>
      <c r="B829" s="35"/>
      <c r="C829" s="35"/>
      <c r="D829" s="35"/>
      <c r="E829" s="35"/>
      <c r="F829" s="35"/>
      <c r="G829" s="35"/>
      <c r="V829" s="37">
        <f t="shared" si="1"/>
        <v>0</v>
      </c>
    </row>
    <row r="830">
      <c r="A830" s="35"/>
      <c r="B830" s="35"/>
      <c r="C830" s="35"/>
      <c r="D830" s="35"/>
      <c r="E830" s="35"/>
      <c r="F830" s="35"/>
      <c r="G830" s="35"/>
      <c r="V830" s="37">
        <f t="shared" si="1"/>
        <v>0</v>
      </c>
    </row>
    <row r="831">
      <c r="A831" s="35"/>
      <c r="B831" s="35"/>
      <c r="C831" s="35"/>
      <c r="D831" s="35"/>
      <c r="E831" s="35"/>
      <c r="F831" s="35"/>
      <c r="G831" s="35"/>
      <c r="V831" s="37">
        <f t="shared" si="1"/>
        <v>0</v>
      </c>
    </row>
    <row r="832">
      <c r="A832" s="35"/>
      <c r="B832" s="35"/>
      <c r="C832" s="35"/>
      <c r="D832" s="35"/>
      <c r="E832" s="35"/>
      <c r="F832" s="35"/>
      <c r="G832" s="35"/>
      <c r="V832" s="37">
        <f t="shared" si="1"/>
        <v>0</v>
      </c>
    </row>
    <row r="833">
      <c r="A833" s="35"/>
      <c r="B833" s="35"/>
      <c r="C833" s="35"/>
      <c r="D833" s="35"/>
      <c r="E833" s="35"/>
      <c r="F833" s="35"/>
      <c r="G833" s="35"/>
      <c r="V833" s="37">
        <f t="shared" si="1"/>
        <v>0</v>
      </c>
    </row>
    <row r="834">
      <c r="A834" s="35"/>
      <c r="B834" s="35"/>
      <c r="C834" s="35"/>
      <c r="D834" s="35"/>
      <c r="E834" s="35"/>
      <c r="F834" s="35"/>
      <c r="G834" s="35"/>
      <c r="V834" s="37">
        <f t="shared" si="1"/>
        <v>0</v>
      </c>
    </row>
    <row r="835">
      <c r="A835" s="35"/>
      <c r="B835" s="35"/>
      <c r="C835" s="35"/>
      <c r="D835" s="35"/>
      <c r="E835" s="35"/>
      <c r="F835" s="35"/>
      <c r="G835" s="35"/>
      <c r="V835" s="37">
        <f t="shared" si="1"/>
        <v>0</v>
      </c>
    </row>
    <row r="836">
      <c r="A836" s="35"/>
      <c r="B836" s="35"/>
      <c r="C836" s="35"/>
      <c r="D836" s="35"/>
      <c r="E836" s="35"/>
      <c r="F836" s="35"/>
      <c r="G836" s="35"/>
      <c r="V836" s="37">
        <f t="shared" si="1"/>
        <v>0</v>
      </c>
    </row>
    <row r="837">
      <c r="A837" s="35"/>
      <c r="B837" s="35"/>
      <c r="C837" s="35"/>
      <c r="D837" s="35"/>
      <c r="E837" s="35"/>
      <c r="F837" s="35"/>
      <c r="G837" s="35"/>
      <c r="V837" s="37">
        <f t="shared" si="1"/>
        <v>0</v>
      </c>
    </row>
    <row r="838">
      <c r="A838" s="35"/>
      <c r="B838" s="35"/>
      <c r="C838" s="35"/>
      <c r="D838" s="35"/>
      <c r="E838" s="35"/>
      <c r="F838" s="35"/>
      <c r="G838" s="35"/>
      <c r="V838" s="37">
        <f t="shared" si="1"/>
        <v>0</v>
      </c>
    </row>
    <row r="839">
      <c r="A839" s="35"/>
      <c r="B839" s="35"/>
      <c r="C839" s="35"/>
      <c r="D839" s="35"/>
      <c r="E839" s="35"/>
      <c r="F839" s="35"/>
      <c r="G839" s="35"/>
      <c r="V839" s="37">
        <f t="shared" si="1"/>
        <v>0</v>
      </c>
    </row>
    <row r="840">
      <c r="A840" s="35"/>
      <c r="B840" s="35"/>
      <c r="C840" s="35"/>
      <c r="D840" s="35"/>
      <c r="E840" s="35"/>
      <c r="F840" s="35"/>
      <c r="G840" s="35"/>
      <c r="V840" s="37">
        <f t="shared" si="1"/>
        <v>0</v>
      </c>
    </row>
    <row r="841">
      <c r="A841" s="35"/>
      <c r="B841" s="35"/>
      <c r="C841" s="35"/>
      <c r="D841" s="35"/>
      <c r="E841" s="35"/>
      <c r="F841" s="35"/>
      <c r="G841" s="35"/>
      <c r="V841" s="37">
        <f t="shared" si="1"/>
        <v>0</v>
      </c>
    </row>
    <row r="842">
      <c r="A842" s="35"/>
      <c r="B842" s="35"/>
      <c r="C842" s="35"/>
      <c r="D842" s="35"/>
      <c r="E842" s="35"/>
      <c r="F842" s="35"/>
      <c r="G842" s="35"/>
      <c r="V842" s="37">
        <f t="shared" si="1"/>
        <v>0</v>
      </c>
    </row>
    <row r="843">
      <c r="A843" s="35"/>
      <c r="B843" s="35"/>
      <c r="C843" s="35"/>
      <c r="D843" s="35"/>
      <c r="E843" s="35"/>
      <c r="F843" s="35"/>
      <c r="G843" s="35"/>
      <c r="V843" s="37">
        <f t="shared" si="1"/>
        <v>0</v>
      </c>
    </row>
    <row r="844">
      <c r="A844" s="35"/>
      <c r="B844" s="35"/>
      <c r="C844" s="35"/>
      <c r="D844" s="35"/>
      <c r="E844" s="35"/>
      <c r="F844" s="35"/>
      <c r="G844" s="35"/>
      <c r="V844" s="37">
        <f t="shared" si="1"/>
        <v>0</v>
      </c>
    </row>
    <row r="845">
      <c r="A845" s="35"/>
      <c r="B845" s="35"/>
      <c r="C845" s="35"/>
      <c r="D845" s="35"/>
      <c r="E845" s="35"/>
      <c r="F845" s="35"/>
      <c r="G845" s="35"/>
      <c r="V845" s="37">
        <f t="shared" si="1"/>
        <v>0</v>
      </c>
    </row>
    <row r="846">
      <c r="A846" s="35"/>
      <c r="B846" s="35"/>
      <c r="C846" s="35"/>
      <c r="D846" s="35"/>
      <c r="E846" s="35"/>
      <c r="F846" s="35"/>
      <c r="G846" s="35"/>
      <c r="V846" s="37">
        <f t="shared" si="1"/>
        <v>0</v>
      </c>
    </row>
    <row r="847">
      <c r="A847" s="35"/>
      <c r="B847" s="35"/>
      <c r="C847" s="35"/>
      <c r="D847" s="35"/>
      <c r="E847" s="35"/>
      <c r="F847" s="35"/>
      <c r="G847" s="35"/>
      <c r="V847" s="37">
        <f t="shared" si="1"/>
        <v>0</v>
      </c>
    </row>
    <row r="848">
      <c r="A848" s="35"/>
      <c r="B848" s="35"/>
      <c r="C848" s="35"/>
      <c r="D848" s="35"/>
      <c r="E848" s="35"/>
      <c r="F848" s="35"/>
      <c r="G848" s="35"/>
      <c r="V848" s="37">
        <f t="shared" si="1"/>
        <v>0</v>
      </c>
    </row>
    <row r="849">
      <c r="A849" s="35"/>
      <c r="B849" s="35"/>
      <c r="C849" s="35"/>
      <c r="D849" s="35"/>
      <c r="E849" s="35"/>
      <c r="F849" s="35"/>
      <c r="G849" s="35"/>
      <c r="V849" s="37">
        <f t="shared" si="1"/>
        <v>0</v>
      </c>
    </row>
    <row r="850">
      <c r="A850" s="35"/>
      <c r="B850" s="35"/>
      <c r="C850" s="35"/>
      <c r="D850" s="35"/>
      <c r="E850" s="35"/>
      <c r="F850" s="35"/>
      <c r="G850" s="35"/>
      <c r="V850" s="37">
        <f t="shared" si="1"/>
        <v>0</v>
      </c>
    </row>
    <row r="851">
      <c r="A851" s="35"/>
      <c r="B851" s="35"/>
      <c r="C851" s="35"/>
      <c r="D851" s="35"/>
      <c r="E851" s="35"/>
      <c r="F851" s="35"/>
      <c r="G851" s="35"/>
      <c r="V851" s="37">
        <f t="shared" si="1"/>
        <v>0</v>
      </c>
    </row>
    <row r="852">
      <c r="A852" s="35"/>
      <c r="B852" s="35"/>
      <c r="C852" s="35"/>
      <c r="D852" s="35"/>
      <c r="E852" s="35"/>
      <c r="F852" s="35"/>
      <c r="G852" s="35"/>
      <c r="V852" s="37">
        <f t="shared" si="1"/>
        <v>0</v>
      </c>
    </row>
    <row r="853">
      <c r="A853" s="35"/>
      <c r="B853" s="35"/>
      <c r="C853" s="35"/>
      <c r="D853" s="35"/>
      <c r="E853" s="35"/>
      <c r="F853" s="35"/>
      <c r="G853" s="35"/>
      <c r="V853" s="37">
        <f t="shared" si="1"/>
        <v>0</v>
      </c>
    </row>
    <row r="854">
      <c r="A854" s="35"/>
      <c r="B854" s="35"/>
      <c r="C854" s="35"/>
      <c r="D854" s="35"/>
      <c r="E854" s="35"/>
      <c r="F854" s="35"/>
      <c r="G854" s="35"/>
      <c r="V854" s="37">
        <f t="shared" si="1"/>
        <v>0</v>
      </c>
    </row>
    <row r="855">
      <c r="A855" s="35"/>
      <c r="B855" s="35"/>
      <c r="C855" s="35"/>
      <c r="D855" s="35"/>
      <c r="E855" s="35"/>
      <c r="F855" s="35"/>
      <c r="G855" s="35"/>
      <c r="V855" s="37">
        <f t="shared" si="1"/>
        <v>0</v>
      </c>
    </row>
    <row r="856">
      <c r="A856" s="35"/>
      <c r="B856" s="35"/>
      <c r="C856" s="35"/>
      <c r="D856" s="35"/>
      <c r="E856" s="35"/>
      <c r="F856" s="35"/>
      <c r="G856" s="35"/>
      <c r="V856" s="37">
        <f t="shared" si="1"/>
        <v>0</v>
      </c>
    </row>
    <row r="857">
      <c r="A857" s="35"/>
      <c r="B857" s="35"/>
      <c r="C857" s="35"/>
      <c r="D857" s="35"/>
      <c r="E857" s="35"/>
      <c r="F857" s="35"/>
      <c r="G857" s="35"/>
      <c r="V857" s="37">
        <f t="shared" si="1"/>
        <v>0</v>
      </c>
    </row>
    <row r="858">
      <c r="A858" s="35"/>
      <c r="B858" s="35"/>
      <c r="C858" s="35"/>
      <c r="D858" s="35"/>
      <c r="E858" s="35"/>
      <c r="F858" s="35"/>
      <c r="G858" s="35"/>
      <c r="V858" s="37">
        <f t="shared" si="1"/>
        <v>0</v>
      </c>
    </row>
    <row r="859">
      <c r="A859" s="35"/>
      <c r="B859" s="35"/>
      <c r="C859" s="35"/>
      <c r="D859" s="35"/>
      <c r="E859" s="35"/>
      <c r="F859" s="35"/>
      <c r="G859" s="35"/>
      <c r="V859" s="37">
        <f t="shared" si="1"/>
        <v>0</v>
      </c>
    </row>
    <row r="860">
      <c r="A860" s="35"/>
      <c r="B860" s="35"/>
      <c r="C860" s="35"/>
      <c r="D860" s="35"/>
      <c r="E860" s="35"/>
      <c r="F860" s="35"/>
      <c r="G860" s="35"/>
      <c r="V860" s="37">
        <f t="shared" si="1"/>
        <v>0</v>
      </c>
    </row>
    <row r="861">
      <c r="A861" s="35"/>
      <c r="B861" s="35"/>
      <c r="C861" s="35"/>
      <c r="D861" s="35"/>
      <c r="E861" s="35"/>
      <c r="F861" s="35"/>
      <c r="G861" s="35"/>
      <c r="V861" s="37">
        <f t="shared" si="1"/>
        <v>0</v>
      </c>
    </row>
    <row r="862">
      <c r="A862" s="35"/>
      <c r="B862" s="35"/>
      <c r="C862" s="35"/>
      <c r="D862" s="35"/>
      <c r="E862" s="35"/>
      <c r="F862" s="35"/>
      <c r="G862" s="35"/>
      <c r="V862" s="37">
        <f t="shared" si="1"/>
        <v>0</v>
      </c>
    </row>
    <row r="863">
      <c r="A863" s="35"/>
      <c r="B863" s="35"/>
      <c r="C863" s="35"/>
      <c r="D863" s="35"/>
      <c r="E863" s="35"/>
      <c r="F863" s="35"/>
      <c r="G863" s="35"/>
      <c r="V863" s="37">
        <f t="shared" si="1"/>
        <v>0</v>
      </c>
    </row>
    <row r="864">
      <c r="A864" s="35"/>
      <c r="B864" s="35"/>
      <c r="C864" s="35"/>
      <c r="D864" s="35"/>
      <c r="E864" s="35"/>
      <c r="F864" s="35"/>
      <c r="G864" s="35"/>
      <c r="V864" s="37">
        <f t="shared" si="1"/>
        <v>0</v>
      </c>
    </row>
    <row r="865">
      <c r="A865" s="35"/>
      <c r="B865" s="35"/>
      <c r="C865" s="35"/>
      <c r="D865" s="35"/>
      <c r="E865" s="35"/>
      <c r="F865" s="35"/>
      <c r="G865" s="35"/>
      <c r="V865" s="37">
        <f t="shared" si="1"/>
        <v>0</v>
      </c>
    </row>
    <row r="866">
      <c r="A866" s="35"/>
      <c r="B866" s="35"/>
      <c r="C866" s="35"/>
      <c r="D866" s="35"/>
      <c r="E866" s="35"/>
      <c r="F866" s="35"/>
      <c r="G866" s="35"/>
      <c r="V866" s="37">
        <f t="shared" si="1"/>
        <v>0</v>
      </c>
    </row>
    <row r="867">
      <c r="A867" s="35"/>
      <c r="B867" s="35"/>
      <c r="C867" s="35"/>
      <c r="D867" s="35"/>
      <c r="E867" s="35"/>
      <c r="F867" s="35"/>
      <c r="G867" s="35"/>
      <c r="V867" s="37">
        <f t="shared" si="1"/>
        <v>0</v>
      </c>
    </row>
    <row r="868">
      <c r="A868" s="35"/>
      <c r="B868" s="35"/>
      <c r="C868" s="35"/>
      <c r="D868" s="35"/>
      <c r="E868" s="35"/>
      <c r="F868" s="35"/>
      <c r="G868" s="35"/>
      <c r="V868" s="37">
        <f t="shared" si="1"/>
        <v>0</v>
      </c>
    </row>
    <row r="869">
      <c r="A869" s="35"/>
      <c r="B869" s="35"/>
      <c r="C869" s="35"/>
      <c r="D869" s="35"/>
      <c r="E869" s="35"/>
      <c r="F869" s="35"/>
      <c r="G869" s="35"/>
      <c r="V869" s="37">
        <f t="shared" si="1"/>
        <v>0</v>
      </c>
    </row>
    <row r="870">
      <c r="A870" s="35"/>
      <c r="B870" s="35"/>
      <c r="C870" s="35"/>
      <c r="D870" s="35"/>
      <c r="E870" s="35"/>
      <c r="F870" s="35"/>
      <c r="G870" s="35"/>
      <c r="V870" s="37">
        <f t="shared" si="1"/>
        <v>0</v>
      </c>
    </row>
    <row r="871">
      <c r="A871" s="35"/>
      <c r="B871" s="35"/>
      <c r="C871" s="35"/>
      <c r="D871" s="35"/>
      <c r="E871" s="35"/>
      <c r="F871" s="35"/>
      <c r="G871" s="35"/>
      <c r="V871" s="37">
        <f t="shared" si="1"/>
        <v>0</v>
      </c>
    </row>
    <row r="872">
      <c r="A872" s="35"/>
      <c r="B872" s="35"/>
      <c r="C872" s="35"/>
      <c r="D872" s="35"/>
      <c r="E872" s="35"/>
      <c r="F872" s="35"/>
      <c r="G872" s="35"/>
      <c r="V872" s="37">
        <f t="shared" si="1"/>
        <v>0</v>
      </c>
    </row>
    <row r="873">
      <c r="A873" s="35"/>
      <c r="B873" s="35"/>
      <c r="C873" s="35"/>
      <c r="D873" s="35"/>
      <c r="E873" s="35"/>
      <c r="F873" s="35"/>
      <c r="G873" s="35"/>
      <c r="V873" s="37">
        <f t="shared" si="1"/>
        <v>0</v>
      </c>
    </row>
    <row r="874">
      <c r="A874" s="35"/>
      <c r="B874" s="35"/>
      <c r="C874" s="35"/>
      <c r="D874" s="35"/>
      <c r="E874" s="35"/>
      <c r="F874" s="35"/>
      <c r="G874" s="35"/>
      <c r="V874" s="37">
        <f t="shared" si="1"/>
        <v>0</v>
      </c>
    </row>
    <row r="875">
      <c r="A875" s="35"/>
      <c r="B875" s="35"/>
      <c r="C875" s="35"/>
      <c r="D875" s="35"/>
      <c r="E875" s="35"/>
      <c r="F875" s="35"/>
      <c r="G875" s="35"/>
      <c r="V875" s="37">
        <f t="shared" si="1"/>
        <v>0</v>
      </c>
    </row>
    <row r="876">
      <c r="A876" s="35"/>
      <c r="B876" s="35"/>
      <c r="C876" s="35"/>
      <c r="D876" s="35"/>
      <c r="E876" s="35"/>
      <c r="F876" s="35"/>
      <c r="G876" s="35"/>
      <c r="V876" s="37">
        <f t="shared" si="1"/>
        <v>0</v>
      </c>
    </row>
    <row r="877">
      <c r="A877" s="35"/>
      <c r="B877" s="35"/>
      <c r="C877" s="35"/>
      <c r="D877" s="35"/>
      <c r="E877" s="35"/>
      <c r="F877" s="35"/>
      <c r="G877" s="35"/>
      <c r="V877" s="37">
        <f t="shared" si="1"/>
        <v>0</v>
      </c>
    </row>
    <row r="878">
      <c r="A878" s="35"/>
      <c r="B878" s="35"/>
      <c r="C878" s="35"/>
      <c r="D878" s="35"/>
      <c r="E878" s="35"/>
      <c r="F878" s="35"/>
      <c r="G878" s="35"/>
      <c r="V878" s="37">
        <f t="shared" si="1"/>
        <v>0</v>
      </c>
    </row>
    <row r="879">
      <c r="A879" s="35"/>
      <c r="B879" s="35"/>
      <c r="C879" s="35"/>
      <c r="D879" s="35"/>
      <c r="E879" s="35"/>
      <c r="F879" s="35"/>
      <c r="G879" s="35"/>
      <c r="V879" s="37">
        <f t="shared" si="1"/>
        <v>0</v>
      </c>
    </row>
    <row r="880">
      <c r="A880" s="35"/>
      <c r="B880" s="35"/>
      <c r="C880" s="35"/>
      <c r="D880" s="35"/>
      <c r="E880" s="35"/>
      <c r="F880" s="35"/>
      <c r="G880" s="35"/>
      <c r="V880" s="37">
        <f t="shared" si="1"/>
        <v>0</v>
      </c>
    </row>
    <row r="881">
      <c r="A881" s="35"/>
      <c r="B881" s="35"/>
      <c r="C881" s="35"/>
      <c r="D881" s="35"/>
      <c r="E881" s="35"/>
      <c r="F881" s="35"/>
      <c r="G881" s="35"/>
      <c r="V881" s="37">
        <f t="shared" si="1"/>
        <v>0</v>
      </c>
    </row>
    <row r="882">
      <c r="A882" s="35"/>
      <c r="B882" s="35"/>
      <c r="C882" s="35"/>
      <c r="D882" s="35"/>
      <c r="E882" s="35"/>
      <c r="F882" s="35"/>
      <c r="G882" s="35"/>
      <c r="V882" s="37">
        <f t="shared" si="1"/>
        <v>0</v>
      </c>
    </row>
    <row r="883">
      <c r="A883" s="35"/>
      <c r="B883" s="35"/>
      <c r="C883" s="35"/>
      <c r="D883" s="35"/>
      <c r="E883" s="35"/>
      <c r="F883" s="35"/>
      <c r="G883" s="35"/>
      <c r="V883" s="37">
        <f t="shared" si="1"/>
        <v>0</v>
      </c>
    </row>
    <row r="884">
      <c r="A884" s="35"/>
      <c r="B884" s="35"/>
      <c r="C884" s="35"/>
      <c r="D884" s="35"/>
      <c r="E884" s="35"/>
      <c r="F884" s="35"/>
      <c r="G884" s="35"/>
      <c r="V884" s="37">
        <f t="shared" si="1"/>
        <v>0</v>
      </c>
    </row>
    <row r="885">
      <c r="A885" s="35"/>
      <c r="B885" s="35"/>
      <c r="C885" s="35"/>
      <c r="D885" s="35"/>
      <c r="E885" s="35"/>
      <c r="F885" s="35"/>
      <c r="G885" s="35"/>
      <c r="V885" s="37">
        <f t="shared" si="1"/>
        <v>0</v>
      </c>
    </row>
    <row r="886">
      <c r="A886" s="35"/>
      <c r="B886" s="35"/>
      <c r="C886" s="35"/>
      <c r="D886" s="35"/>
      <c r="E886" s="35"/>
      <c r="F886" s="35"/>
      <c r="G886" s="35"/>
      <c r="V886" s="37">
        <f t="shared" si="1"/>
        <v>0</v>
      </c>
    </row>
    <row r="887">
      <c r="A887" s="35"/>
      <c r="B887" s="35"/>
      <c r="C887" s="35"/>
      <c r="D887" s="35"/>
      <c r="E887" s="35"/>
      <c r="F887" s="35"/>
      <c r="G887" s="35"/>
      <c r="V887" s="37">
        <f t="shared" si="1"/>
        <v>0</v>
      </c>
    </row>
    <row r="888">
      <c r="A888" s="35"/>
      <c r="B888" s="35"/>
      <c r="C888" s="35"/>
      <c r="D888" s="35"/>
      <c r="E888" s="35"/>
      <c r="F888" s="35"/>
      <c r="G888" s="35"/>
      <c r="V888" s="37">
        <f t="shared" si="1"/>
        <v>0</v>
      </c>
    </row>
    <row r="889">
      <c r="A889" s="35"/>
      <c r="B889" s="35"/>
      <c r="C889" s="35"/>
      <c r="D889" s="35"/>
      <c r="E889" s="35"/>
      <c r="F889" s="35"/>
      <c r="G889" s="35"/>
      <c r="V889" s="37">
        <f t="shared" si="1"/>
        <v>0</v>
      </c>
    </row>
    <row r="890">
      <c r="A890" s="35"/>
      <c r="B890" s="35"/>
      <c r="C890" s="35"/>
      <c r="D890" s="35"/>
      <c r="E890" s="35"/>
      <c r="F890" s="35"/>
      <c r="G890" s="35"/>
      <c r="V890" s="37">
        <f t="shared" si="1"/>
        <v>0</v>
      </c>
    </row>
    <row r="891">
      <c r="A891" s="35"/>
      <c r="B891" s="35"/>
      <c r="C891" s="35"/>
      <c r="D891" s="35"/>
      <c r="E891" s="35"/>
      <c r="F891" s="35"/>
      <c r="G891" s="35"/>
      <c r="V891" s="37">
        <f t="shared" si="1"/>
        <v>0</v>
      </c>
    </row>
    <row r="892">
      <c r="A892" s="35"/>
      <c r="B892" s="35"/>
      <c r="C892" s="35"/>
      <c r="D892" s="35"/>
      <c r="E892" s="35"/>
      <c r="F892" s="35"/>
      <c r="G892" s="35"/>
      <c r="V892" s="37">
        <f t="shared" si="1"/>
        <v>0</v>
      </c>
    </row>
    <row r="893">
      <c r="A893" s="35"/>
      <c r="B893" s="35"/>
      <c r="C893" s="35"/>
      <c r="D893" s="35"/>
      <c r="E893" s="35"/>
      <c r="F893" s="35"/>
      <c r="G893" s="35"/>
      <c r="V893" s="37">
        <f t="shared" si="1"/>
        <v>0</v>
      </c>
    </row>
    <row r="894">
      <c r="A894" s="35"/>
      <c r="B894" s="35"/>
      <c r="C894" s="35"/>
      <c r="D894" s="35"/>
      <c r="E894" s="35"/>
      <c r="F894" s="35"/>
      <c r="G894" s="35"/>
      <c r="V894" s="37">
        <f t="shared" si="1"/>
        <v>0</v>
      </c>
    </row>
    <row r="895">
      <c r="A895" s="35"/>
      <c r="B895" s="35"/>
      <c r="C895" s="35"/>
      <c r="D895" s="35"/>
      <c r="E895" s="35"/>
      <c r="F895" s="35"/>
      <c r="G895" s="35"/>
      <c r="V895" s="37">
        <f t="shared" si="1"/>
        <v>0</v>
      </c>
    </row>
    <row r="896">
      <c r="A896" s="35"/>
      <c r="B896" s="35"/>
      <c r="C896" s="35"/>
      <c r="D896" s="35"/>
      <c r="E896" s="35"/>
      <c r="F896" s="35"/>
      <c r="G896" s="35"/>
      <c r="V896" s="37">
        <f t="shared" si="1"/>
        <v>0</v>
      </c>
    </row>
    <row r="897">
      <c r="A897" s="35"/>
      <c r="B897" s="35"/>
      <c r="C897" s="35"/>
      <c r="D897" s="35"/>
      <c r="E897" s="35"/>
      <c r="F897" s="35"/>
      <c r="G897" s="35"/>
      <c r="V897" s="37">
        <f t="shared" si="1"/>
        <v>0</v>
      </c>
    </row>
    <row r="898">
      <c r="A898" s="35"/>
      <c r="B898" s="35"/>
      <c r="C898" s="35"/>
      <c r="D898" s="35"/>
      <c r="E898" s="35"/>
      <c r="F898" s="35"/>
      <c r="G898" s="35"/>
      <c r="V898" s="37">
        <f t="shared" si="1"/>
        <v>0</v>
      </c>
    </row>
    <row r="899">
      <c r="A899" s="35"/>
      <c r="B899" s="35"/>
      <c r="C899" s="35"/>
      <c r="D899" s="35"/>
      <c r="E899" s="35"/>
      <c r="F899" s="35"/>
      <c r="G899" s="35"/>
      <c r="V899" s="37">
        <f t="shared" si="1"/>
        <v>0</v>
      </c>
    </row>
    <row r="900">
      <c r="A900" s="35"/>
      <c r="B900" s="35"/>
      <c r="C900" s="35"/>
      <c r="D900" s="35"/>
      <c r="E900" s="35"/>
      <c r="F900" s="35"/>
      <c r="G900" s="35"/>
      <c r="V900" s="37">
        <f t="shared" si="1"/>
        <v>0</v>
      </c>
    </row>
    <row r="901">
      <c r="A901" s="35"/>
      <c r="B901" s="35"/>
      <c r="C901" s="35"/>
      <c r="D901" s="35"/>
      <c r="E901" s="35"/>
      <c r="F901" s="35"/>
      <c r="G901" s="35"/>
      <c r="V901" s="37">
        <f t="shared" si="1"/>
        <v>0</v>
      </c>
    </row>
    <row r="902">
      <c r="A902" s="35"/>
      <c r="B902" s="35"/>
      <c r="C902" s="35"/>
      <c r="D902" s="35"/>
      <c r="E902" s="35"/>
      <c r="F902" s="35"/>
      <c r="G902" s="35"/>
      <c r="V902" s="37">
        <f t="shared" si="1"/>
        <v>0</v>
      </c>
    </row>
    <row r="903">
      <c r="A903" s="35"/>
      <c r="B903" s="35"/>
      <c r="C903" s="35"/>
      <c r="D903" s="35"/>
      <c r="E903" s="35"/>
      <c r="F903" s="35"/>
      <c r="G903" s="35"/>
      <c r="V903" s="37">
        <f t="shared" si="1"/>
        <v>0</v>
      </c>
    </row>
    <row r="904">
      <c r="A904" s="35"/>
      <c r="B904" s="35"/>
      <c r="C904" s="35"/>
      <c r="D904" s="35"/>
      <c r="E904" s="35"/>
      <c r="F904" s="35"/>
      <c r="G904" s="35"/>
      <c r="V904" s="37">
        <f t="shared" si="1"/>
        <v>0</v>
      </c>
    </row>
    <row r="905">
      <c r="A905" s="35"/>
      <c r="B905" s="35"/>
      <c r="C905" s="35"/>
      <c r="D905" s="35"/>
      <c r="E905" s="35"/>
      <c r="F905" s="35"/>
      <c r="G905" s="35"/>
      <c r="V905" s="37">
        <f t="shared" si="1"/>
        <v>0</v>
      </c>
    </row>
    <row r="906">
      <c r="A906" s="35"/>
      <c r="B906" s="35"/>
      <c r="C906" s="35"/>
      <c r="D906" s="35"/>
      <c r="E906" s="35"/>
      <c r="F906" s="35"/>
      <c r="G906" s="35"/>
      <c r="V906" s="37">
        <f t="shared" si="1"/>
        <v>0</v>
      </c>
    </row>
    <row r="907">
      <c r="A907" s="35"/>
      <c r="B907" s="35"/>
      <c r="C907" s="35"/>
      <c r="D907" s="35"/>
      <c r="E907" s="35"/>
      <c r="F907" s="35"/>
      <c r="G907" s="35"/>
      <c r="V907" s="37">
        <f t="shared" si="1"/>
        <v>0</v>
      </c>
    </row>
    <row r="908">
      <c r="A908" s="35"/>
      <c r="B908" s="35"/>
      <c r="C908" s="35"/>
      <c r="D908" s="35"/>
      <c r="E908" s="35"/>
      <c r="F908" s="35"/>
      <c r="G908" s="35"/>
      <c r="V908" s="37">
        <f t="shared" si="1"/>
        <v>0</v>
      </c>
    </row>
    <row r="909">
      <c r="A909" s="35"/>
      <c r="B909" s="35"/>
      <c r="C909" s="35"/>
      <c r="D909" s="35"/>
      <c r="E909" s="35"/>
      <c r="F909" s="35"/>
      <c r="G909" s="35"/>
      <c r="V909" s="37">
        <f t="shared" si="1"/>
        <v>0</v>
      </c>
    </row>
    <row r="910">
      <c r="A910" s="35"/>
      <c r="B910" s="35"/>
      <c r="C910" s="35"/>
      <c r="D910" s="35"/>
      <c r="E910" s="35"/>
      <c r="F910" s="35"/>
      <c r="G910" s="35"/>
      <c r="V910" s="37">
        <f t="shared" si="1"/>
        <v>0</v>
      </c>
    </row>
    <row r="911">
      <c r="A911" s="35"/>
      <c r="B911" s="35"/>
      <c r="C911" s="35"/>
      <c r="D911" s="35"/>
      <c r="E911" s="35"/>
      <c r="F911" s="35"/>
      <c r="G911" s="35"/>
      <c r="V911" s="37">
        <f t="shared" si="1"/>
        <v>0</v>
      </c>
    </row>
    <row r="912">
      <c r="A912" s="35"/>
      <c r="B912" s="35"/>
      <c r="C912" s="35"/>
      <c r="D912" s="35"/>
      <c r="E912" s="35"/>
      <c r="F912" s="35"/>
      <c r="G912" s="35"/>
      <c r="V912" s="37">
        <f t="shared" si="1"/>
        <v>0</v>
      </c>
    </row>
    <row r="913">
      <c r="A913" s="35"/>
      <c r="B913" s="35"/>
      <c r="C913" s="35"/>
      <c r="D913" s="35"/>
      <c r="E913" s="35"/>
      <c r="F913" s="35"/>
      <c r="G913" s="35"/>
      <c r="V913" s="37">
        <f t="shared" si="1"/>
        <v>0</v>
      </c>
    </row>
    <row r="914">
      <c r="A914" s="35"/>
      <c r="B914" s="35"/>
      <c r="C914" s="35"/>
      <c r="D914" s="35"/>
      <c r="E914" s="35"/>
      <c r="F914" s="35"/>
      <c r="G914" s="35"/>
      <c r="V914" s="37">
        <f t="shared" si="1"/>
        <v>0</v>
      </c>
    </row>
    <row r="915">
      <c r="A915" s="35"/>
      <c r="B915" s="35"/>
      <c r="C915" s="35"/>
      <c r="D915" s="35"/>
      <c r="E915" s="35"/>
      <c r="F915" s="35"/>
      <c r="G915" s="35"/>
      <c r="V915" s="37">
        <f t="shared" si="1"/>
        <v>0</v>
      </c>
    </row>
    <row r="916">
      <c r="A916" s="35"/>
      <c r="B916" s="35"/>
      <c r="C916" s="35"/>
      <c r="D916" s="35"/>
      <c r="E916" s="35"/>
      <c r="F916" s="35"/>
      <c r="G916" s="35"/>
      <c r="V916" s="37">
        <f t="shared" si="1"/>
        <v>0</v>
      </c>
    </row>
    <row r="917">
      <c r="A917" s="35"/>
      <c r="B917" s="35"/>
      <c r="C917" s="35"/>
      <c r="D917" s="35"/>
      <c r="E917" s="35"/>
      <c r="F917" s="35"/>
      <c r="G917" s="35"/>
      <c r="V917" s="37">
        <f t="shared" si="1"/>
        <v>0</v>
      </c>
    </row>
    <row r="918">
      <c r="A918" s="35"/>
      <c r="B918" s="35"/>
      <c r="C918" s="35"/>
      <c r="D918" s="35"/>
      <c r="E918" s="35"/>
      <c r="F918" s="35"/>
      <c r="G918" s="35"/>
      <c r="V918" s="37">
        <f t="shared" si="1"/>
        <v>0</v>
      </c>
    </row>
    <row r="919">
      <c r="A919" s="35"/>
      <c r="B919" s="35"/>
      <c r="C919" s="35"/>
      <c r="D919" s="35"/>
      <c r="E919" s="35"/>
      <c r="F919" s="35"/>
      <c r="G919" s="35"/>
      <c r="V919" s="37">
        <f t="shared" si="1"/>
        <v>0</v>
      </c>
    </row>
    <row r="920">
      <c r="A920" s="35"/>
      <c r="B920" s="35"/>
      <c r="C920" s="35"/>
      <c r="D920" s="35"/>
      <c r="E920" s="35"/>
      <c r="F920" s="35"/>
      <c r="G920" s="35"/>
      <c r="V920" s="37">
        <f t="shared" si="1"/>
        <v>0</v>
      </c>
    </row>
    <row r="921">
      <c r="A921" s="35"/>
      <c r="B921" s="35"/>
      <c r="C921" s="35"/>
      <c r="D921" s="35"/>
      <c r="E921" s="35"/>
      <c r="F921" s="35"/>
      <c r="G921" s="35"/>
      <c r="V921" s="37">
        <f t="shared" si="1"/>
        <v>0</v>
      </c>
    </row>
    <row r="922">
      <c r="A922" s="35"/>
      <c r="B922" s="35"/>
      <c r="C922" s="35"/>
      <c r="D922" s="35"/>
      <c r="E922" s="35"/>
      <c r="F922" s="35"/>
      <c r="G922" s="35"/>
      <c r="V922" s="37">
        <f t="shared" si="1"/>
        <v>0</v>
      </c>
    </row>
    <row r="923">
      <c r="A923" s="35"/>
      <c r="B923" s="35"/>
      <c r="C923" s="35"/>
      <c r="D923" s="35"/>
      <c r="E923" s="35"/>
      <c r="F923" s="35"/>
      <c r="G923" s="35"/>
      <c r="V923" s="37">
        <f t="shared" si="1"/>
        <v>0</v>
      </c>
    </row>
    <row r="924">
      <c r="A924" s="35"/>
      <c r="B924" s="35"/>
      <c r="C924" s="35"/>
      <c r="D924" s="35"/>
      <c r="E924" s="35"/>
      <c r="F924" s="35"/>
      <c r="G924" s="35"/>
      <c r="V924" s="37">
        <f t="shared" si="1"/>
        <v>0</v>
      </c>
    </row>
    <row r="925">
      <c r="A925" s="35"/>
      <c r="B925" s="35"/>
      <c r="C925" s="35"/>
      <c r="D925" s="35"/>
      <c r="E925" s="35"/>
      <c r="F925" s="35"/>
      <c r="G925" s="35"/>
      <c r="V925" s="37">
        <f t="shared" si="1"/>
        <v>0</v>
      </c>
    </row>
    <row r="926">
      <c r="A926" s="35"/>
      <c r="B926" s="35"/>
      <c r="C926" s="35"/>
      <c r="D926" s="35"/>
      <c r="E926" s="35"/>
      <c r="F926" s="35"/>
      <c r="G926" s="35"/>
      <c r="V926" s="37">
        <f t="shared" si="1"/>
        <v>0</v>
      </c>
    </row>
    <row r="927">
      <c r="A927" s="35"/>
      <c r="B927" s="35"/>
      <c r="C927" s="35"/>
      <c r="D927" s="35"/>
      <c r="E927" s="35"/>
      <c r="F927" s="35"/>
      <c r="G927" s="35"/>
      <c r="V927" s="37">
        <f t="shared" si="1"/>
        <v>0</v>
      </c>
    </row>
    <row r="928">
      <c r="A928" s="35"/>
      <c r="B928" s="35"/>
      <c r="C928" s="35"/>
      <c r="D928" s="35"/>
      <c r="E928" s="35"/>
      <c r="F928" s="35"/>
      <c r="G928" s="35"/>
      <c r="V928" s="37">
        <f t="shared" si="1"/>
        <v>0</v>
      </c>
    </row>
    <row r="929">
      <c r="A929" s="35"/>
      <c r="B929" s="35"/>
      <c r="C929" s="35"/>
      <c r="D929" s="35"/>
      <c r="E929" s="35"/>
      <c r="F929" s="35"/>
      <c r="G929" s="35"/>
      <c r="V929" s="37">
        <f t="shared" si="1"/>
        <v>0</v>
      </c>
    </row>
    <row r="930">
      <c r="A930" s="35"/>
      <c r="B930" s="35"/>
      <c r="C930" s="35"/>
      <c r="D930" s="35"/>
      <c r="E930" s="35"/>
      <c r="F930" s="35"/>
      <c r="G930" s="35"/>
      <c r="V930" s="37">
        <f t="shared" si="1"/>
        <v>0</v>
      </c>
    </row>
    <row r="931">
      <c r="A931" s="35"/>
      <c r="B931" s="35"/>
      <c r="C931" s="35"/>
      <c r="D931" s="35"/>
      <c r="E931" s="35"/>
      <c r="F931" s="35"/>
      <c r="G931" s="35"/>
      <c r="V931" s="37">
        <f t="shared" si="1"/>
        <v>0</v>
      </c>
    </row>
    <row r="932">
      <c r="A932" s="35"/>
      <c r="B932" s="35"/>
      <c r="C932" s="35"/>
      <c r="D932" s="35"/>
      <c r="E932" s="35"/>
      <c r="F932" s="35"/>
      <c r="G932" s="35"/>
      <c r="V932" s="37">
        <f t="shared" si="1"/>
        <v>0</v>
      </c>
    </row>
    <row r="933">
      <c r="A933" s="35"/>
      <c r="B933" s="35"/>
      <c r="C933" s="35"/>
      <c r="D933" s="35"/>
      <c r="E933" s="35"/>
      <c r="F933" s="35"/>
      <c r="G933" s="35"/>
      <c r="V933" s="37">
        <f t="shared" si="1"/>
        <v>0</v>
      </c>
    </row>
    <row r="934">
      <c r="A934" s="35"/>
      <c r="B934" s="35"/>
      <c r="C934" s="35"/>
      <c r="D934" s="35"/>
      <c r="E934" s="35"/>
      <c r="F934" s="35"/>
      <c r="G934" s="35"/>
      <c r="V934" s="37">
        <f t="shared" si="1"/>
        <v>0</v>
      </c>
    </row>
    <row r="935">
      <c r="A935" s="35"/>
      <c r="B935" s="35"/>
      <c r="C935" s="35"/>
      <c r="D935" s="35"/>
      <c r="E935" s="35"/>
      <c r="F935" s="35"/>
      <c r="G935" s="35"/>
      <c r="V935" s="37">
        <f t="shared" si="1"/>
        <v>0</v>
      </c>
    </row>
    <row r="936">
      <c r="A936" s="35"/>
      <c r="B936" s="35"/>
      <c r="C936" s="35"/>
      <c r="D936" s="35"/>
      <c r="E936" s="35"/>
      <c r="F936" s="35"/>
      <c r="G936" s="35"/>
      <c r="V936" s="37">
        <f t="shared" si="1"/>
        <v>0</v>
      </c>
    </row>
    <row r="937">
      <c r="A937" s="35"/>
      <c r="B937" s="35"/>
      <c r="C937" s="35"/>
      <c r="D937" s="35"/>
      <c r="E937" s="35"/>
      <c r="F937" s="35"/>
      <c r="G937" s="35"/>
      <c r="V937" s="37">
        <f t="shared" si="1"/>
        <v>0</v>
      </c>
    </row>
    <row r="938">
      <c r="A938" s="35"/>
      <c r="B938" s="35"/>
      <c r="C938" s="35"/>
      <c r="D938" s="35"/>
      <c r="E938" s="35"/>
      <c r="F938" s="35"/>
      <c r="G938" s="35"/>
      <c r="V938" s="37">
        <f t="shared" si="1"/>
        <v>0</v>
      </c>
    </row>
    <row r="939">
      <c r="A939" s="35"/>
      <c r="B939" s="35"/>
      <c r="C939" s="35"/>
      <c r="D939" s="35"/>
      <c r="E939" s="35"/>
      <c r="F939" s="35"/>
      <c r="G939" s="35"/>
      <c r="V939" s="37">
        <f t="shared" si="1"/>
        <v>0</v>
      </c>
    </row>
    <row r="940">
      <c r="A940" s="35"/>
      <c r="B940" s="35"/>
      <c r="C940" s="35"/>
      <c r="D940" s="35"/>
      <c r="E940" s="35"/>
      <c r="F940" s="35"/>
      <c r="G940" s="35"/>
      <c r="V940" s="37">
        <f t="shared" si="1"/>
        <v>0</v>
      </c>
    </row>
    <row r="941">
      <c r="A941" s="35"/>
      <c r="B941" s="35"/>
      <c r="C941" s="35"/>
      <c r="D941" s="35"/>
      <c r="E941" s="35"/>
      <c r="F941" s="35"/>
      <c r="G941" s="35"/>
      <c r="V941" s="37">
        <f t="shared" si="1"/>
        <v>0</v>
      </c>
    </row>
    <row r="942">
      <c r="A942" s="35"/>
      <c r="B942" s="35"/>
      <c r="C942" s="35"/>
      <c r="D942" s="35"/>
      <c r="E942" s="35"/>
      <c r="F942" s="35"/>
      <c r="G942" s="35"/>
      <c r="V942" s="37">
        <f t="shared" si="1"/>
        <v>0</v>
      </c>
    </row>
    <row r="943">
      <c r="A943" s="35"/>
      <c r="B943" s="35"/>
      <c r="C943" s="35"/>
      <c r="D943" s="35"/>
      <c r="E943" s="35"/>
      <c r="F943" s="35"/>
      <c r="G943" s="35"/>
      <c r="V943" s="37">
        <f t="shared" si="1"/>
        <v>0</v>
      </c>
    </row>
    <row r="944">
      <c r="A944" s="35"/>
      <c r="B944" s="35"/>
      <c r="C944" s="35"/>
      <c r="D944" s="35"/>
      <c r="E944" s="35"/>
      <c r="F944" s="35"/>
      <c r="G944" s="35"/>
      <c r="V944" s="37">
        <f t="shared" si="1"/>
        <v>0</v>
      </c>
    </row>
    <row r="945">
      <c r="A945" s="35"/>
      <c r="B945" s="35"/>
      <c r="C945" s="35"/>
      <c r="D945" s="35"/>
      <c r="E945" s="35"/>
      <c r="F945" s="35"/>
      <c r="G945" s="35"/>
      <c r="V945" s="37">
        <f t="shared" si="1"/>
        <v>0</v>
      </c>
    </row>
    <row r="946">
      <c r="A946" s="35"/>
      <c r="B946" s="35"/>
      <c r="C946" s="35"/>
      <c r="D946" s="35"/>
      <c r="E946" s="35"/>
      <c r="F946" s="35"/>
      <c r="G946" s="35"/>
      <c r="V946" s="37">
        <f t="shared" si="1"/>
        <v>0</v>
      </c>
    </row>
    <row r="947">
      <c r="A947" s="35"/>
      <c r="B947" s="35"/>
      <c r="C947" s="35"/>
      <c r="D947" s="35"/>
      <c r="E947" s="35"/>
      <c r="F947" s="35"/>
      <c r="G947" s="35"/>
      <c r="V947" s="37">
        <f t="shared" si="1"/>
        <v>0</v>
      </c>
    </row>
    <row r="948">
      <c r="A948" s="35"/>
      <c r="B948" s="35"/>
      <c r="C948" s="35"/>
      <c r="D948" s="35"/>
      <c r="E948" s="35"/>
      <c r="F948" s="35"/>
      <c r="G948" s="35"/>
      <c r="V948" s="37">
        <f t="shared" si="1"/>
        <v>0</v>
      </c>
    </row>
    <row r="949">
      <c r="A949" s="35"/>
      <c r="B949" s="35"/>
      <c r="C949" s="35"/>
      <c r="D949" s="35"/>
      <c r="E949" s="35"/>
      <c r="F949" s="35"/>
      <c r="G949" s="35"/>
      <c r="V949" s="37">
        <f t="shared" si="1"/>
        <v>0</v>
      </c>
    </row>
    <row r="950">
      <c r="A950" s="35"/>
      <c r="B950" s="35"/>
      <c r="C950" s="35"/>
      <c r="D950" s="35"/>
      <c r="E950" s="35"/>
      <c r="F950" s="35"/>
      <c r="G950" s="35"/>
      <c r="V950" s="37">
        <f t="shared" si="1"/>
        <v>0</v>
      </c>
    </row>
    <row r="951">
      <c r="A951" s="35"/>
      <c r="B951" s="35"/>
      <c r="C951" s="35"/>
      <c r="D951" s="35"/>
      <c r="E951" s="35"/>
      <c r="F951" s="35"/>
      <c r="G951" s="35"/>
      <c r="V951" s="37">
        <f t="shared" si="1"/>
        <v>0</v>
      </c>
    </row>
    <row r="952">
      <c r="A952" s="35"/>
      <c r="B952" s="35"/>
      <c r="C952" s="35"/>
      <c r="D952" s="35"/>
      <c r="E952" s="35"/>
      <c r="F952" s="35"/>
      <c r="G952" s="35"/>
      <c r="V952" s="37">
        <f t="shared" si="1"/>
        <v>0</v>
      </c>
    </row>
    <row r="953">
      <c r="A953" s="35"/>
      <c r="B953" s="35"/>
      <c r="C953" s="35"/>
      <c r="D953" s="35"/>
      <c r="E953" s="35"/>
      <c r="F953" s="35"/>
      <c r="G953" s="35"/>
      <c r="V953" s="37">
        <f t="shared" si="1"/>
        <v>0</v>
      </c>
    </row>
    <row r="954">
      <c r="A954" s="35"/>
      <c r="B954" s="35"/>
      <c r="C954" s="35"/>
      <c r="D954" s="35"/>
      <c r="E954" s="35"/>
      <c r="F954" s="35"/>
      <c r="G954" s="35"/>
      <c r="V954" s="37">
        <f t="shared" si="1"/>
        <v>0</v>
      </c>
    </row>
    <row r="955">
      <c r="A955" s="35"/>
      <c r="B955" s="35"/>
      <c r="C955" s="35"/>
      <c r="D955" s="35"/>
      <c r="E955" s="35"/>
      <c r="F955" s="35"/>
      <c r="G955" s="35"/>
      <c r="V955" s="37">
        <f t="shared" si="1"/>
        <v>0</v>
      </c>
    </row>
    <row r="956">
      <c r="A956" s="35"/>
      <c r="B956" s="35"/>
      <c r="C956" s="35"/>
      <c r="D956" s="35"/>
      <c r="E956" s="35"/>
      <c r="F956" s="35"/>
      <c r="G956" s="35"/>
      <c r="V956" s="37">
        <f t="shared" si="1"/>
        <v>0</v>
      </c>
    </row>
    <row r="957">
      <c r="A957" s="35"/>
      <c r="B957" s="35"/>
      <c r="C957" s="35"/>
      <c r="D957" s="35"/>
      <c r="E957" s="35"/>
      <c r="F957" s="35"/>
      <c r="G957" s="35"/>
      <c r="V957" s="37">
        <f t="shared" si="1"/>
        <v>0</v>
      </c>
    </row>
    <row r="958">
      <c r="A958" s="35"/>
      <c r="B958" s="35"/>
      <c r="C958" s="35"/>
      <c r="D958" s="35"/>
      <c r="E958" s="35"/>
      <c r="F958" s="35"/>
      <c r="G958" s="35"/>
      <c r="V958" s="37">
        <f t="shared" si="1"/>
        <v>0</v>
      </c>
    </row>
    <row r="959">
      <c r="A959" s="35"/>
      <c r="B959" s="35"/>
      <c r="C959" s="35"/>
      <c r="D959" s="35"/>
      <c r="E959" s="35"/>
      <c r="F959" s="35"/>
      <c r="G959" s="35"/>
      <c r="V959" s="37">
        <f t="shared" si="1"/>
        <v>0</v>
      </c>
    </row>
    <row r="960">
      <c r="A960" s="35"/>
      <c r="B960" s="35"/>
      <c r="C960" s="35"/>
      <c r="D960" s="35"/>
      <c r="E960" s="35"/>
      <c r="F960" s="35"/>
      <c r="G960" s="35"/>
      <c r="V960" s="37">
        <f t="shared" si="1"/>
        <v>0</v>
      </c>
    </row>
    <row r="961">
      <c r="A961" s="35"/>
      <c r="B961" s="35"/>
      <c r="C961" s="35"/>
      <c r="D961" s="35"/>
      <c r="E961" s="35"/>
      <c r="F961" s="35"/>
      <c r="G961" s="35"/>
      <c r="V961" s="37">
        <f t="shared" si="1"/>
        <v>0</v>
      </c>
    </row>
    <row r="962">
      <c r="A962" s="35"/>
      <c r="B962" s="35"/>
      <c r="C962" s="35"/>
      <c r="D962" s="35"/>
      <c r="E962" s="35"/>
      <c r="F962" s="35"/>
      <c r="G962" s="35"/>
      <c r="V962" s="37">
        <f t="shared" si="1"/>
        <v>0</v>
      </c>
    </row>
    <row r="963">
      <c r="A963" s="35"/>
      <c r="B963" s="35"/>
      <c r="C963" s="35"/>
      <c r="D963" s="35"/>
      <c r="E963" s="35"/>
      <c r="F963" s="35"/>
      <c r="G963" s="35"/>
      <c r="V963" s="37">
        <f t="shared" si="1"/>
        <v>0</v>
      </c>
    </row>
    <row r="964">
      <c r="A964" s="35"/>
      <c r="B964" s="35"/>
      <c r="C964" s="35"/>
      <c r="D964" s="35"/>
      <c r="E964" s="35"/>
      <c r="F964" s="35"/>
      <c r="G964" s="35"/>
      <c r="V964" s="37">
        <f t="shared" si="1"/>
        <v>0</v>
      </c>
    </row>
    <row r="965">
      <c r="A965" s="35"/>
      <c r="B965" s="35"/>
      <c r="C965" s="35"/>
      <c r="D965" s="35"/>
      <c r="E965" s="35"/>
      <c r="F965" s="35"/>
      <c r="G965" s="35"/>
      <c r="V965" s="37">
        <f t="shared" si="1"/>
        <v>0</v>
      </c>
    </row>
    <row r="966">
      <c r="A966" s="35"/>
      <c r="B966" s="35"/>
      <c r="C966" s="35"/>
      <c r="D966" s="35"/>
      <c r="E966" s="35"/>
      <c r="F966" s="35"/>
      <c r="G966" s="35"/>
      <c r="V966" s="37">
        <f t="shared" si="1"/>
        <v>0</v>
      </c>
    </row>
    <row r="967">
      <c r="A967" s="35"/>
      <c r="B967" s="35"/>
      <c r="C967" s="35"/>
      <c r="D967" s="35"/>
      <c r="E967" s="35"/>
      <c r="F967" s="35"/>
      <c r="G967" s="35"/>
      <c r="V967" s="37">
        <f t="shared" si="1"/>
        <v>0</v>
      </c>
    </row>
    <row r="968">
      <c r="A968" s="35"/>
      <c r="B968" s="35"/>
      <c r="C968" s="35"/>
      <c r="D968" s="35"/>
      <c r="E968" s="35"/>
      <c r="F968" s="35"/>
      <c r="G968" s="35"/>
      <c r="V968" s="37">
        <f t="shared" si="1"/>
        <v>0</v>
      </c>
    </row>
    <row r="969">
      <c r="A969" s="35"/>
      <c r="B969" s="35"/>
      <c r="C969" s="35"/>
      <c r="D969" s="35"/>
      <c r="E969" s="35"/>
      <c r="F969" s="35"/>
      <c r="G969" s="35"/>
      <c r="V969" s="37">
        <f t="shared" si="1"/>
        <v>0</v>
      </c>
    </row>
    <row r="970">
      <c r="A970" s="35"/>
      <c r="B970" s="35"/>
      <c r="C970" s="35"/>
      <c r="D970" s="35"/>
      <c r="E970" s="35"/>
      <c r="F970" s="35"/>
      <c r="G970" s="35"/>
      <c r="V970" s="37">
        <f t="shared" si="1"/>
        <v>0</v>
      </c>
    </row>
    <row r="971">
      <c r="A971" s="35"/>
      <c r="B971" s="35"/>
      <c r="C971" s="35"/>
      <c r="D971" s="35"/>
      <c r="E971" s="35"/>
      <c r="F971" s="35"/>
      <c r="G971" s="35"/>
      <c r="V971" s="37">
        <f t="shared" si="1"/>
        <v>0</v>
      </c>
    </row>
    <row r="972">
      <c r="A972" s="35"/>
      <c r="B972" s="35"/>
      <c r="C972" s="35"/>
      <c r="D972" s="35"/>
      <c r="E972" s="35"/>
      <c r="F972" s="35"/>
      <c r="G972" s="35"/>
      <c r="V972" s="37">
        <f t="shared" si="1"/>
        <v>0</v>
      </c>
    </row>
    <row r="973">
      <c r="A973" s="35"/>
      <c r="B973" s="35"/>
      <c r="C973" s="35"/>
      <c r="D973" s="35"/>
      <c r="E973" s="35"/>
      <c r="F973" s="35"/>
      <c r="G973" s="35"/>
      <c r="V973" s="37">
        <f t="shared" si="1"/>
        <v>0</v>
      </c>
    </row>
    <row r="974">
      <c r="A974" s="35"/>
      <c r="B974" s="35"/>
      <c r="C974" s="35"/>
      <c r="D974" s="35"/>
      <c r="E974" s="35"/>
      <c r="F974" s="35"/>
      <c r="G974" s="35"/>
      <c r="V974" s="37">
        <f t="shared" si="1"/>
        <v>0</v>
      </c>
    </row>
    <row r="975">
      <c r="A975" s="35"/>
      <c r="B975" s="35"/>
      <c r="C975" s="35"/>
      <c r="D975" s="35"/>
      <c r="E975" s="35"/>
      <c r="F975" s="35"/>
      <c r="G975" s="35"/>
      <c r="V975" s="37">
        <f t="shared" si="1"/>
        <v>0</v>
      </c>
    </row>
    <row r="976">
      <c r="A976" s="35"/>
      <c r="B976" s="35"/>
      <c r="C976" s="35"/>
      <c r="D976" s="35"/>
      <c r="E976" s="35"/>
      <c r="F976" s="35"/>
      <c r="G976" s="35"/>
      <c r="V976" s="37">
        <f t="shared" si="1"/>
        <v>0</v>
      </c>
    </row>
    <row r="977">
      <c r="A977" s="35"/>
      <c r="B977" s="35"/>
      <c r="C977" s="35"/>
      <c r="D977" s="35"/>
      <c r="E977" s="35"/>
      <c r="F977" s="35"/>
      <c r="G977" s="35"/>
      <c r="V977" s="37">
        <f t="shared" si="1"/>
        <v>0</v>
      </c>
    </row>
    <row r="978">
      <c r="A978" s="35"/>
      <c r="B978" s="35"/>
      <c r="C978" s="35"/>
      <c r="D978" s="35"/>
      <c r="E978" s="35"/>
      <c r="F978" s="35"/>
      <c r="G978" s="35"/>
      <c r="V978" s="37">
        <f t="shared" si="1"/>
        <v>0</v>
      </c>
    </row>
    <row r="979">
      <c r="A979" s="35"/>
      <c r="B979" s="35"/>
      <c r="C979" s="35"/>
      <c r="D979" s="35"/>
      <c r="E979" s="35"/>
      <c r="F979" s="35"/>
      <c r="G979" s="35"/>
      <c r="V979" s="37">
        <f t="shared" si="1"/>
        <v>0</v>
      </c>
    </row>
    <row r="980">
      <c r="A980" s="35"/>
      <c r="B980" s="35"/>
      <c r="C980" s="35"/>
      <c r="D980" s="35"/>
      <c r="E980" s="35"/>
      <c r="F980" s="35"/>
      <c r="G980" s="35"/>
      <c r="V980" s="37">
        <f t="shared" si="1"/>
        <v>0</v>
      </c>
    </row>
    <row r="981">
      <c r="A981" s="35"/>
      <c r="B981" s="35"/>
      <c r="C981" s="35"/>
      <c r="D981" s="35"/>
      <c r="E981" s="35"/>
      <c r="F981" s="35"/>
      <c r="G981" s="35"/>
      <c r="V981" s="37">
        <f t="shared" si="1"/>
        <v>0</v>
      </c>
    </row>
    <row r="982">
      <c r="A982" s="35"/>
      <c r="B982" s="35"/>
      <c r="C982" s="35"/>
      <c r="D982" s="35"/>
      <c r="E982" s="35"/>
      <c r="F982" s="35"/>
      <c r="G982" s="35"/>
      <c r="V982" s="37">
        <f t="shared" si="1"/>
        <v>0</v>
      </c>
    </row>
    <row r="983">
      <c r="A983" s="35"/>
      <c r="B983" s="35"/>
      <c r="C983" s="35"/>
      <c r="D983" s="35"/>
      <c r="E983" s="35"/>
      <c r="F983" s="35"/>
      <c r="G983" s="35"/>
      <c r="V983" s="37">
        <f t="shared" si="1"/>
        <v>0</v>
      </c>
    </row>
    <row r="984">
      <c r="A984" s="35"/>
      <c r="B984" s="35"/>
      <c r="C984" s="35"/>
      <c r="D984" s="35"/>
      <c r="E984" s="35"/>
      <c r="F984" s="35"/>
      <c r="G984" s="35"/>
      <c r="V984" s="37">
        <f t="shared" si="1"/>
        <v>0</v>
      </c>
    </row>
    <row r="985">
      <c r="A985" s="35"/>
      <c r="B985" s="35"/>
      <c r="C985" s="35"/>
      <c r="D985" s="35"/>
      <c r="E985" s="35"/>
      <c r="F985" s="35"/>
      <c r="G985" s="35"/>
      <c r="V985" s="37">
        <f t="shared" si="1"/>
        <v>0</v>
      </c>
    </row>
    <row r="986">
      <c r="A986" s="35"/>
      <c r="B986" s="35"/>
      <c r="C986" s="35"/>
      <c r="D986" s="35"/>
      <c r="E986" s="35"/>
      <c r="F986" s="35"/>
      <c r="G986" s="35"/>
      <c r="V986" s="37">
        <f t="shared" si="1"/>
        <v>0</v>
      </c>
    </row>
    <row r="987">
      <c r="A987" s="35"/>
      <c r="B987" s="35"/>
      <c r="C987" s="35"/>
      <c r="D987" s="35"/>
      <c r="E987" s="35"/>
      <c r="F987" s="35"/>
      <c r="G987" s="35"/>
      <c r="V987" s="37">
        <f t="shared" si="1"/>
        <v>0</v>
      </c>
    </row>
    <row r="988">
      <c r="A988" s="35"/>
      <c r="B988" s="35"/>
      <c r="C988" s="35"/>
      <c r="D988" s="35"/>
      <c r="E988" s="35"/>
      <c r="F988" s="35"/>
      <c r="G988" s="35"/>
      <c r="V988" s="37">
        <f t="shared" si="1"/>
        <v>0</v>
      </c>
    </row>
    <row r="989">
      <c r="A989" s="35"/>
      <c r="B989" s="35"/>
      <c r="C989" s="35"/>
      <c r="D989" s="35"/>
      <c r="E989" s="35"/>
      <c r="F989" s="35"/>
      <c r="G989" s="35"/>
      <c r="V989" s="37">
        <f t="shared" si="1"/>
        <v>0</v>
      </c>
    </row>
    <row r="990">
      <c r="A990" s="35"/>
      <c r="B990" s="35"/>
      <c r="C990" s="35"/>
      <c r="D990" s="35"/>
      <c r="E990" s="35"/>
      <c r="F990" s="35"/>
      <c r="G990" s="35"/>
      <c r="V990" s="37">
        <f t="shared" si="1"/>
        <v>0</v>
      </c>
    </row>
    <row r="991">
      <c r="A991" s="35"/>
      <c r="B991" s="35"/>
      <c r="C991" s="35"/>
      <c r="D991" s="35"/>
      <c r="E991" s="35"/>
      <c r="F991" s="35"/>
      <c r="G991" s="35"/>
      <c r="V991" s="37">
        <f t="shared" si="1"/>
        <v>0</v>
      </c>
    </row>
    <row r="992">
      <c r="A992" s="35"/>
      <c r="B992" s="35"/>
      <c r="C992" s="35"/>
      <c r="D992" s="35"/>
      <c r="E992" s="35"/>
      <c r="F992" s="35"/>
      <c r="G992" s="35"/>
      <c r="V992" s="37">
        <f t="shared" si="1"/>
        <v>0</v>
      </c>
    </row>
    <row r="993">
      <c r="A993" s="35"/>
      <c r="B993" s="35"/>
      <c r="C993" s="35"/>
      <c r="D993" s="35"/>
      <c r="E993" s="35"/>
      <c r="F993" s="35"/>
      <c r="G993" s="35"/>
      <c r="V993" s="37">
        <f t="shared" si="1"/>
        <v>0</v>
      </c>
    </row>
    <row r="994">
      <c r="A994" s="35"/>
      <c r="B994" s="35"/>
      <c r="C994" s="35"/>
      <c r="D994" s="35"/>
      <c r="E994" s="35"/>
      <c r="F994" s="35"/>
      <c r="G994" s="35"/>
      <c r="V994" s="37">
        <f t="shared" si="1"/>
        <v>0</v>
      </c>
    </row>
    <row r="995">
      <c r="A995" s="35"/>
      <c r="B995" s="35"/>
      <c r="C995" s="35"/>
      <c r="D995" s="35"/>
      <c r="E995" s="35"/>
      <c r="F995" s="35"/>
      <c r="G995" s="35"/>
      <c r="V995" s="37">
        <f t="shared" si="1"/>
        <v>0</v>
      </c>
    </row>
    <row r="996">
      <c r="A996" s="35"/>
      <c r="B996" s="35"/>
      <c r="C996" s="35"/>
      <c r="D996" s="35"/>
      <c r="E996" s="35"/>
      <c r="F996" s="35"/>
      <c r="G996" s="35"/>
      <c r="V996" s="37">
        <f t="shared" si="1"/>
        <v>0</v>
      </c>
    </row>
    <row r="997">
      <c r="A997" s="35"/>
      <c r="B997" s="35"/>
      <c r="C997" s="35"/>
      <c r="D997" s="35"/>
      <c r="E997" s="35"/>
      <c r="F997" s="35"/>
      <c r="G997" s="35"/>
      <c r="V997" s="37">
        <f t="shared" si="1"/>
        <v>0</v>
      </c>
    </row>
    <row r="998">
      <c r="A998" s="35"/>
      <c r="B998" s="35"/>
      <c r="C998" s="35"/>
      <c r="D998" s="35"/>
      <c r="E998" s="35"/>
      <c r="F998" s="35"/>
      <c r="G998" s="35"/>
      <c r="V998" s="37">
        <f t="shared" si="1"/>
        <v>0</v>
      </c>
    </row>
    <row r="999">
      <c r="A999" s="35"/>
      <c r="B999" s="35"/>
      <c r="C999" s="35"/>
      <c r="D999" s="35"/>
      <c r="E999" s="35"/>
      <c r="F999" s="35"/>
      <c r="G999" s="35"/>
      <c r="V999" s="37">
        <f t="shared" si="1"/>
        <v>0</v>
      </c>
    </row>
    <row r="1000">
      <c r="A1000" s="35"/>
      <c r="B1000" s="35"/>
      <c r="C1000" s="35"/>
      <c r="D1000" s="35"/>
      <c r="E1000" s="35"/>
      <c r="F1000" s="35"/>
      <c r="G1000" s="35"/>
      <c r="V1000" s="37">
        <f t="shared" si="1"/>
        <v>0</v>
      </c>
    </row>
  </sheetData>
  <dataValidations>
    <dataValidation type="list" allowBlank="1" showErrorMessage="1" sqref="B2:B1000">
      <formula1>'預算欄位參數表'!$C$2:$C1000</formula1>
    </dataValidation>
    <dataValidation type="list" allowBlank="1" showErrorMessage="1" sqref="C2:C1000">
      <formula1>'預算欄位參數表'!$E$2:$E1000</formula1>
    </dataValidation>
    <dataValidation type="list" allowBlank="1" showErrorMessage="1" sqref="A2:A1000">
      <formula1>'預算欄位參數表'!$A$1:$A1000</formula1>
    </dataValidation>
    <dataValidation type="list" allowBlank="1" showErrorMessage="1" sqref="E2:E1000">
      <formula1>'預算欄位參數表'!$I$2:$I1000</formula1>
    </dataValidation>
    <dataValidation type="list" allowBlank="1" showErrorMessage="1" sqref="D2:D1000">
      <formula1>'預算欄位參數表'!$G$2:$G1000</formula1>
    </dataValidation>
    <dataValidation type="list" allowBlank="1" showErrorMessage="1" sqref="F2:F1000">
      <formula1>'預算欄位參數表'!$L$2:L1000</formula1>
    </dataValidation>
    <dataValidation type="list" allowBlank="1" showErrorMessage="1" sqref="G2:G1000">
      <formula1>'預算欄位參數表'!$J$2:J1000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5" max="5" width="16.0"/>
    <col customWidth="1" min="6" max="6" width="45.0"/>
    <col customWidth="1" min="7" max="7" width="13.13"/>
    <col customWidth="1" min="8" max="9" width="15.5"/>
  </cols>
  <sheetData>
    <row r="1">
      <c r="A1" s="27" t="s">
        <v>0</v>
      </c>
      <c r="B1" s="28" t="s">
        <v>1</v>
      </c>
      <c r="C1" s="28" t="s">
        <v>2</v>
      </c>
      <c r="D1" s="27" t="s">
        <v>3</v>
      </c>
      <c r="E1" s="28" t="s">
        <v>4</v>
      </c>
      <c r="F1" s="27" t="s">
        <v>5</v>
      </c>
      <c r="G1" s="27" t="s">
        <v>6</v>
      </c>
      <c r="H1" s="28" t="s">
        <v>7</v>
      </c>
      <c r="I1" s="28" t="s">
        <v>8</v>
      </c>
      <c r="J1" s="29">
        <v>46023.0</v>
      </c>
      <c r="K1" s="29">
        <v>46054.0</v>
      </c>
      <c r="L1" s="29">
        <v>46082.0</v>
      </c>
      <c r="M1" s="29">
        <v>46113.0</v>
      </c>
      <c r="N1" s="29">
        <v>46143.0</v>
      </c>
      <c r="O1" s="29">
        <v>46174.0</v>
      </c>
      <c r="P1" s="29">
        <v>46204.0</v>
      </c>
      <c r="Q1" s="29">
        <v>46235.0</v>
      </c>
      <c r="R1" s="29">
        <v>46266.0</v>
      </c>
      <c r="S1" s="29">
        <v>46296.0</v>
      </c>
      <c r="T1" s="29">
        <v>46327.0</v>
      </c>
      <c r="U1" s="29">
        <v>46357.0</v>
      </c>
      <c r="V1" s="27" t="s">
        <v>21</v>
      </c>
      <c r="W1" s="27"/>
      <c r="X1" s="27"/>
      <c r="Y1" s="27"/>
      <c r="Z1" s="27"/>
    </row>
    <row r="2">
      <c r="A2" s="30" t="s">
        <v>27</v>
      </c>
      <c r="B2" s="30" t="s">
        <v>28</v>
      </c>
      <c r="C2" s="30" t="s">
        <v>39</v>
      </c>
      <c r="D2" s="30" t="s">
        <v>40</v>
      </c>
      <c r="E2" s="28"/>
      <c r="F2" s="28"/>
      <c r="G2" s="30" t="s">
        <v>33</v>
      </c>
      <c r="H2" s="30" t="s">
        <v>41</v>
      </c>
      <c r="I2" s="28"/>
      <c r="J2" s="31">
        <v>0.1</v>
      </c>
      <c r="K2" s="31">
        <v>0.3</v>
      </c>
      <c r="L2" s="31">
        <v>0.3</v>
      </c>
      <c r="M2" s="31">
        <v>0.3</v>
      </c>
      <c r="N2" s="31">
        <v>0.3</v>
      </c>
      <c r="O2" s="31">
        <v>0.3</v>
      </c>
      <c r="P2" s="31">
        <v>0.3</v>
      </c>
      <c r="Q2" s="31">
        <v>0.3</v>
      </c>
      <c r="R2" s="31">
        <v>0.3</v>
      </c>
      <c r="S2" s="31">
        <v>0.3</v>
      </c>
      <c r="T2" s="31">
        <v>0.3</v>
      </c>
      <c r="U2" s="31">
        <v>0.3</v>
      </c>
      <c r="V2" s="32">
        <f t="shared" ref="V2:V1000" si="1">SUM(B2:U2)</f>
        <v>3.4</v>
      </c>
      <c r="W2" s="27"/>
      <c r="X2" s="27"/>
      <c r="Y2" s="27"/>
      <c r="Z2" s="27"/>
    </row>
    <row r="3">
      <c r="A3" s="34" t="s">
        <v>27</v>
      </c>
      <c r="B3" s="34" t="s">
        <v>45</v>
      </c>
      <c r="C3" s="34" t="s">
        <v>45</v>
      </c>
      <c r="D3" s="34" t="s">
        <v>45</v>
      </c>
      <c r="E3" s="34" t="s">
        <v>42</v>
      </c>
      <c r="F3" s="34" t="s">
        <v>32</v>
      </c>
      <c r="G3" s="34" t="s">
        <v>33</v>
      </c>
      <c r="H3" s="34" t="s">
        <v>46</v>
      </c>
      <c r="I3" s="27"/>
      <c r="J3" s="34">
        <f>1-sumif('人事比例樞紐'!$A$3:$A1000,$H3,'人事比例樞紐'!B$3)</f>
        <v>1</v>
      </c>
      <c r="K3" s="34">
        <f>1-sumif('人事比例樞紐'!$A$3:$A1000,$H3,'人事比例樞紐'!C$3)</f>
        <v>1</v>
      </c>
      <c r="L3" s="34">
        <f>1-sumif('人事比例樞紐'!$A$3:$A1000,$H3,'人事比例樞紐'!D$3)</f>
        <v>1</v>
      </c>
      <c r="M3" s="34">
        <f>1-sumif('人事比例樞紐'!$A$3:$A1000,$H3,'人事比例樞紐'!E$3)</f>
        <v>1</v>
      </c>
      <c r="N3" s="34">
        <f>1-sumif('人事比例樞紐'!$A$3:$A1000,$H3,'人事比例樞紐'!F$3)</f>
        <v>1</v>
      </c>
      <c r="O3" s="34">
        <f>1-sumif('人事比例樞紐'!$A$3:$A1000,$H3,'人事比例樞紐'!G$3)</f>
        <v>1</v>
      </c>
      <c r="P3" s="34">
        <f>1-sumif('人事比例樞紐'!$A$3:$A1000,$H3,'人事比例樞紐'!H$3)</f>
        <v>1</v>
      </c>
      <c r="Q3" s="34">
        <f>1-sumif('人事比例樞紐'!$A$3:$A1000,$H3,'人事比例樞紐'!I$3)</f>
        <v>1</v>
      </c>
      <c r="R3" s="34">
        <f>1-sumif('人事比例樞紐'!$A$3:$A1000,$H3,'人事比例樞紐'!J$3)</f>
        <v>1</v>
      </c>
      <c r="S3" s="34">
        <f>1-sumif('人事比例樞紐'!$A$3:$A1000,$H3,'人事比例樞紐'!K$3)</f>
        <v>1</v>
      </c>
      <c r="T3" s="34">
        <f>1-sumif('人事比例樞紐'!$A$3:$A1000,$H3,'人事比例樞紐'!L$3)</f>
        <v>1</v>
      </c>
      <c r="U3" s="34">
        <f>1-sumif('人事比例樞紐'!$A$3:$A1000,$H3,'人事比例樞紐'!M$3)</f>
        <v>1</v>
      </c>
      <c r="V3" s="33">
        <f t="shared" si="1"/>
        <v>12</v>
      </c>
      <c r="W3" s="27"/>
      <c r="X3" s="27"/>
      <c r="Y3" s="27"/>
      <c r="Z3" s="27"/>
    </row>
    <row r="4">
      <c r="A4" s="34" t="s">
        <v>27</v>
      </c>
      <c r="B4" s="34" t="s">
        <v>45</v>
      </c>
      <c r="C4" s="34" t="s">
        <v>45</v>
      </c>
      <c r="D4" s="34" t="s">
        <v>45</v>
      </c>
      <c r="E4" s="34" t="s">
        <v>42</v>
      </c>
      <c r="F4" s="34" t="s">
        <v>32</v>
      </c>
      <c r="G4" s="34" t="s">
        <v>33</v>
      </c>
      <c r="H4" s="34" t="s">
        <v>47</v>
      </c>
      <c r="I4" s="27"/>
      <c r="J4" s="34">
        <f>1-sumif('人事比例樞紐'!$A$3:$A1000,$H4,'人事比例樞紐'!B$3)</f>
        <v>1</v>
      </c>
      <c r="K4" s="34">
        <f>1-sumif('人事比例樞紐'!$A$3:$A1000,$H4,'人事比例樞紐'!C$3)</f>
        <v>1</v>
      </c>
      <c r="L4" s="34">
        <f>1-sumif('人事比例樞紐'!$A$3:$A1000,$H4,'人事比例樞紐'!D$3)</f>
        <v>1</v>
      </c>
      <c r="M4" s="34">
        <f>1-sumif('人事比例樞紐'!$A$3:$A1000,$H4,'人事比例樞紐'!E$3)</f>
        <v>1</v>
      </c>
      <c r="N4" s="34">
        <f>1-sumif('人事比例樞紐'!$A$3:$A1000,$H4,'人事比例樞紐'!F$3)</f>
        <v>1</v>
      </c>
      <c r="O4" s="34">
        <f>1-sumif('人事比例樞紐'!$A$3:$A1000,$H4,'人事比例樞紐'!G$3)</f>
        <v>1</v>
      </c>
      <c r="P4" s="34">
        <f>1-sumif('人事比例樞紐'!$A$3:$A1000,$H4,'人事比例樞紐'!H$3)</f>
        <v>1</v>
      </c>
      <c r="Q4" s="34">
        <f>1-sumif('人事比例樞紐'!$A$3:$A1000,$H4,'人事比例樞紐'!I$3)</f>
        <v>1</v>
      </c>
      <c r="R4" s="34">
        <f>1-sumif('人事比例樞紐'!$A$3:$A1000,$H4,'人事比例樞紐'!J$3)</f>
        <v>1</v>
      </c>
      <c r="S4" s="34">
        <f>1-sumif('人事比例樞紐'!$A$3:$A1000,$H4,'人事比例樞紐'!K$3)</f>
        <v>1</v>
      </c>
      <c r="T4" s="34">
        <f>1-sumif('人事比例樞紐'!$A$3:$A1000,$H4,'人事比例樞紐'!L$3)</f>
        <v>1</v>
      </c>
      <c r="U4" s="34">
        <f>1-sumif('人事比例樞紐'!$A$3:$A1000,$H4,'人事比例樞紐'!M$3)</f>
        <v>1</v>
      </c>
      <c r="V4" s="33">
        <f t="shared" si="1"/>
        <v>12</v>
      </c>
      <c r="W4" s="27"/>
      <c r="X4" s="27"/>
      <c r="Y4" s="27"/>
      <c r="Z4" s="27"/>
    </row>
    <row r="5">
      <c r="A5" s="34" t="s">
        <v>27</v>
      </c>
      <c r="B5" s="34" t="s">
        <v>45</v>
      </c>
      <c r="C5" s="34" t="s">
        <v>45</v>
      </c>
      <c r="D5" s="34" t="s">
        <v>45</v>
      </c>
      <c r="E5" s="34" t="s">
        <v>42</v>
      </c>
      <c r="F5" s="34" t="s">
        <v>32</v>
      </c>
      <c r="G5" s="34" t="s">
        <v>33</v>
      </c>
      <c r="H5" s="34" t="s">
        <v>34</v>
      </c>
      <c r="I5" s="27"/>
      <c r="J5" s="34">
        <f>1-sumif('人事比例樞紐'!$A$3:$A1000,$H5,'人事比例樞紐'!B$3)</f>
        <v>0.7</v>
      </c>
      <c r="K5" s="34">
        <f>1-sumif('人事比例樞紐'!$A$3:$A1000,$H5,'人事比例樞紐'!C$3)</f>
        <v>0.6</v>
      </c>
      <c r="L5" s="34">
        <f>1-sumif('人事比例樞紐'!$A$3:$A1000,$H5,'人事比例樞紐'!D$3)</f>
        <v>0.6</v>
      </c>
      <c r="M5" s="34">
        <f>1-sumif('人事比例樞紐'!$A$3:$A1000,$H5,'人事比例樞紐'!E$3)</f>
        <v>0.7</v>
      </c>
      <c r="N5" s="34">
        <f>1-sumif('人事比例樞紐'!$A$3:$A1000,$H5,'人事比例樞紐'!F$3)</f>
        <v>0.6</v>
      </c>
      <c r="O5" s="34">
        <f>1-sumif('人事比例樞紐'!$A$3:$A1000,$H5,'人事比例樞紐'!G$3)</f>
        <v>0.6</v>
      </c>
      <c r="P5" s="34">
        <f>1-sumif('人事比例樞紐'!$A$3:$A1000,$H5,'人事比例樞紐'!H$3)</f>
        <v>1</v>
      </c>
      <c r="Q5" s="34">
        <f>1-sumif('人事比例樞紐'!$A$3:$A1000,$H5,'人事比例樞紐'!I$3)</f>
        <v>1</v>
      </c>
      <c r="R5" s="34">
        <f>1-sumif('人事比例樞紐'!$A$3:$A1000,$H5,'人事比例樞紐'!J$3)</f>
        <v>1</v>
      </c>
      <c r="S5" s="34">
        <f>1-sumif('人事比例樞紐'!$A$3:$A1000,$H5,'人事比例樞紐'!K$3)</f>
        <v>1</v>
      </c>
      <c r="T5" s="34">
        <f>1-sumif('人事比例樞紐'!$A$3:$A1000,$H5,'人事比例樞紐'!L$3)</f>
        <v>1</v>
      </c>
      <c r="U5" s="34">
        <f>1-sumif('人事比例樞紐'!$A$3:$A1000,$H5,'人事比例樞紐'!M$3)</f>
        <v>1</v>
      </c>
      <c r="V5" s="33">
        <f t="shared" si="1"/>
        <v>9.8</v>
      </c>
      <c r="W5" s="27"/>
      <c r="X5" s="27"/>
      <c r="Y5" s="27"/>
      <c r="Z5" s="27"/>
    </row>
    <row r="6">
      <c r="A6" s="34" t="s">
        <v>27</v>
      </c>
      <c r="B6" s="34" t="s">
        <v>45</v>
      </c>
      <c r="C6" s="34" t="s">
        <v>45</v>
      </c>
      <c r="D6" s="34" t="s">
        <v>45</v>
      </c>
      <c r="E6" s="34" t="s">
        <v>42</v>
      </c>
      <c r="F6" s="34" t="s">
        <v>32</v>
      </c>
      <c r="G6" s="34" t="s">
        <v>33</v>
      </c>
      <c r="H6" s="34" t="s">
        <v>37</v>
      </c>
      <c r="I6" s="27"/>
      <c r="J6" s="34">
        <f>1-sumif('人事比例樞紐'!$A$3:$A1000,$H6,'人事比例樞紐'!B$3:B$4)</f>
        <v>0.7</v>
      </c>
      <c r="K6" s="34">
        <f>1-sumif('人事比例樞紐'!$A$3:$A1000,$H6,'人事比例樞紐'!C$3:C$4)</f>
        <v>0.6</v>
      </c>
      <c r="L6" s="34">
        <f>1-sumif('人事比例樞紐'!$A$3:$A1000,$H6,'人事比例樞紐'!D$3:D$4)</f>
        <v>0.6</v>
      </c>
      <c r="M6" s="34">
        <f>1-sumif('人事比例樞紐'!$A$3:$A1000,$H6,'人事比例樞紐'!E$3:E$4)</f>
        <v>1</v>
      </c>
      <c r="N6" s="34">
        <f>1-sumif('人事比例樞紐'!$A$3:$A1000,$H6,'人事比例樞紐'!F$3:F$4)</f>
        <v>0.7</v>
      </c>
      <c r="O6" s="34">
        <f>1-sumif('人事比例樞紐'!$A$3:$A1000,$H6,'人事比例樞紐'!G$3:G$4)</f>
        <v>0.7</v>
      </c>
      <c r="P6" s="34">
        <f>1-sumif('人事比例樞紐'!$A$3:$A1000,$H6,'人事比例樞紐'!H$3:H$4)</f>
        <v>1</v>
      </c>
      <c r="Q6" s="34">
        <f>1-sumif('人事比例樞紐'!$A$3:$A1000,$H6,'人事比例樞紐'!I$3:I$4)</f>
        <v>1</v>
      </c>
      <c r="R6" s="34">
        <f>1-sumif('人事比例樞紐'!$A$3:$A1000,$H6,'人事比例樞紐'!J$3:J$4)</f>
        <v>1</v>
      </c>
      <c r="S6" s="34">
        <f>1-sumif('人事比例樞紐'!$A$3:$A1000,$H6,'人事比例樞紐'!K$3:K$4)</f>
        <v>1</v>
      </c>
      <c r="T6" s="34">
        <f>1-sumif('人事比例樞紐'!$A$3:$A1000,$H6,'人事比例樞紐'!L$3:L$4)</f>
        <v>1</v>
      </c>
      <c r="U6" s="34">
        <f>1-sumif('人事比例樞紐'!$A$3:$A1000,$H6,'人事比例樞紐'!M$3:M$4)</f>
        <v>1</v>
      </c>
      <c r="V6" s="33">
        <f t="shared" si="1"/>
        <v>10.3</v>
      </c>
      <c r="W6" s="27"/>
      <c r="X6" s="27"/>
      <c r="Y6" s="27"/>
      <c r="Z6" s="27"/>
    </row>
    <row r="7">
      <c r="A7" s="34" t="s">
        <v>27</v>
      </c>
      <c r="B7" s="34" t="s">
        <v>45</v>
      </c>
      <c r="C7" s="34" t="s">
        <v>45</v>
      </c>
      <c r="D7" s="34" t="s">
        <v>45</v>
      </c>
      <c r="E7" s="34" t="s">
        <v>42</v>
      </c>
      <c r="F7" s="34" t="s">
        <v>32</v>
      </c>
      <c r="G7" s="34" t="s">
        <v>33</v>
      </c>
      <c r="H7" s="34" t="s">
        <v>48</v>
      </c>
      <c r="I7" s="34" t="s">
        <v>49</v>
      </c>
      <c r="J7" s="27"/>
      <c r="K7" s="27"/>
      <c r="L7" s="27"/>
      <c r="M7" s="27"/>
      <c r="N7" s="34">
        <v>1.0</v>
      </c>
      <c r="O7" s="34">
        <v>1.0</v>
      </c>
      <c r="P7" s="34">
        <v>1.0</v>
      </c>
      <c r="Q7" s="34">
        <v>1.0</v>
      </c>
      <c r="R7" s="34">
        <v>1.0</v>
      </c>
      <c r="S7" s="34">
        <v>1.0</v>
      </c>
      <c r="T7" s="34">
        <v>1.0</v>
      </c>
      <c r="U7" s="34">
        <v>1.0</v>
      </c>
      <c r="V7" s="33">
        <f t="shared" si="1"/>
        <v>8</v>
      </c>
      <c r="W7" s="27"/>
      <c r="X7" s="27"/>
      <c r="Y7" s="27"/>
      <c r="Z7" s="27"/>
    </row>
    <row r="8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33">
        <f t="shared" si="1"/>
        <v>0</v>
      </c>
      <c r="W8" s="27"/>
      <c r="X8" s="27"/>
      <c r="Y8" s="27"/>
      <c r="Z8" s="27"/>
    </row>
    <row r="9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33">
        <f t="shared" si="1"/>
        <v>0</v>
      </c>
      <c r="W9" s="27"/>
      <c r="X9" s="27"/>
      <c r="Y9" s="27"/>
      <c r="Z9" s="27"/>
    </row>
    <row r="10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33">
        <f t="shared" si="1"/>
        <v>0</v>
      </c>
      <c r="W10" s="27"/>
      <c r="X10" s="27"/>
      <c r="Y10" s="27"/>
      <c r="Z10" s="27"/>
    </row>
    <row r="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33">
        <f t="shared" si="1"/>
        <v>0</v>
      </c>
      <c r="W11" s="27"/>
      <c r="X11" s="27"/>
      <c r="Y11" s="27"/>
      <c r="Z11" s="27"/>
    </row>
    <row r="1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33">
        <f t="shared" si="1"/>
        <v>0</v>
      </c>
      <c r="W12" s="27"/>
      <c r="X12" s="27"/>
      <c r="Y12" s="27"/>
      <c r="Z12" s="27"/>
    </row>
    <row r="1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33">
        <f t="shared" si="1"/>
        <v>0</v>
      </c>
      <c r="W13" s="27"/>
      <c r="X13" s="27"/>
      <c r="Y13" s="27"/>
      <c r="Z13" s="27"/>
    </row>
    <row r="1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33">
        <f t="shared" si="1"/>
        <v>0</v>
      </c>
      <c r="W14" s="27"/>
      <c r="X14" s="27"/>
      <c r="Y14" s="27"/>
      <c r="Z14" s="27"/>
    </row>
    <row r="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33">
        <f t="shared" si="1"/>
        <v>0</v>
      </c>
      <c r="W15" s="27"/>
      <c r="X15" s="27"/>
      <c r="Y15" s="27"/>
      <c r="Z15" s="27"/>
    </row>
    <row r="1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33">
        <f t="shared" si="1"/>
        <v>0</v>
      </c>
      <c r="W16" s="27"/>
      <c r="X16" s="27"/>
      <c r="Y16" s="27"/>
      <c r="Z16" s="27"/>
    </row>
    <row r="17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33">
        <f t="shared" si="1"/>
        <v>0</v>
      </c>
      <c r="W17" s="27"/>
      <c r="X17" s="27"/>
      <c r="Y17" s="27"/>
      <c r="Z17" s="27"/>
    </row>
    <row r="1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33">
        <f t="shared" si="1"/>
        <v>0</v>
      </c>
      <c r="W18" s="27"/>
      <c r="X18" s="27"/>
      <c r="Y18" s="27"/>
      <c r="Z18" s="27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33">
        <f t="shared" si="1"/>
        <v>0</v>
      </c>
      <c r="W19" s="27"/>
      <c r="X19" s="27"/>
      <c r="Y19" s="27"/>
      <c r="Z19" s="27"/>
    </row>
    <row r="20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33">
        <f t="shared" si="1"/>
        <v>0</v>
      </c>
      <c r="W20" s="27"/>
      <c r="X20" s="27"/>
      <c r="Y20" s="27"/>
      <c r="Z20" s="27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33">
        <f t="shared" si="1"/>
        <v>0</v>
      </c>
      <c r="W21" s="27"/>
      <c r="X21" s="27"/>
      <c r="Y21" s="27"/>
      <c r="Z21" s="27"/>
    </row>
    <row r="2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33">
        <f t="shared" si="1"/>
        <v>0</v>
      </c>
      <c r="W22" s="27"/>
      <c r="X22" s="27"/>
      <c r="Y22" s="27"/>
      <c r="Z22" s="27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33">
        <f t="shared" si="1"/>
        <v>0</v>
      </c>
      <c r="W23" s="27"/>
      <c r="X23" s="27"/>
      <c r="Y23" s="27"/>
      <c r="Z23" s="27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33">
        <f t="shared" si="1"/>
        <v>0</v>
      </c>
      <c r="W24" s="27"/>
      <c r="X24" s="27"/>
      <c r="Y24" s="27"/>
      <c r="Z24" s="27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33">
        <f t="shared" si="1"/>
        <v>0</v>
      </c>
      <c r="W25" s="27"/>
      <c r="X25" s="27"/>
      <c r="Y25" s="27"/>
      <c r="Z25" s="27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33">
        <f t="shared" si="1"/>
        <v>0</v>
      </c>
      <c r="W26" s="27"/>
      <c r="X26" s="27"/>
      <c r="Y26" s="27"/>
      <c r="Z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33">
        <f t="shared" si="1"/>
        <v>0</v>
      </c>
      <c r="W27" s="27"/>
      <c r="X27" s="27"/>
      <c r="Y27" s="27"/>
      <c r="Z27" s="27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33">
        <f t="shared" si="1"/>
        <v>0</v>
      </c>
      <c r="W28" s="27"/>
      <c r="X28" s="27"/>
      <c r="Y28" s="27"/>
      <c r="Z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33">
        <f t="shared" si="1"/>
        <v>0</v>
      </c>
      <c r="W29" s="27"/>
      <c r="X29" s="27"/>
      <c r="Y29" s="27"/>
      <c r="Z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33">
        <f t="shared" si="1"/>
        <v>0</v>
      </c>
      <c r="W30" s="27"/>
      <c r="X30" s="27"/>
      <c r="Y30" s="27"/>
      <c r="Z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33">
        <f t="shared" si="1"/>
        <v>0</v>
      </c>
      <c r="W31" s="27"/>
      <c r="X31" s="27"/>
      <c r="Y31" s="27"/>
      <c r="Z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33">
        <f t="shared" si="1"/>
        <v>0</v>
      </c>
      <c r="W32" s="27"/>
      <c r="X32" s="27"/>
      <c r="Y32" s="27"/>
      <c r="Z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33">
        <f t="shared" si="1"/>
        <v>0</v>
      </c>
      <c r="W33" s="27"/>
      <c r="X33" s="27"/>
      <c r="Y33" s="27"/>
      <c r="Z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33">
        <f t="shared" si="1"/>
        <v>0</v>
      </c>
      <c r="W34" s="27"/>
      <c r="X34" s="27"/>
      <c r="Y34" s="27"/>
      <c r="Z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33">
        <f t="shared" si="1"/>
        <v>0</v>
      </c>
      <c r="W35" s="27"/>
      <c r="X35" s="27"/>
      <c r="Y35" s="27"/>
      <c r="Z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33">
        <f t="shared" si="1"/>
        <v>0</v>
      </c>
      <c r="W36" s="27"/>
      <c r="X36" s="27"/>
      <c r="Y36" s="27"/>
      <c r="Z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33">
        <f t="shared" si="1"/>
        <v>0</v>
      </c>
      <c r="W37" s="27"/>
      <c r="X37" s="27"/>
      <c r="Y37" s="27"/>
      <c r="Z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33">
        <f t="shared" si="1"/>
        <v>0</v>
      </c>
      <c r="W38" s="27"/>
      <c r="X38" s="27"/>
      <c r="Y38" s="27"/>
      <c r="Z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33">
        <f t="shared" si="1"/>
        <v>0</v>
      </c>
      <c r="W39" s="27"/>
      <c r="X39" s="27"/>
      <c r="Y39" s="27"/>
      <c r="Z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33">
        <f t="shared" si="1"/>
        <v>0</v>
      </c>
      <c r="W40" s="27"/>
      <c r="X40" s="27"/>
      <c r="Y40" s="27"/>
      <c r="Z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33">
        <f t="shared" si="1"/>
        <v>0</v>
      </c>
      <c r="W41" s="27"/>
      <c r="X41" s="27"/>
      <c r="Y41" s="27"/>
      <c r="Z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33">
        <f t="shared" si="1"/>
        <v>0</v>
      </c>
      <c r="W42" s="27"/>
      <c r="X42" s="27"/>
      <c r="Y42" s="27"/>
      <c r="Z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33">
        <f t="shared" si="1"/>
        <v>0</v>
      </c>
      <c r="W43" s="27"/>
      <c r="X43" s="27"/>
      <c r="Y43" s="27"/>
      <c r="Z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33">
        <f t="shared" si="1"/>
        <v>0</v>
      </c>
      <c r="W44" s="27"/>
      <c r="X44" s="27"/>
      <c r="Y44" s="27"/>
      <c r="Z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33">
        <f t="shared" si="1"/>
        <v>0</v>
      </c>
      <c r="W45" s="27"/>
      <c r="X45" s="27"/>
      <c r="Y45" s="27"/>
      <c r="Z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33">
        <f t="shared" si="1"/>
        <v>0</v>
      </c>
      <c r="W46" s="27"/>
      <c r="X46" s="27"/>
      <c r="Y46" s="27"/>
      <c r="Z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33">
        <f t="shared" si="1"/>
        <v>0</v>
      </c>
      <c r="W47" s="27"/>
      <c r="X47" s="27"/>
      <c r="Y47" s="27"/>
      <c r="Z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33">
        <f t="shared" si="1"/>
        <v>0</v>
      </c>
      <c r="W48" s="27"/>
      <c r="X48" s="27"/>
      <c r="Y48" s="27"/>
      <c r="Z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33">
        <f t="shared" si="1"/>
        <v>0</v>
      </c>
      <c r="W49" s="27"/>
      <c r="X49" s="27"/>
      <c r="Y49" s="27"/>
      <c r="Z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33">
        <f t="shared" si="1"/>
        <v>0</v>
      </c>
      <c r="W50" s="27"/>
      <c r="X50" s="27"/>
      <c r="Y50" s="27"/>
      <c r="Z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33">
        <f t="shared" si="1"/>
        <v>0</v>
      </c>
      <c r="W51" s="27"/>
      <c r="X51" s="27"/>
      <c r="Y51" s="27"/>
      <c r="Z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33">
        <f t="shared" si="1"/>
        <v>0</v>
      </c>
      <c r="W52" s="27"/>
      <c r="X52" s="27"/>
      <c r="Y52" s="27"/>
      <c r="Z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33">
        <f t="shared" si="1"/>
        <v>0</v>
      </c>
      <c r="W53" s="27"/>
      <c r="X53" s="27"/>
      <c r="Y53" s="27"/>
      <c r="Z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33">
        <f t="shared" si="1"/>
        <v>0</v>
      </c>
      <c r="W54" s="27"/>
      <c r="X54" s="27"/>
      <c r="Y54" s="27"/>
      <c r="Z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33">
        <f t="shared" si="1"/>
        <v>0</v>
      </c>
      <c r="W55" s="27"/>
      <c r="X55" s="27"/>
      <c r="Y55" s="27"/>
      <c r="Z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33">
        <f t="shared" si="1"/>
        <v>0</v>
      </c>
      <c r="W56" s="27"/>
      <c r="X56" s="27"/>
      <c r="Y56" s="27"/>
      <c r="Z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33">
        <f t="shared" si="1"/>
        <v>0</v>
      </c>
      <c r="W57" s="27"/>
      <c r="X57" s="27"/>
      <c r="Y57" s="27"/>
      <c r="Z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33">
        <f t="shared" si="1"/>
        <v>0</v>
      </c>
      <c r="W58" s="27"/>
      <c r="X58" s="27"/>
      <c r="Y58" s="27"/>
      <c r="Z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33">
        <f t="shared" si="1"/>
        <v>0</v>
      </c>
      <c r="W59" s="27"/>
      <c r="X59" s="27"/>
      <c r="Y59" s="27"/>
      <c r="Z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33">
        <f t="shared" si="1"/>
        <v>0</v>
      </c>
      <c r="W60" s="27"/>
      <c r="X60" s="27"/>
      <c r="Y60" s="27"/>
      <c r="Z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33">
        <f t="shared" si="1"/>
        <v>0</v>
      </c>
      <c r="W61" s="27"/>
      <c r="X61" s="27"/>
      <c r="Y61" s="27"/>
      <c r="Z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33">
        <f t="shared" si="1"/>
        <v>0</v>
      </c>
      <c r="W62" s="27"/>
      <c r="X62" s="27"/>
      <c r="Y62" s="27"/>
      <c r="Z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33">
        <f t="shared" si="1"/>
        <v>0</v>
      </c>
      <c r="W63" s="27"/>
      <c r="X63" s="27"/>
      <c r="Y63" s="27"/>
      <c r="Z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33">
        <f t="shared" si="1"/>
        <v>0</v>
      </c>
      <c r="W64" s="27"/>
      <c r="X64" s="27"/>
      <c r="Y64" s="27"/>
      <c r="Z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33">
        <f t="shared" si="1"/>
        <v>0</v>
      </c>
      <c r="W65" s="27"/>
      <c r="X65" s="27"/>
      <c r="Y65" s="27"/>
      <c r="Z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33">
        <f t="shared" si="1"/>
        <v>0</v>
      </c>
      <c r="W66" s="27"/>
      <c r="X66" s="27"/>
      <c r="Y66" s="27"/>
      <c r="Z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33">
        <f t="shared" si="1"/>
        <v>0</v>
      </c>
      <c r="W67" s="27"/>
      <c r="X67" s="27"/>
      <c r="Y67" s="27"/>
      <c r="Z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33">
        <f t="shared" si="1"/>
        <v>0</v>
      </c>
      <c r="W68" s="27"/>
      <c r="X68" s="27"/>
      <c r="Y68" s="27"/>
      <c r="Z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33">
        <f t="shared" si="1"/>
        <v>0</v>
      </c>
      <c r="W69" s="27"/>
      <c r="X69" s="27"/>
      <c r="Y69" s="27"/>
      <c r="Z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33">
        <f t="shared" si="1"/>
        <v>0</v>
      </c>
      <c r="W70" s="27"/>
      <c r="X70" s="27"/>
      <c r="Y70" s="27"/>
      <c r="Z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33">
        <f t="shared" si="1"/>
        <v>0</v>
      </c>
      <c r="W71" s="27"/>
      <c r="X71" s="27"/>
      <c r="Y71" s="27"/>
      <c r="Z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33">
        <f t="shared" si="1"/>
        <v>0</v>
      </c>
      <c r="W72" s="27"/>
      <c r="X72" s="27"/>
      <c r="Y72" s="27"/>
      <c r="Z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33">
        <f t="shared" si="1"/>
        <v>0</v>
      </c>
      <c r="W73" s="27"/>
      <c r="X73" s="27"/>
      <c r="Y73" s="27"/>
      <c r="Z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33">
        <f t="shared" si="1"/>
        <v>0</v>
      </c>
      <c r="W74" s="27"/>
      <c r="X74" s="27"/>
      <c r="Y74" s="27"/>
      <c r="Z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33">
        <f t="shared" si="1"/>
        <v>0</v>
      </c>
      <c r="W75" s="27"/>
      <c r="X75" s="27"/>
      <c r="Y75" s="27"/>
      <c r="Z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33">
        <f t="shared" si="1"/>
        <v>0</v>
      </c>
      <c r="W76" s="27"/>
      <c r="X76" s="27"/>
      <c r="Y76" s="27"/>
      <c r="Z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33">
        <f t="shared" si="1"/>
        <v>0</v>
      </c>
      <c r="W77" s="27"/>
      <c r="X77" s="27"/>
      <c r="Y77" s="27"/>
      <c r="Z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33">
        <f t="shared" si="1"/>
        <v>0</v>
      </c>
      <c r="W78" s="27"/>
      <c r="X78" s="27"/>
      <c r="Y78" s="27"/>
      <c r="Z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33">
        <f t="shared" si="1"/>
        <v>0</v>
      </c>
      <c r="W79" s="27"/>
      <c r="X79" s="27"/>
      <c r="Y79" s="27"/>
      <c r="Z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33">
        <f t="shared" si="1"/>
        <v>0</v>
      </c>
      <c r="W80" s="27"/>
      <c r="X80" s="27"/>
      <c r="Y80" s="27"/>
      <c r="Z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33">
        <f t="shared" si="1"/>
        <v>0</v>
      </c>
      <c r="W81" s="27"/>
      <c r="X81" s="27"/>
      <c r="Y81" s="27"/>
      <c r="Z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33">
        <f t="shared" si="1"/>
        <v>0</v>
      </c>
      <c r="W82" s="27"/>
      <c r="X82" s="27"/>
      <c r="Y82" s="27"/>
      <c r="Z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33">
        <f t="shared" si="1"/>
        <v>0</v>
      </c>
      <c r="W83" s="27"/>
      <c r="X83" s="27"/>
      <c r="Y83" s="27"/>
      <c r="Z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33">
        <f t="shared" si="1"/>
        <v>0</v>
      </c>
      <c r="W84" s="27"/>
      <c r="X84" s="27"/>
      <c r="Y84" s="27"/>
      <c r="Z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33">
        <f t="shared" si="1"/>
        <v>0</v>
      </c>
      <c r="W85" s="27"/>
      <c r="X85" s="27"/>
      <c r="Y85" s="27"/>
      <c r="Z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33">
        <f t="shared" si="1"/>
        <v>0</v>
      </c>
      <c r="W86" s="27"/>
      <c r="X86" s="27"/>
      <c r="Y86" s="27"/>
      <c r="Z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33">
        <f t="shared" si="1"/>
        <v>0</v>
      </c>
      <c r="W87" s="27"/>
      <c r="X87" s="27"/>
      <c r="Y87" s="27"/>
      <c r="Z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33">
        <f t="shared" si="1"/>
        <v>0</v>
      </c>
      <c r="W88" s="27"/>
      <c r="X88" s="27"/>
      <c r="Y88" s="27"/>
      <c r="Z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33">
        <f t="shared" si="1"/>
        <v>0</v>
      </c>
      <c r="W89" s="27"/>
      <c r="X89" s="27"/>
      <c r="Y89" s="27"/>
      <c r="Z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33">
        <f t="shared" si="1"/>
        <v>0</v>
      </c>
      <c r="W90" s="27"/>
      <c r="X90" s="27"/>
      <c r="Y90" s="27"/>
      <c r="Z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33">
        <f t="shared" si="1"/>
        <v>0</v>
      </c>
      <c r="W91" s="27"/>
      <c r="X91" s="27"/>
      <c r="Y91" s="27"/>
      <c r="Z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33">
        <f t="shared" si="1"/>
        <v>0</v>
      </c>
      <c r="W92" s="27"/>
      <c r="X92" s="27"/>
      <c r="Y92" s="27"/>
      <c r="Z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33">
        <f t="shared" si="1"/>
        <v>0</v>
      </c>
      <c r="W93" s="27"/>
      <c r="X93" s="27"/>
      <c r="Y93" s="27"/>
      <c r="Z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33">
        <f t="shared" si="1"/>
        <v>0</v>
      </c>
      <c r="W94" s="27"/>
      <c r="X94" s="27"/>
      <c r="Y94" s="27"/>
      <c r="Z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33">
        <f t="shared" si="1"/>
        <v>0</v>
      </c>
      <c r="W95" s="27"/>
      <c r="X95" s="27"/>
      <c r="Y95" s="27"/>
      <c r="Z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33">
        <f t="shared" si="1"/>
        <v>0</v>
      </c>
      <c r="W96" s="27"/>
      <c r="X96" s="27"/>
      <c r="Y96" s="27"/>
      <c r="Z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33">
        <f t="shared" si="1"/>
        <v>0</v>
      </c>
      <c r="W97" s="27"/>
      <c r="X97" s="27"/>
      <c r="Y97" s="27"/>
      <c r="Z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33">
        <f t="shared" si="1"/>
        <v>0</v>
      </c>
      <c r="W98" s="27"/>
      <c r="X98" s="27"/>
      <c r="Y98" s="27"/>
      <c r="Z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33">
        <f t="shared" si="1"/>
        <v>0</v>
      </c>
      <c r="W99" s="27"/>
      <c r="X99" s="27"/>
      <c r="Y99" s="27"/>
      <c r="Z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33">
        <f t="shared" si="1"/>
        <v>0</v>
      </c>
      <c r="W100" s="27"/>
      <c r="X100" s="27"/>
      <c r="Y100" s="27"/>
      <c r="Z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33">
        <f t="shared" si="1"/>
        <v>0</v>
      </c>
      <c r="W101" s="27"/>
      <c r="X101" s="27"/>
      <c r="Y101" s="27"/>
      <c r="Z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33">
        <f t="shared" si="1"/>
        <v>0</v>
      </c>
      <c r="W102" s="27"/>
      <c r="X102" s="27"/>
      <c r="Y102" s="27"/>
      <c r="Z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33">
        <f t="shared" si="1"/>
        <v>0</v>
      </c>
      <c r="W103" s="27"/>
      <c r="X103" s="27"/>
      <c r="Y103" s="27"/>
      <c r="Z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33">
        <f t="shared" si="1"/>
        <v>0</v>
      </c>
      <c r="W104" s="27"/>
      <c r="X104" s="27"/>
      <c r="Y104" s="27"/>
      <c r="Z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33">
        <f t="shared" si="1"/>
        <v>0</v>
      </c>
      <c r="W105" s="27"/>
      <c r="X105" s="27"/>
      <c r="Y105" s="27"/>
      <c r="Z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33">
        <f t="shared" si="1"/>
        <v>0</v>
      </c>
      <c r="W106" s="27"/>
      <c r="X106" s="27"/>
      <c r="Y106" s="27"/>
      <c r="Z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33">
        <f t="shared" si="1"/>
        <v>0</v>
      </c>
      <c r="W107" s="27"/>
      <c r="X107" s="27"/>
      <c r="Y107" s="27"/>
      <c r="Z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33">
        <f t="shared" si="1"/>
        <v>0</v>
      </c>
      <c r="W108" s="27"/>
      <c r="X108" s="27"/>
      <c r="Y108" s="27"/>
      <c r="Z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33">
        <f t="shared" si="1"/>
        <v>0</v>
      </c>
      <c r="W109" s="27"/>
      <c r="X109" s="27"/>
      <c r="Y109" s="27"/>
      <c r="Z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33">
        <f t="shared" si="1"/>
        <v>0</v>
      </c>
      <c r="W110" s="27"/>
      <c r="X110" s="27"/>
      <c r="Y110" s="27"/>
      <c r="Z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33">
        <f t="shared" si="1"/>
        <v>0</v>
      </c>
      <c r="W111" s="27"/>
      <c r="X111" s="27"/>
      <c r="Y111" s="27"/>
      <c r="Z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33">
        <f t="shared" si="1"/>
        <v>0</v>
      </c>
      <c r="W112" s="27"/>
      <c r="X112" s="27"/>
      <c r="Y112" s="27"/>
      <c r="Z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33">
        <f t="shared" si="1"/>
        <v>0</v>
      </c>
      <c r="W113" s="27"/>
      <c r="X113" s="27"/>
      <c r="Y113" s="27"/>
      <c r="Z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33">
        <f t="shared" si="1"/>
        <v>0</v>
      </c>
      <c r="W114" s="27"/>
      <c r="X114" s="27"/>
      <c r="Y114" s="27"/>
      <c r="Z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33">
        <f t="shared" si="1"/>
        <v>0</v>
      </c>
      <c r="W115" s="27"/>
      <c r="X115" s="27"/>
      <c r="Y115" s="27"/>
      <c r="Z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33">
        <f t="shared" si="1"/>
        <v>0</v>
      </c>
      <c r="W116" s="27"/>
      <c r="X116" s="27"/>
      <c r="Y116" s="27"/>
      <c r="Z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33">
        <f t="shared" si="1"/>
        <v>0</v>
      </c>
      <c r="W117" s="27"/>
      <c r="X117" s="27"/>
      <c r="Y117" s="27"/>
      <c r="Z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33">
        <f t="shared" si="1"/>
        <v>0</v>
      </c>
      <c r="W118" s="27"/>
      <c r="X118" s="27"/>
      <c r="Y118" s="27"/>
      <c r="Z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33">
        <f t="shared" si="1"/>
        <v>0</v>
      </c>
      <c r="W119" s="27"/>
      <c r="X119" s="27"/>
      <c r="Y119" s="27"/>
      <c r="Z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33">
        <f t="shared" si="1"/>
        <v>0</v>
      </c>
      <c r="W120" s="27"/>
      <c r="X120" s="27"/>
      <c r="Y120" s="27"/>
      <c r="Z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33">
        <f t="shared" si="1"/>
        <v>0</v>
      </c>
      <c r="W121" s="27"/>
      <c r="X121" s="27"/>
      <c r="Y121" s="27"/>
      <c r="Z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33">
        <f t="shared" si="1"/>
        <v>0</v>
      </c>
      <c r="W122" s="27"/>
      <c r="X122" s="27"/>
      <c r="Y122" s="27"/>
      <c r="Z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33">
        <f t="shared" si="1"/>
        <v>0</v>
      </c>
      <c r="W123" s="27"/>
      <c r="X123" s="27"/>
      <c r="Y123" s="27"/>
      <c r="Z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33">
        <f t="shared" si="1"/>
        <v>0</v>
      </c>
      <c r="W124" s="27"/>
      <c r="X124" s="27"/>
      <c r="Y124" s="27"/>
      <c r="Z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33">
        <f t="shared" si="1"/>
        <v>0</v>
      </c>
      <c r="W125" s="27"/>
      <c r="X125" s="27"/>
      <c r="Y125" s="27"/>
      <c r="Z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33">
        <f t="shared" si="1"/>
        <v>0</v>
      </c>
      <c r="W126" s="27"/>
      <c r="X126" s="27"/>
      <c r="Y126" s="27"/>
      <c r="Z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33">
        <f t="shared" si="1"/>
        <v>0</v>
      </c>
      <c r="W127" s="27"/>
      <c r="X127" s="27"/>
      <c r="Y127" s="27"/>
      <c r="Z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33">
        <f t="shared" si="1"/>
        <v>0</v>
      </c>
      <c r="W128" s="27"/>
      <c r="X128" s="27"/>
      <c r="Y128" s="27"/>
      <c r="Z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33">
        <f t="shared" si="1"/>
        <v>0</v>
      </c>
      <c r="W129" s="27"/>
      <c r="X129" s="27"/>
      <c r="Y129" s="27"/>
      <c r="Z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33">
        <f t="shared" si="1"/>
        <v>0</v>
      </c>
      <c r="W130" s="27"/>
      <c r="X130" s="27"/>
      <c r="Y130" s="27"/>
      <c r="Z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33">
        <f t="shared" si="1"/>
        <v>0</v>
      </c>
      <c r="W131" s="27"/>
      <c r="X131" s="27"/>
      <c r="Y131" s="27"/>
      <c r="Z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33">
        <f t="shared" si="1"/>
        <v>0</v>
      </c>
      <c r="W132" s="27"/>
      <c r="X132" s="27"/>
      <c r="Y132" s="27"/>
      <c r="Z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33">
        <f t="shared" si="1"/>
        <v>0</v>
      </c>
      <c r="W133" s="27"/>
      <c r="X133" s="27"/>
      <c r="Y133" s="27"/>
      <c r="Z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33">
        <f t="shared" si="1"/>
        <v>0</v>
      </c>
      <c r="W134" s="27"/>
      <c r="X134" s="27"/>
      <c r="Y134" s="27"/>
      <c r="Z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33">
        <f t="shared" si="1"/>
        <v>0</v>
      </c>
      <c r="W135" s="27"/>
      <c r="X135" s="27"/>
      <c r="Y135" s="27"/>
      <c r="Z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33">
        <f t="shared" si="1"/>
        <v>0</v>
      </c>
      <c r="W136" s="27"/>
      <c r="X136" s="27"/>
      <c r="Y136" s="27"/>
      <c r="Z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33">
        <f t="shared" si="1"/>
        <v>0</v>
      </c>
      <c r="W137" s="27"/>
      <c r="X137" s="27"/>
      <c r="Y137" s="27"/>
      <c r="Z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33">
        <f t="shared" si="1"/>
        <v>0</v>
      </c>
      <c r="W138" s="27"/>
      <c r="X138" s="27"/>
      <c r="Y138" s="27"/>
      <c r="Z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33">
        <f t="shared" si="1"/>
        <v>0</v>
      </c>
      <c r="W139" s="27"/>
      <c r="X139" s="27"/>
      <c r="Y139" s="27"/>
      <c r="Z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33">
        <f t="shared" si="1"/>
        <v>0</v>
      </c>
      <c r="W140" s="27"/>
      <c r="X140" s="27"/>
      <c r="Y140" s="27"/>
      <c r="Z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33">
        <f t="shared" si="1"/>
        <v>0</v>
      </c>
      <c r="W141" s="27"/>
      <c r="X141" s="27"/>
      <c r="Y141" s="27"/>
      <c r="Z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33">
        <f t="shared" si="1"/>
        <v>0</v>
      </c>
      <c r="W142" s="27"/>
      <c r="X142" s="27"/>
      <c r="Y142" s="27"/>
      <c r="Z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33">
        <f t="shared" si="1"/>
        <v>0</v>
      </c>
      <c r="W143" s="27"/>
      <c r="X143" s="27"/>
      <c r="Y143" s="27"/>
      <c r="Z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33">
        <f t="shared" si="1"/>
        <v>0</v>
      </c>
      <c r="W144" s="27"/>
      <c r="X144" s="27"/>
      <c r="Y144" s="27"/>
      <c r="Z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33">
        <f t="shared" si="1"/>
        <v>0</v>
      </c>
      <c r="W145" s="27"/>
      <c r="X145" s="27"/>
      <c r="Y145" s="27"/>
      <c r="Z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33">
        <f t="shared" si="1"/>
        <v>0</v>
      </c>
      <c r="W146" s="27"/>
      <c r="X146" s="27"/>
      <c r="Y146" s="27"/>
      <c r="Z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33">
        <f t="shared" si="1"/>
        <v>0</v>
      </c>
      <c r="W147" s="27"/>
      <c r="X147" s="27"/>
      <c r="Y147" s="27"/>
      <c r="Z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33">
        <f t="shared" si="1"/>
        <v>0</v>
      </c>
      <c r="W148" s="27"/>
      <c r="X148" s="27"/>
      <c r="Y148" s="27"/>
      <c r="Z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33">
        <f t="shared" si="1"/>
        <v>0</v>
      </c>
      <c r="W149" s="27"/>
      <c r="X149" s="27"/>
      <c r="Y149" s="27"/>
      <c r="Z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33">
        <f t="shared" si="1"/>
        <v>0</v>
      </c>
      <c r="W150" s="27"/>
      <c r="X150" s="27"/>
      <c r="Y150" s="27"/>
      <c r="Z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33">
        <f t="shared" si="1"/>
        <v>0</v>
      </c>
      <c r="W151" s="27"/>
      <c r="X151" s="27"/>
      <c r="Y151" s="27"/>
      <c r="Z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33">
        <f t="shared" si="1"/>
        <v>0</v>
      </c>
      <c r="W152" s="27"/>
      <c r="X152" s="27"/>
      <c r="Y152" s="27"/>
      <c r="Z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33">
        <f t="shared" si="1"/>
        <v>0</v>
      </c>
      <c r="W153" s="27"/>
      <c r="X153" s="27"/>
      <c r="Y153" s="27"/>
      <c r="Z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33">
        <f t="shared" si="1"/>
        <v>0</v>
      </c>
      <c r="W154" s="27"/>
      <c r="X154" s="27"/>
      <c r="Y154" s="27"/>
      <c r="Z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33">
        <f t="shared" si="1"/>
        <v>0</v>
      </c>
      <c r="W155" s="27"/>
      <c r="X155" s="27"/>
      <c r="Y155" s="27"/>
      <c r="Z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33">
        <f t="shared" si="1"/>
        <v>0</v>
      </c>
      <c r="W156" s="27"/>
      <c r="X156" s="27"/>
      <c r="Y156" s="27"/>
      <c r="Z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33">
        <f t="shared" si="1"/>
        <v>0</v>
      </c>
      <c r="W157" s="27"/>
      <c r="X157" s="27"/>
      <c r="Y157" s="27"/>
      <c r="Z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33">
        <f t="shared" si="1"/>
        <v>0</v>
      </c>
      <c r="W158" s="27"/>
      <c r="X158" s="27"/>
      <c r="Y158" s="27"/>
      <c r="Z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33">
        <f t="shared" si="1"/>
        <v>0</v>
      </c>
      <c r="W159" s="27"/>
      <c r="X159" s="27"/>
      <c r="Y159" s="27"/>
      <c r="Z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33">
        <f t="shared" si="1"/>
        <v>0</v>
      </c>
      <c r="W160" s="27"/>
      <c r="X160" s="27"/>
      <c r="Y160" s="27"/>
      <c r="Z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33">
        <f t="shared" si="1"/>
        <v>0</v>
      </c>
      <c r="W161" s="27"/>
      <c r="X161" s="27"/>
      <c r="Y161" s="27"/>
      <c r="Z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33">
        <f t="shared" si="1"/>
        <v>0</v>
      </c>
      <c r="W162" s="27"/>
      <c r="X162" s="27"/>
      <c r="Y162" s="27"/>
      <c r="Z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33">
        <f t="shared" si="1"/>
        <v>0</v>
      </c>
      <c r="W163" s="27"/>
      <c r="X163" s="27"/>
      <c r="Y163" s="27"/>
      <c r="Z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33">
        <f t="shared" si="1"/>
        <v>0</v>
      </c>
      <c r="W164" s="27"/>
      <c r="X164" s="27"/>
      <c r="Y164" s="27"/>
      <c r="Z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33">
        <f t="shared" si="1"/>
        <v>0</v>
      </c>
      <c r="W165" s="27"/>
      <c r="X165" s="27"/>
      <c r="Y165" s="27"/>
      <c r="Z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33">
        <f t="shared" si="1"/>
        <v>0</v>
      </c>
      <c r="W166" s="27"/>
      <c r="X166" s="27"/>
      <c r="Y166" s="27"/>
      <c r="Z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33">
        <f t="shared" si="1"/>
        <v>0</v>
      </c>
      <c r="W167" s="27"/>
      <c r="X167" s="27"/>
      <c r="Y167" s="27"/>
      <c r="Z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33">
        <f t="shared" si="1"/>
        <v>0</v>
      </c>
      <c r="W168" s="27"/>
      <c r="X168" s="27"/>
      <c r="Y168" s="27"/>
      <c r="Z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33">
        <f t="shared" si="1"/>
        <v>0</v>
      </c>
      <c r="W169" s="27"/>
      <c r="X169" s="27"/>
      <c r="Y169" s="27"/>
      <c r="Z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33">
        <f t="shared" si="1"/>
        <v>0</v>
      </c>
      <c r="W170" s="27"/>
      <c r="X170" s="27"/>
      <c r="Y170" s="27"/>
      <c r="Z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33">
        <f t="shared" si="1"/>
        <v>0</v>
      </c>
      <c r="W171" s="27"/>
      <c r="X171" s="27"/>
      <c r="Y171" s="27"/>
      <c r="Z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33">
        <f t="shared" si="1"/>
        <v>0</v>
      </c>
      <c r="W172" s="27"/>
      <c r="X172" s="27"/>
      <c r="Y172" s="27"/>
      <c r="Z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33">
        <f t="shared" si="1"/>
        <v>0</v>
      </c>
      <c r="W173" s="27"/>
      <c r="X173" s="27"/>
      <c r="Y173" s="27"/>
      <c r="Z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33">
        <f t="shared" si="1"/>
        <v>0</v>
      </c>
      <c r="W174" s="27"/>
      <c r="X174" s="27"/>
      <c r="Y174" s="27"/>
      <c r="Z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33">
        <f t="shared" si="1"/>
        <v>0</v>
      </c>
      <c r="W175" s="27"/>
      <c r="X175" s="27"/>
      <c r="Y175" s="27"/>
      <c r="Z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33">
        <f t="shared" si="1"/>
        <v>0</v>
      </c>
      <c r="W176" s="27"/>
      <c r="X176" s="27"/>
      <c r="Y176" s="27"/>
      <c r="Z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33">
        <f t="shared" si="1"/>
        <v>0</v>
      </c>
      <c r="W177" s="27"/>
      <c r="X177" s="27"/>
      <c r="Y177" s="27"/>
      <c r="Z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33">
        <f t="shared" si="1"/>
        <v>0</v>
      </c>
      <c r="W178" s="27"/>
      <c r="X178" s="27"/>
      <c r="Y178" s="27"/>
      <c r="Z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33">
        <f t="shared" si="1"/>
        <v>0</v>
      </c>
      <c r="W179" s="27"/>
      <c r="X179" s="27"/>
      <c r="Y179" s="27"/>
      <c r="Z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33">
        <f t="shared" si="1"/>
        <v>0</v>
      </c>
      <c r="W180" s="27"/>
      <c r="X180" s="27"/>
      <c r="Y180" s="27"/>
      <c r="Z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33">
        <f t="shared" si="1"/>
        <v>0</v>
      </c>
      <c r="W181" s="27"/>
      <c r="X181" s="27"/>
      <c r="Y181" s="27"/>
      <c r="Z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33">
        <f t="shared" si="1"/>
        <v>0</v>
      </c>
      <c r="W182" s="27"/>
      <c r="X182" s="27"/>
      <c r="Y182" s="27"/>
      <c r="Z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33">
        <f t="shared" si="1"/>
        <v>0</v>
      </c>
      <c r="W183" s="27"/>
      <c r="X183" s="27"/>
      <c r="Y183" s="27"/>
      <c r="Z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33">
        <f t="shared" si="1"/>
        <v>0</v>
      </c>
      <c r="W184" s="27"/>
      <c r="X184" s="27"/>
      <c r="Y184" s="27"/>
      <c r="Z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33">
        <f t="shared" si="1"/>
        <v>0</v>
      </c>
      <c r="W185" s="27"/>
      <c r="X185" s="27"/>
      <c r="Y185" s="27"/>
      <c r="Z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33">
        <f t="shared" si="1"/>
        <v>0</v>
      </c>
      <c r="W186" s="27"/>
      <c r="X186" s="27"/>
      <c r="Y186" s="27"/>
      <c r="Z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33">
        <f t="shared" si="1"/>
        <v>0</v>
      </c>
      <c r="W187" s="27"/>
      <c r="X187" s="27"/>
      <c r="Y187" s="27"/>
      <c r="Z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33">
        <f t="shared" si="1"/>
        <v>0</v>
      </c>
      <c r="W188" s="27"/>
      <c r="X188" s="27"/>
      <c r="Y188" s="27"/>
      <c r="Z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33">
        <f t="shared" si="1"/>
        <v>0</v>
      </c>
      <c r="W189" s="27"/>
      <c r="X189" s="27"/>
      <c r="Y189" s="27"/>
      <c r="Z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33">
        <f t="shared" si="1"/>
        <v>0</v>
      </c>
      <c r="W190" s="27"/>
      <c r="X190" s="27"/>
      <c r="Y190" s="27"/>
      <c r="Z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33">
        <f t="shared" si="1"/>
        <v>0</v>
      </c>
      <c r="W191" s="27"/>
      <c r="X191" s="27"/>
      <c r="Y191" s="27"/>
      <c r="Z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33">
        <f t="shared" si="1"/>
        <v>0</v>
      </c>
      <c r="W192" s="27"/>
      <c r="X192" s="27"/>
      <c r="Y192" s="27"/>
      <c r="Z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33">
        <f t="shared" si="1"/>
        <v>0</v>
      </c>
      <c r="W193" s="27"/>
      <c r="X193" s="27"/>
      <c r="Y193" s="27"/>
      <c r="Z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33">
        <f t="shared" si="1"/>
        <v>0</v>
      </c>
      <c r="W194" s="27"/>
      <c r="X194" s="27"/>
      <c r="Y194" s="27"/>
      <c r="Z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33">
        <f t="shared" si="1"/>
        <v>0</v>
      </c>
      <c r="W195" s="27"/>
      <c r="X195" s="27"/>
      <c r="Y195" s="27"/>
      <c r="Z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33">
        <f t="shared" si="1"/>
        <v>0</v>
      </c>
      <c r="W196" s="27"/>
      <c r="X196" s="27"/>
      <c r="Y196" s="27"/>
      <c r="Z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33">
        <f t="shared" si="1"/>
        <v>0</v>
      </c>
      <c r="W197" s="27"/>
      <c r="X197" s="27"/>
      <c r="Y197" s="27"/>
      <c r="Z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33">
        <f t="shared" si="1"/>
        <v>0</v>
      </c>
      <c r="W198" s="27"/>
      <c r="X198" s="27"/>
      <c r="Y198" s="27"/>
      <c r="Z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33">
        <f t="shared" si="1"/>
        <v>0</v>
      </c>
      <c r="W199" s="27"/>
      <c r="X199" s="27"/>
      <c r="Y199" s="27"/>
      <c r="Z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33">
        <f t="shared" si="1"/>
        <v>0</v>
      </c>
      <c r="W200" s="27"/>
      <c r="X200" s="27"/>
      <c r="Y200" s="27"/>
      <c r="Z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33">
        <f t="shared" si="1"/>
        <v>0</v>
      </c>
      <c r="W201" s="27"/>
      <c r="X201" s="27"/>
      <c r="Y201" s="27"/>
      <c r="Z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33">
        <f t="shared" si="1"/>
        <v>0</v>
      </c>
      <c r="W202" s="27"/>
      <c r="X202" s="27"/>
      <c r="Y202" s="27"/>
      <c r="Z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33">
        <f t="shared" si="1"/>
        <v>0</v>
      </c>
      <c r="W203" s="27"/>
      <c r="X203" s="27"/>
      <c r="Y203" s="27"/>
      <c r="Z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33">
        <f t="shared" si="1"/>
        <v>0</v>
      </c>
      <c r="W204" s="27"/>
      <c r="X204" s="27"/>
      <c r="Y204" s="27"/>
      <c r="Z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33">
        <f t="shared" si="1"/>
        <v>0</v>
      </c>
      <c r="W205" s="27"/>
      <c r="X205" s="27"/>
      <c r="Y205" s="27"/>
      <c r="Z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33">
        <f t="shared" si="1"/>
        <v>0</v>
      </c>
      <c r="W206" s="27"/>
      <c r="X206" s="27"/>
      <c r="Y206" s="27"/>
      <c r="Z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33">
        <f t="shared" si="1"/>
        <v>0</v>
      </c>
      <c r="W207" s="27"/>
      <c r="X207" s="27"/>
      <c r="Y207" s="27"/>
      <c r="Z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33">
        <f t="shared" si="1"/>
        <v>0</v>
      </c>
      <c r="W208" s="27"/>
      <c r="X208" s="27"/>
      <c r="Y208" s="27"/>
      <c r="Z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33">
        <f t="shared" si="1"/>
        <v>0</v>
      </c>
      <c r="W209" s="27"/>
      <c r="X209" s="27"/>
      <c r="Y209" s="27"/>
      <c r="Z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33">
        <f t="shared" si="1"/>
        <v>0</v>
      </c>
      <c r="W210" s="27"/>
      <c r="X210" s="27"/>
      <c r="Y210" s="27"/>
      <c r="Z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33">
        <f t="shared" si="1"/>
        <v>0</v>
      </c>
      <c r="W211" s="27"/>
      <c r="X211" s="27"/>
      <c r="Y211" s="27"/>
      <c r="Z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33">
        <f t="shared" si="1"/>
        <v>0</v>
      </c>
      <c r="W212" s="27"/>
      <c r="X212" s="27"/>
      <c r="Y212" s="27"/>
      <c r="Z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33">
        <f t="shared" si="1"/>
        <v>0</v>
      </c>
      <c r="W213" s="27"/>
      <c r="X213" s="27"/>
      <c r="Y213" s="27"/>
      <c r="Z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33">
        <f t="shared" si="1"/>
        <v>0</v>
      </c>
      <c r="W214" s="27"/>
      <c r="X214" s="27"/>
      <c r="Y214" s="27"/>
      <c r="Z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33">
        <f t="shared" si="1"/>
        <v>0</v>
      </c>
      <c r="W215" s="27"/>
      <c r="X215" s="27"/>
      <c r="Y215" s="27"/>
      <c r="Z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33">
        <f t="shared" si="1"/>
        <v>0</v>
      </c>
      <c r="W216" s="27"/>
      <c r="X216" s="27"/>
      <c r="Y216" s="27"/>
      <c r="Z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33">
        <f t="shared" si="1"/>
        <v>0</v>
      </c>
      <c r="W217" s="27"/>
      <c r="X217" s="27"/>
      <c r="Y217" s="27"/>
      <c r="Z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33">
        <f t="shared" si="1"/>
        <v>0</v>
      </c>
      <c r="W218" s="27"/>
      <c r="X218" s="27"/>
      <c r="Y218" s="27"/>
      <c r="Z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33">
        <f t="shared" si="1"/>
        <v>0</v>
      </c>
      <c r="W219" s="27"/>
      <c r="X219" s="27"/>
      <c r="Y219" s="27"/>
      <c r="Z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33">
        <f t="shared" si="1"/>
        <v>0</v>
      </c>
      <c r="W220" s="27"/>
      <c r="X220" s="27"/>
      <c r="Y220" s="27"/>
      <c r="Z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33">
        <f t="shared" si="1"/>
        <v>0</v>
      </c>
      <c r="W221" s="27"/>
      <c r="X221" s="27"/>
      <c r="Y221" s="27"/>
      <c r="Z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33">
        <f t="shared" si="1"/>
        <v>0</v>
      </c>
      <c r="W222" s="27"/>
      <c r="X222" s="27"/>
      <c r="Y222" s="27"/>
      <c r="Z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33">
        <f t="shared" si="1"/>
        <v>0</v>
      </c>
      <c r="W223" s="27"/>
      <c r="X223" s="27"/>
      <c r="Y223" s="27"/>
      <c r="Z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33">
        <f t="shared" si="1"/>
        <v>0</v>
      </c>
      <c r="W224" s="27"/>
      <c r="X224" s="27"/>
      <c r="Y224" s="27"/>
      <c r="Z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33">
        <f t="shared" si="1"/>
        <v>0</v>
      </c>
      <c r="W225" s="27"/>
      <c r="X225" s="27"/>
      <c r="Y225" s="27"/>
      <c r="Z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33">
        <f t="shared" si="1"/>
        <v>0</v>
      </c>
      <c r="W226" s="27"/>
      <c r="X226" s="27"/>
      <c r="Y226" s="27"/>
      <c r="Z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33">
        <f t="shared" si="1"/>
        <v>0</v>
      </c>
      <c r="W227" s="27"/>
      <c r="X227" s="27"/>
      <c r="Y227" s="27"/>
      <c r="Z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33">
        <f t="shared" si="1"/>
        <v>0</v>
      </c>
      <c r="W228" s="27"/>
      <c r="X228" s="27"/>
      <c r="Y228" s="27"/>
      <c r="Z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33">
        <f t="shared" si="1"/>
        <v>0</v>
      </c>
      <c r="W229" s="27"/>
      <c r="X229" s="27"/>
      <c r="Y229" s="27"/>
      <c r="Z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33">
        <f t="shared" si="1"/>
        <v>0</v>
      </c>
      <c r="W230" s="27"/>
      <c r="X230" s="27"/>
      <c r="Y230" s="27"/>
      <c r="Z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33">
        <f t="shared" si="1"/>
        <v>0</v>
      </c>
      <c r="W231" s="27"/>
      <c r="X231" s="27"/>
      <c r="Y231" s="27"/>
      <c r="Z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33">
        <f t="shared" si="1"/>
        <v>0</v>
      </c>
      <c r="W232" s="27"/>
      <c r="X232" s="27"/>
      <c r="Y232" s="27"/>
      <c r="Z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33">
        <f t="shared" si="1"/>
        <v>0</v>
      </c>
      <c r="W233" s="27"/>
      <c r="X233" s="27"/>
      <c r="Y233" s="27"/>
      <c r="Z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33">
        <f t="shared" si="1"/>
        <v>0</v>
      </c>
      <c r="W234" s="27"/>
      <c r="X234" s="27"/>
      <c r="Y234" s="27"/>
      <c r="Z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33">
        <f t="shared" si="1"/>
        <v>0</v>
      </c>
      <c r="W235" s="27"/>
      <c r="X235" s="27"/>
      <c r="Y235" s="27"/>
      <c r="Z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33">
        <f t="shared" si="1"/>
        <v>0</v>
      </c>
      <c r="W236" s="27"/>
      <c r="X236" s="27"/>
      <c r="Y236" s="27"/>
      <c r="Z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33">
        <f t="shared" si="1"/>
        <v>0</v>
      </c>
      <c r="W237" s="27"/>
      <c r="X237" s="27"/>
      <c r="Y237" s="27"/>
      <c r="Z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33">
        <f t="shared" si="1"/>
        <v>0</v>
      </c>
      <c r="W238" s="27"/>
      <c r="X238" s="27"/>
      <c r="Y238" s="27"/>
      <c r="Z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33">
        <f t="shared" si="1"/>
        <v>0</v>
      </c>
      <c r="W239" s="27"/>
      <c r="X239" s="27"/>
      <c r="Y239" s="27"/>
      <c r="Z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33">
        <f t="shared" si="1"/>
        <v>0</v>
      </c>
      <c r="W240" s="27"/>
      <c r="X240" s="27"/>
      <c r="Y240" s="27"/>
      <c r="Z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33">
        <f t="shared" si="1"/>
        <v>0</v>
      </c>
      <c r="W241" s="27"/>
      <c r="X241" s="27"/>
      <c r="Y241" s="27"/>
      <c r="Z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33">
        <f t="shared" si="1"/>
        <v>0</v>
      </c>
      <c r="W242" s="27"/>
      <c r="X242" s="27"/>
      <c r="Y242" s="27"/>
      <c r="Z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33">
        <f t="shared" si="1"/>
        <v>0</v>
      </c>
      <c r="W243" s="27"/>
      <c r="X243" s="27"/>
      <c r="Y243" s="27"/>
      <c r="Z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33">
        <f t="shared" si="1"/>
        <v>0</v>
      </c>
      <c r="W244" s="27"/>
      <c r="X244" s="27"/>
      <c r="Y244" s="27"/>
      <c r="Z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33">
        <f t="shared" si="1"/>
        <v>0</v>
      </c>
      <c r="W245" s="27"/>
      <c r="X245" s="27"/>
      <c r="Y245" s="27"/>
      <c r="Z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33">
        <f t="shared" si="1"/>
        <v>0</v>
      </c>
      <c r="W246" s="27"/>
      <c r="X246" s="27"/>
      <c r="Y246" s="27"/>
      <c r="Z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33">
        <f t="shared" si="1"/>
        <v>0</v>
      </c>
      <c r="W247" s="27"/>
      <c r="X247" s="27"/>
      <c r="Y247" s="27"/>
      <c r="Z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33">
        <f t="shared" si="1"/>
        <v>0</v>
      </c>
      <c r="W248" s="27"/>
      <c r="X248" s="27"/>
      <c r="Y248" s="27"/>
      <c r="Z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33">
        <f t="shared" si="1"/>
        <v>0</v>
      </c>
      <c r="W249" s="27"/>
      <c r="X249" s="27"/>
      <c r="Y249" s="27"/>
      <c r="Z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33">
        <f t="shared" si="1"/>
        <v>0</v>
      </c>
      <c r="W250" s="27"/>
      <c r="X250" s="27"/>
      <c r="Y250" s="27"/>
      <c r="Z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33">
        <f t="shared" si="1"/>
        <v>0</v>
      </c>
      <c r="W251" s="27"/>
      <c r="X251" s="27"/>
      <c r="Y251" s="27"/>
      <c r="Z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33">
        <f t="shared" si="1"/>
        <v>0</v>
      </c>
      <c r="W252" s="27"/>
      <c r="X252" s="27"/>
      <c r="Y252" s="27"/>
      <c r="Z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33">
        <f t="shared" si="1"/>
        <v>0</v>
      </c>
      <c r="W253" s="27"/>
      <c r="X253" s="27"/>
      <c r="Y253" s="27"/>
      <c r="Z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33">
        <f t="shared" si="1"/>
        <v>0</v>
      </c>
      <c r="W254" s="27"/>
      <c r="X254" s="27"/>
      <c r="Y254" s="27"/>
      <c r="Z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33">
        <f t="shared" si="1"/>
        <v>0</v>
      </c>
      <c r="W255" s="27"/>
      <c r="X255" s="27"/>
      <c r="Y255" s="27"/>
      <c r="Z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33">
        <f t="shared" si="1"/>
        <v>0</v>
      </c>
      <c r="W256" s="27"/>
      <c r="X256" s="27"/>
      <c r="Y256" s="27"/>
      <c r="Z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33">
        <f t="shared" si="1"/>
        <v>0</v>
      </c>
      <c r="W257" s="27"/>
      <c r="X257" s="27"/>
      <c r="Y257" s="27"/>
      <c r="Z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33">
        <f t="shared" si="1"/>
        <v>0</v>
      </c>
      <c r="W258" s="27"/>
      <c r="X258" s="27"/>
      <c r="Y258" s="27"/>
      <c r="Z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33">
        <f t="shared" si="1"/>
        <v>0</v>
      </c>
      <c r="W259" s="27"/>
      <c r="X259" s="27"/>
      <c r="Y259" s="27"/>
      <c r="Z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33">
        <f t="shared" si="1"/>
        <v>0</v>
      </c>
      <c r="W260" s="27"/>
      <c r="X260" s="27"/>
      <c r="Y260" s="27"/>
      <c r="Z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33">
        <f t="shared" si="1"/>
        <v>0</v>
      </c>
      <c r="W261" s="27"/>
      <c r="X261" s="27"/>
      <c r="Y261" s="27"/>
      <c r="Z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33">
        <f t="shared" si="1"/>
        <v>0</v>
      </c>
      <c r="W262" s="27"/>
      <c r="X262" s="27"/>
      <c r="Y262" s="27"/>
      <c r="Z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33">
        <f t="shared" si="1"/>
        <v>0</v>
      </c>
      <c r="W263" s="27"/>
      <c r="X263" s="27"/>
      <c r="Y263" s="27"/>
      <c r="Z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33">
        <f t="shared" si="1"/>
        <v>0</v>
      </c>
      <c r="W264" s="27"/>
      <c r="X264" s="27"/>
      <c r="Y264" s="27"/>
      <c r="Z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33">
        <f t="shared" si="1"/>
        <v>0</v>
      </c>
      <c r="W265" s="27"/>
      <c r="X265" s="27"/>
      <c r="Y265" s="27"/>
      <c r="Z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33">
        <f t="shared" si="1"/>
        <v>0</v>
      </c>
      <c r="W266" s="27"/>
      <c r="X266" s="27"/>
      <c r="Y266" s="27"/>
      <c r="Z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33">
        <f t="shared" si="1"/>
        <v>0</v>
      </c>
      <c r="W267" s="27"/>
      <c r="X267" s="27"/>
      <c r="Y267" s="27"/>
      <c r="Z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33">
        <f t="shared" si="1"/>
        <v>0</v>
      </c>
      <c r="W268" s="27"/>
      <c r="X268" s="27"/>
      <c r="Y268" s="27"/>
      <c r="Z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33">
        <f t="shared" si="1"/>
        <v>0</v>
      </c>
      <c r="W269" s="27"/>
      <c r="X269" s="27"/>
      <c r="Y269" s="27"/>
      <c r="Z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33">
        <f t="shared" si="1"/>
        <v>0</v>
      </c>
      <c r="W270" s="27"/>
      <c r="X270" s="27"/>
      <c r="Y270" s="27"/>
      <c r="Z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33">
        <f t="shared" si="1"/>
        <v>0</v>
      </c>
      <c r="W271" s="27"/>
      <c r="X271" s="27"/>
      <c r="Y271" s="27"/>
      <c r="Z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33">
        <f t="shared" si="1"/>
        <v>0</v>
      </c>
      <c r="W272" s="27"/>
      <c r="X272" s="27"/>
      <c r="Y272" s="27"/>
      <c r="Z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33">
        <f t="shared" si="1"/>
        <v>0</v>
      </c>
      <c r="W273" s="27"/>
      <c r="X273" s="27"/>
      <c r="Y273" s="27"/>
      <c r="Z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33">
        <f t="shared" si="1"/>
        <v>0</v>
      </c>
      <c r="W274" s="27"/>
      <c r="X274" s="27"/>
      <c r="Y274" s="27"/>
      <c r="Z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33">
        <f t="shared" si="1"/>
        <v>0</v>
      </c>
      <c r="W275" s="27"/>
      <c r="X275" s="27"/>
      <c r="Y275" s="27"/>
      <c r="Z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33">
        <f t="shared" si="1"/>
        <v>0</v>
      </c>
      <c r="W276" s="27"/>
      <c r="X276" s="27"/>
      <c r="Y276" s="27"/>
      <c r="Z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33">
        <f t="shared" si="1"/>
        <v>0</v>
      </c>
      <c r="W277" s="27"/>
      <c r="X277" s="27"/>
      <c r="Y277" s="27"/>
      <c r="Z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33">
        <f t="shared" si="1"/>
        <v>0</v>
      </c>
      <c r="W278" s="27"/>
      <c r="X278" s="27"/>
      <c r="Y278" s="27"/>
      <c r="Z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33">
        <f t="shared" si="1"/>
        <v>0</v>
      </c>
      <c r="W279" s="27"/>
      <c r="X279" s="27"/>
      <c r="Y279" s="27"/>
      <c r="Z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33">
        <f t="shared" si="1"/>
        <v>0</v>
      </c>
      <c r="W280" s="27"/>
      <c r="X280" s="27"/>
      <c r="Y280" s="27"/>
      <c r="Z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33">
        <f t="shared" si="1"/>
        <v>0</v>
      </c>
      <c r="W281" s="27"/>
      <c r="X281" s="27"/>
      <c r="Y281" s="27"/>
      <c r="Z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33">
        <f t="shared" si="1"/>
        <v>0</v>
      </c>
      <c r="W282" s="27"/>
      <c r="X282" s="27"/>
      <c r="Y282" s="27"/>
      <c r="Z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33">
        <f t="shared" si="1"/>
        <v>0</v>
      </c>
      <c r="W283" s="27"/>
      <c r="X283" s="27"/>
      <c r="Y283" s="27"/>
      <c r="Z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33">
        <f t="shared" si="1"/>
        <v>0</v>
      </c>
      <c r="W284" s="27"/>
      <c r="X284" s="27"/>
      <c r="Y284" s="27"/>
      <c r="Z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33">
        <f t="shared" si="1"/>
        <v>0</v>
      </c>
      <c r="W285" s="27"/>
      <c r="X285" s="27"/>
      <c r="Y285" s="27"/>
      <c r="Z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33">
        <f t="shared" si="1"/>
        <v>0</v>
      </c>
      <c r="W286" s="27"/>
      <c r="X286" s="27"/>
      <c r="Y286" s="27"/>
      <c r="Z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33">
        <f t="shared" si="1"/>
        <v>0</v>
      </c>
      <c r="W287" s="27"/>
      <c r="X287" s="27"/>
      <c r="Y287" s="27"/>
      <c r="Z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33">
        <f t="shared" si="1"/>
        <v>0</v>
      </c>
      <c r="W288" s="27"/>
      <c r="X288" s="27"/>
      <c r="Y288" s="27"/>
      <c r="Z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33">
        <f t="shared" si="1"/>
        <v>0</v>
      </c>
      <c r="W289" s="27"/>
      <c r="X289" s="27"/>
      <c r="Y289" s="27"/>
      <c r="Z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33">
        <f t="shared" si="1"/>
        <v>0</v>
      </c>
      <c r="W290" s="27"/>
      <c r="X290" s="27"/>
      <c r="Y290" s="27"/>
      <c r="Z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33">
        <f t="shared" si="1"/>
        <v>0</v>
      </c>
      <c r="W291" s="27"/>
      <c r="X291" s="27"/>
      <c r="Y291" s="27"/>
      <c r="Z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33">
        <f t="shared" si="1"/>
        <v>0</v>
      </c>
      <c r="W292" s="27"/>
      <c r="X292" s="27"/>
      <c r="Y292" s="27"/>
      <c r="Z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33">
        <f t="shared" si="1"/>
        <v>0</v>
      </c>
      <c r="W293" s="27"/>
      <c r="X293" s="27"/>
      <c r="Y293" s="27"/>
      <c r="Z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33">
        <f t="shared" si="1"/>
        <v>0</v>
      </c>
      <c r="W294" s="27"/>
      <c r="X294" s="27"/>
      <c r="Y294" s="27"/>
      <c r="Z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33">
        <f t="shared" si="1"/>
        <v>0</v>
      </c>
      <c r="W295" s="27"/>
      <c r="X295" s="27"/>
      <c r="Y295" s="27"/>
      <c r="Z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33">
        <f t="shared" si="1"/>
        <v>0</v>
      </c>
      <c r="W296" s="27"/>
      <c r="X296" s="27"/>
      <c r="Y296" s="27"/>
      <c r="Z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33">
        <f t="shared" si="1"/>
        <v>0</v>
      </c>
      <c r="W297" s="27"/>
      <c r="X297" s="27"/>
      <c r="Y297" s="27"/>
      <c r="Z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33">
        <f t="shared" si="1"/>
        <v>0</v>
      </c>
      <c r="W298" s="27"/>
      <c r="X298" s="27"/>
      <c r="Y298" s="27"/>
      <c r="Z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33">
        <f t="shared" si="1"/>
        <v>0</v>
      </c>
      <c r="W299" s="27"/>
      <c r="X299" s="27"/>
      <c r="Y299" s="27"/>
      <c r="Z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33">
        <f t="shared" si="1"/>
        <v>0</v>
      </c>
      <c r="W300" s="27"/>
      <c r="X300" s="27"/>
      <c r="Y300" s="27"/>
      <c r="Z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33">
        <f t="shared" si="1"/>
        <v>0</v>
      </c>
      <c r="W301" s="27"/>
      <c r="X301" s="27"/>
      <c r="Y301" s="27"/>
      <c r="Z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33">
        <f t="shared" si="1"/>
        <v>0</v>
      </c>
      <c r="W302" s="27"/>
      <c r="X302" s="27"/>
      <c r="Y302" s="27"/>
      <c r="Z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33">
        <f t="shared" si="1"/>
        <v>0</v>
      </c>
      <c r="W303" s="27"/>
      <c r="X303" s="27"/>
      <c r="Y303" s="27"/>
      <c r="Z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33">
        <f t="shared" si="1"/>
        <v>0</v>
      </c>
      <c r="W304" s="27"/>
      <c r="X304" s="27"/>
      <c r="Y304" s="27"/>
      <c r="Z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33">
        <f t="shared" si="1"/>
        <v>0</v>
      </c>
      <c r="W305" s="27"/>
      <c r="X305" s="27"/>
      <c r="Y305" s="27"/>
      <c r="Z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33">
        <f t="shared" si="1"/>
        <v>0</v>
      </c>
      <c r="W306" s="27"/>
      <c r="X306" s="27"/>
      <c r="Y306" s="27"/>
      <c r="Z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33">
        <f t="shared" si="1"/>
        <v>0</v>
      </c>
      <c r="W307" s="27"/>
      <c r="X307" s="27"/>
      <c r="Y307" s="27"/>
      <c r="Z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33">
        <f t="shared" si="1"/>
        <v>0</v>
      </c>
      <c r="W308" s="27"/>
      <c r="X308" s="27"/>
      <c r="Y308" s="27"/>
      <c r="Z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33">
        <f t="shared" si="1"/>
        <v>0</v>
      </c>
      <c r="W309" s="27"/>
      <c r="X309" s="27"/>
      <c r="Y309" s="27"/>
      <c r="Z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33">
        <f t="shared" si="1"/>
        <v>0</v>
      </c>
      <c r="W310" s="27"/>
      <c r="X310" s="27"/>
      <c r="Y310" s="27"/>
      <c r="Z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33">
        <f t="shared" si="1"/>
        <v>0</v>
      </c>
      <c r="W311" s="27"/>
      <c r="X311" s="27"/>
      <c r="Y311" s="27"/>
      <c r="Z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33">
        <f t="shared" si="1"/>
        <v>0</v>
      </c>
      <c r="W312" s="27"/>
      <c r="X312" s="27"/>
      <c r="Y312" s="27"/>
      <c r="Z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33">
        <f t="shared" si="1"/>
        <v>0</v>
      </c>
      <c r="W313" s="27"/>
      <c r="X313" s="27"/>
      <c r="Y313" s="27"/>
      <c r="Z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33">
        <f t="shared" si="1"/>
        <v>0</v>
      </c>
      <c r="W314" s="27"/>
      <c r="X314" s="27"/>
      <c r="Y314" s="27"/>
      <c r="Z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33">
        <f t="shared" si="1"/>
        <v>0</v>
      </c>
      <c r="W315" s="27"/>
      <c r="X315" s="27"/>
      <c r="Y315" s="27"/>
      <c r="Z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33">
        <f t="shared" si="1"/>
        <v>0</v>
      </c>
      <c r="W316" s="27"/>
      <c r="X316" s="27"/>
      <c r="Y316" s="27"/>
      <c r="Z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33">
        <f t="shared" si="1"/>
        <v>0</v>
      </c>
      <c r="W317" s="27"/>
      <c r="X317" s="27"/>
      <c r="Y317" s="27"/>
      <c r="Z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33">
        <f t="shared" si="1"/>
        <v>0</v>
      </c>
      <c r="W318" s="27"/>
      <c r="X318" s="27"/>
      <c r="Y318" s="27"/>
      <c r="Z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33">
        <f t="shared" si="1"/>
        <v>0</v>
      </c>
      <c r="W319" s="27"/>
      <c r="X319" s="27"/>
      <c r="Y319" s="27"/>
      <c r="Z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33">
        <f t="shared" si="1"/>
        <v>0</v>
      </c>
      <c r="W320" s="27"/>
      <c r="X320" s="27"/>
      <c r="Y320" s="27"/>
      <c r="Z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33">
        <f t="shared" si="1"/>
        <v>0</v>
      </c>
      <c r="W321" s="27"/>
      <c r="X321" s="27"/>
      <c r="Y321" s="27"/>
      <c r="Z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33">
        <f t="shared" si="1"/>
        <v>0</v>
      </c>
      <c r="W322" s="27"/>
      <c r="X322" s="27"/>
      <c r="Y322" s="27"/>
      <c r="Z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33">
        <f t="shared" si="1"/>
        <v>0</v>
      </c>
      <c r="W323" s="27"/>
      <c r="X323" s="27"/>
      <c r="Y323" s="27"/>
      <c r="Z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33">
        <f t="shared" si="1"/>
        <v>0</v>
      </c>
      <c r="W324" s="27"/>
      <c r="X324" s="27"/>
      <c r="Y324" s="27"/>
      <c r="Z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33">
        <f t="shared" si="1"/>
        <v>0</v>
      </c>
      <c r="W325" s="27"/>
      <c r="X325" s="27"/>
      <c r="Y325" s="27"/>
      <c r="Z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33">
        <f t="shared" si="1"/>
        <v>0</v>
      </c>
      <c r="W326" s="27"/>
      <c r="X326" s="27"/>
      <c r="Y326" s="27"/>
      <c r="Z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33">
        <f t="shared" si="1"/>
        <v>0</v>
      </c>
      <c r="W327" s="27"/>
      <c r="X327" s="27"/>
      <c r="Y327" s="27"/>
      <c r="Z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33">
        <f t="shared" si="1"/>
        <v>0</v>
      </c>
      <c r="W328" s="27"/>
      <c r="X328" s="27"/>
      <c r="Y328" s="27"/>
      <c r="Z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33">
        <f t="shared" si="1"/>
        <v>0</v>
      </c>
      <c r="W329" s="27"/>
      <c r="X329" s="27"/>
      <c r="Y329" s="27"/>
      <c r="Z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33">
        <f t="shared" si="1"/>
        <v>0</v>
      </c>
      <c r="W330" s="27"/>
      <c r="X330" s="27"/>
      <c r="Y330" s="27"/>
      <c r="Z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33">
        <f t="shared" si="1"/>
        <v>0</v>
      </c>
      <c r="W331" s="27"/>
      <c r="X331" s="27"/>
      <c r="Y331" s="27"/>
      <c r="Z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33">
        <f t="shared" si="1"/>
        <v>0</v>
      </c>
      <c r="W332" s="27"/>
      <c r="X332" s="27"/>
      <c r="Y332" s="27"/>
      <c r="Z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33">
        <f t="shared" si="1"/>
        <v>0</v>
      </c>
      <c r="W333" s="27"/>
      <c r="X333" s="27"/>
      <c r="Y333" s="27"/>
      <c r="Z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33">
        <f t="shared" si="1"/>
        <v>0</v>
      </c>
      <c r="W334" s="27"/>
      <c r="X334" s="27"/>
      <c r="Y334" s="27"/>
      <c r="Z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33">
        <f t="shared" si="1"/>
        <v>0</v>
      </c>
      <c r="W335" s="27"/>
      <c r="X335" s="27"/>
      <c r="Y335" s="27"/>
      <c r="Z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33">
        <f t="shared" si="1"/>
        <v>0</v>
      </c>
      <c r="W336" s="27"/>
      <c r="X336" s="27"/>
      <c r="Y336" s="27"/>
      <c r="Z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33">
        <f t="shared" si="1"/>
        <v>0</v>
      </c>
      <c r="W337" s="27"/>
      <c r="X337" s="27"/>
      <c r="Y337" s="27"/>
      <c r="Z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33">
        <f t="shared" si="1"/>
        <v>0</v>
      </c>
      <c r="W338" s="27"/>
      <c r="X338" s="27"/>
      <c r="Y338" s="27"/>
      <c r="Z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33">
        <f t="shared" si="1"/>
        <v>0</v>
      </c>
      <c r="W339" s="27"/>
      <c r="X339" s="27"/>
      <c r="Y339" s="27"/>
      <c r="Z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33">
        <f t="shared" si="1"/>
        <v>0</v>
      </c>
      <c r="W340" s="27"/>
      <c r="X340" s="27"/>
      <c r="Y340" s="27"/>
      <c r="Z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33">
        <f t="shared" si="1"/>
        <v>0</v>
      </c>
      <c r="W341" s="27"/>
      <c r="X341" s="27"/>
      <c r="Y341" s="27"/>
      <c r="Z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33">
        <f t="shared" si="1"/>
        <v>0</v>
      </c>
      <c r="W342" s="27"/>
      <c r="X342" s="27"/>
      <c r="Y342" s="27"/>
      <c r="Z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33">
        <f t="shared" si="1"/>
        <v>0</v>
      </c>
      <c r="W343" s="27"/>
      <c r="X343" s="27"/>
      <c r="Y343" s="27"/>
      <c r="Z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33">
        <f t="shared" si="1"/>
        <v>0</v>
      </c>
      <c r="W344" s="27"/>
      <c r="X344" s="27"/>
      <c r="Y344" s="27"/>
      <c r="Z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33">
        <f t="shared" si="1"/>
        <v>0</v>
      </c>
      <c r="W345" s="27"/>
      <c r="X345" s="27"/>
      <c r="Y345" s="27"/>
      <c r="Z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33">
        <f t="shared" si="1"/>
        <v>0</v>
      </c>
      <c r="W346" s="27"/>
      <c r="X346" s="27"/>
      <c r="Y346" s="27"/>
      <c r="Z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33">
        <f t="shared" si="1"/>
        <v>0</v>
      </c>
      <c r="W347" s="27"/>
      <c r="X347" s="27"/>
      <c r="Y347" s="27"/>
      <c r="Z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33">
        <f t="shared" si="1"/>
        <v>0</v>
      </c>
      <c r="W348" s="27"/>
      <c r="X348" s="27"/>
      <c r="Y348" s="27"/>
      <c r="Z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33">
        <f t="shared" si="1"/>
        <v>0</v>
      </c>
      <c r="W349" s="27"/>
      <c r="X349" s="27"/>
      <c r="Y349" s="27"/>
      <c r="Z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33">
        <f t="shared" si="1"/>
        <v>0</v>
      </c>
      <c r="W350" s="27"/>
      <c r="X350" s="27"/>
      <c r="Y350" s="27"/>
      <c r="Z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33">
        <f t="shared" si="1"/>
        <v>0</v>
      </c>
      <c r="W351" s="27"/>
      <c r="X351" s="27"/>
      <c r="Y351" s="27"/>
      <c r="Z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33">
        <f t="shared" si="1"/>
        <v>0</v>
      </c>
      <c r="W352" s="27"/>
      <c r="X352" s="27"/>
      <c r="Y352" s="27"/>
      <c r="Z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33">
        <f t="shared" si="1"/>
        <v>0</v>
      </c>
      <c r="W353" s="27"/>
      <c r="X353" s="27"/>
      <c r="Y353" s="27"/>
      <c r="Z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33">
        <f t="shared" si="1"/>
        <v>0</v>
      </c>
      <c r="W354" s="27"/>
      <c r="X354" s="27"/>
      <c r="Y354" s="27"/>
      <c r="Z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33">
        <f t="shared" si="1"/>
        <v>0</v>
      </c>
      <c r="W355" s="27"/>
      <c r="X355" s="27"/>
      <c r="Y355" s="27"/>
      <c r="Z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33">
        <f t="shared" si="1"/>
        <v>0</v>
      </c>
      <c r="W356" s="27"/>
      <c r="X356" s="27"/>
      <c r="Y356" s="27"/>
      <c r="Z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33">
        <f t="shared" si="1"/>
        <v>0</v>
      </c>
      <c r="W357" s="27"/>
      <c r="X357" s="27"/>
      <c r="Y357" s="27"/>
      <c r="Z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33">
        <f t="shared" si="1"/>
        <v>0</v>
      </c>
      <c r="W358" s="27"/>
      <c r="X358" s="27"/>
      <c r="Y358" s="27"/>
      <c r="Z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33">
        <f t="shared" si="1"/>
        <v>0</v>
      </c>
      <c r="W359" s="27"/>
      <c r="X359" s="27"/>
      <c r="Y359" s="27"/>
      <c r="Z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33">
        <f t="shared" si="1"/>
        <v>0</v>
      </c>
      <c r="W360" s="27"/>
      <c r="X360" s="27"/>
      <c r="Y360" s="27"/>
      <c r="Z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33">
        <f t="shared" si="1"/>
        <v>0</v>
      </c>
      <c r="W361" s="27"/>
      <c r="X361" s="27"/>
      <c r="Y361" s="27"/>
      <c r="Z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33">
        <f t="shared" si="1"/>
        <v>0</v>
      </c>
      <c r="W362" s="27"/>
      <c r="X362" s="27"/>
      <c r="Y362" s="27"/>
      <c r="Z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33">
        <f t="shared" si="1"/>
        <v>0</v>
      </c>
      <c r="W363" s="27"/>
      <c r="X363" s="27"/>
      <c r="Y363" s="27"/>
      <c r="Z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33">
        <f t="shared" si="1"/>
        <v>0</v>
      </c>
      <c r="W364" s="27"/>
      <c r="X364" s="27"/>
      <c r="Y364" s="27"/>
      <c r="Z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33">
        <f t="shared" si="1"/>
        <v>0</v>
      </c>
      <c r="W365" s="27"/>
      <c r="X365" s="27"/>
      <c r="Y365" s="27"/>
      <c r="Z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33">
        <f t="shared" si="1"/>
        <v>0</v>
      </c>
      <c r="W366" s="27"/>
      <c r="X366" s="27"/>
      <c r="Y366" s="27"/>
      <c r="Z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33">
        <f t="shared" si="1"/>
        <v>0</v>
      </c>
      <c r="W367" s="27"/>
      <c r="X367" s="27"/>
      <c r="Y367" s="27"/>
      <c r="Z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33">
        <f t="shared" si="1"/>
        <v>0</v>
      </c>
      <c r="W368" s="27"/>
      <c r="X368" s="27"/>
      <c r="Y368" s="27"/>
      <c r="Z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33">
        <f t="shared" si="1"/>
        <v>0</v>
      </c>
      <c r="W369" s="27"/>
      <c r="X369" s="27"/>
      <c r="Y369" s="27"/>
      <c r="Z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33">
        <f t="shared" si="1"/>
        <v>0</v>
      </c>
      <c r="W370" s="27"/>
      <c r="X370" s="27"/>
      <c r="Y370" s="27"/>
      <c r="Z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33">
        <f t="shared" si="1"/>
        <v>0</v>
      </c>
      <c r="W371" s="27"/>
      <c r="X371" s="27"/>
      <c r="Y371" s="27"/>
      <c r="Z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33">
        <f t="shared" si="1"/>
        <v>0</v>
      </c>
      <c r="W372" s="27"/>
      <c r="X372" s="27"/>
      <c r="Y372" s="27"/>
      <c r="Z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33">
        <f t="shared" si="1"/>
        <v>0</v>
      </c>
      <c r="W373" s="27"/>
      <c r="X373" s="27"/>
      <c r="Y373" s="27"/>
      <c r="Z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33">
        <f t="shared" si="1"/>
        <v>0</v>
      </c>
      <c r="W374" s="27"/>
      <c r="X374" s="27"/>
      <c r="Y374" s="27"/>
      <c r="Z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33">
        <f t="shared" si="1"/>
        <v>0</v>
      </c>
      <c r="W375" s="27"/>
      <c r="X375" s="27"/>
      <c r="Y375" s="27"/>
      <c r="Z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33">
        <f t="shared" si="1"/>
        <v>0</v>
      </c>
      <c r="W376" s="27"/>
      <c r="X376" s="27"/>
      <c r="Y376" s="27"/>
      <c r="Z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33">
        <f t="shared" si="1"/>
        <v>0</v>
      </c>
      <c r="W377" s="27"/>
      <c r="X377" s="27"/>
      <c r="Y377" s="27"/>
      <c r="Z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33">
        <f t="shared" si="1"/>
        <v>0</v>
      </c>
      <c r="W378" s="27"/>
      <c r="X378" s="27"/>
      <c r="Y378" s="27"/>
      <c r="Z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33">
        <f t="shared" si="1"/>
        <v>0</v>
      </c>
      <c r="W379" s="27"/>
      <c r="X379" s="27"/>
      <c r="Y379" s="27"/>
      <c r="Z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33">
        <f t="shared" si="1"/>
        <v>0</v>
      </c>
      <c r="W380" s="27"/>
      <c r="X380" s="27"/>
      <c r="Y380" s="27"/>
      <c r="Z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33">
        <f t="shared" si="1"/>
        <v>0</v>
      </c>
      <c r="W381" s="27"/>
      <c r="X381" s="27"/>
      <c r="Y381" s="27"/>
      <c r="Z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33">
        <f t="shared" si="1"/>
        <v>0</v>
      </c>
      <c r="W382" s="27"/>
      <c r="X382" s="27"/>
      <c r="Y382" s="27"/>
      <c r="Z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33">
        <f t="shared" si="1"/>
        <v>0</v>
      </c>
      <c r="W383" s="27"/>
      <c r="X383" s="27"/>
      <c r="Y383" s="27"/>
      <c r="Z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33">
        <f t="shared" si="1"/>
        <v>0</v>
      </c>
      <c r="W384" s="27"/>
      <c r="X384" s="27"/>
      <c r="Y384" s="27"/>
      <c r="Z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33">
        <f t="shared" si="1"/>
        <v>0</v>
      </c>
      <c r="W385" s="27"/>
      <c r="X385" s="27"/>
      <c r="Y385" s="27"/>
      <c r="Z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33">
        <f t="shared" si="1"/>
        <v>0</v>
      </c>
      <c r="W386" s="27"/>
      <c r="X386" s="27"/>
      <c r="Y386" s="27"/>
      <c r="Z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33">
        <f t="shared" si="1"/>
        <v>0</v>
      </c>
      <c r="W387" s="27"/>
      <c r="X387" s="27"/>
      <c r="Y387" s="27"/>
      <c r="Z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33">
        <f t="shared" si="1"/>
        <v>0</v>
      </c>
      <c r="W388" s="27"/>
      <c r="X388" s="27"/>
      <c r="Y388" s="27"/>
      <c r="Z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33">
        <f t="shared" si="1"/>
        <v>0</v>
      </c>
      <c r="W389" s="27"/>
      <c r="X389" s="27"/>
      <c r="Y389" s="27"/>
      <c r="Z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33">
        <f t="shared" si="1"/>
        <v>0</v>
      </c>
      <c r="W390" s="27"/>
      <c r="X390" s="27"/>
      <c r="Y390" s="27"/>
      <c r="Z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33">
        <f t="shared" si="1"/>
        <v>0</v>
      </c>
      <c r="W391" s="27"/>
      <c r="X391" s="27"/>
      <c r="Y391" s="27"/>
      <c r="Z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33">
        <f t="shared" si="1"/>
        <v>0</v>
      </c>
      <c r="W392" s="27"/>
      <c r="X392" s="27"/>
      <c r="Y392" s="27"/>
      <c r="Z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33">
        <f t="shared" si="1"/>
        <v>0</v>
      </c>
      <c r="W393" s="27"/>
      <c r="X393" s="27"/>
      <c r="Y393" s="27"/>
      <c r="Z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33">
        <f t="shared" si="1"/>
        <v>0</v>
      </c>
      <c r="W394" s="27"/>
      <c r="X394" s="27"/>
      <c r="Y394" s="27"/>
      <c r="Z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33">
        <f t="shared" si="1"/>
        <v>0</v>
      </c>
      <c r="W395" s="27"/>
      <c r="X395" s="27"/>
      <c r="Y395" s="27"/>
      <c r="Z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33">
        <f t="shared" si="1"/>
        <v>0</v>
      </c>
      <c r="W396" s="27"/>
      <c r="X396" s="27"/>
      <c r="Y396" s="27"/>
      <c r="Z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33">
        <f t="shared" si="1"/>
        <v>0</v>
      </c>
      <c r="W397" s="27"/>
      <c r="X397" s="27"/>
      <c r="Y397" s="27"/>
      <c r="Z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33">
        <f t="shared" si="1"/>
        <v>0</v>
      </c>
      <c r="W398" s="27"/>
      <c r="X398" s="27"/>
      <c r="Y398" s="27"/>
      <c r="Z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33">
        <f t="shared" si="1"/>
        <v>0</v>
      </c>
      <c r="W399" s="27"/>
      <c r="X399" s="27"/>
      <c r="Y399" s="27"/>
      <c r="Z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33">
        <f t="shared" si="1"/>
        <v>0</v>
      </c>
      <c r="W400" s="27"/>
      <c r="X400" s="27"/>
      <c r="Y400" s="27"/>
      <c r="Z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33">
        <f t="shared" si="1"/>
        <v>0</v>
      </c>
      <c r="W401" s="27"/>
      <c r="X401" s="27"/>
      <c r="Y401" s="27"/>
      <c r="Z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33">
        <f t="shared" si="1"/>
        <v>0</v>
      </c>
      <c r="W402" s="27"/>
      <c r="X402" s="27"/>
      <c r="Y402" s="27"/>
      <c r="Z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33">
        <f t="shared" si="1"/>
        <v>0</v>
      </c>
      <c r="W403" s="27"/>
      <c r="X403" s="27"/>
      <c r="Y403" s="27"/>
      <c r="Z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33">
        <f t="shared" si="1"/>
        <v>0</v>
      </c>
      <c r="W404" s="27"/>
      <c r="X404" s="27"/>
      <c r="Y404" s="27"/>
      <c r="Z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33">
        <f t="shared" si="1"/>
        <v>0</v>
      </c>
      <c r="W405" s="27"/>
      <c r="X405" s="27"/>
      <c r="Y405" s="27"/>
      <c r="Z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33">
        <f t="shared" si="1"/>
        <v>0</v>
      </c>
      <c r="W406" s="27"/>
      <c r="X406" s="27"/>
      <c r="Y406" s="27"/>
      <c r="Z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33">
        <f t="shared" si="1"/>
        <v>0</v>
      </c>
      <c r="W407" s="27"/>
      <c r="X407" s="27"/>
      <c r="Y407" s="27"/>
      <c r="Z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33">
        <f t="shared" si="1"/>
        <v>0</v>
      </c>
      <c r="W408" s="27"/>
      <c r="X408" s="27"/>
      <c r="Y408" s="27"/>
      <c r="Z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33">
        <f t="shared" si="1"/>
        <v>0</v>
      </c>
      <c r="W409" s="27"/>
      <c r="X409" s="27"/>
      <c r="Y409" s="27"/>
      <c r="Z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33">
        <f t="shared" si="1"/>
        <v>0</v>
      </c>
      <c r="W410" s="27"/>
      <c r="X410" s="27"/>
      <c r="Y410" s="27"/>
      <c r="Z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33">
        <f t="shared" si="1"/>
        <v>0</v>
      </c>
      <c r="W411" s="27"/>
      <c r="X411" s="27"/>
      <c r="Y411" s="27"/>
      <c r="Z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33">
        <f t="shared" si="1"/>
        <v>0</v>
      </c>
      <c r="W412" s="27"/>
      <c r="X412" s="27"/>
      <c r="Y412" s="27"/>
      <c r="Z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33">
        <f t="shared" si="1"/>
        <v>0</v>
      </c>
      <c r="W413" s="27"/>
      <c r="X413" s="27"/>
      <c r="Y413" s="27"/>
      <c r="Z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33">
        <f t="shared" si="1"/>
        <v>0</v>
      </c>
      <c r="W414" s="27"/>
      <c r="X414" s="27"/>
      <c r="Y414" s="27"/>
      <c r="Z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33">
        <f t="shared" si="1"/>
        <v>0</v>
      </c>
      <c r="W415" s="27"/>
      <c r="X415" s="27"/>
      <c r="Y415" s="27"/>
      <c r="Z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33">
        <f t="shared" si="1"/>
        <v>0</v>
      </c>
      <c r="W416" s="27"/>
      <c r="X416" s="27"/>
      <c r="Y416" s="27"/>
      <c r="Z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33">
        <f t="shared" si="1"/>
        <v>0</v>
      </c>
      <c r="W417" s="27"/>
      <c r="X417" s="27"/>
      <c r="Y417" s="27"/>
      <c r="Z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33">
        <f t="shared" si="1"/>
        <v>0</v>
      </c>
      <c r="W418" s="27"/>
      <c r="X418" s="27"/>
      <c r="Y418" s="27"/>
      <c r="Z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33">
        <f t="shared" si="1"/>
        <v>0</v>
      </c>
      <c r="W419" s="27"/>
      <c r="X419" s="27"/>
      <c r="Y419" s="27"/>
      <c r="Z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33">
        <f t="shared" si="1"/>
        <v>0</v>
      </c>
      <c r="W420" s="27"/>
      <c r="X420" s="27"/>
      <c r="Y420" s="27"/>
      <c r="Z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33">
        <f t="shared" si="1"/>
        <v>0</v>
      </c>
      <c r="W421" s="27"/>
      <c r="X421" s="27"/>
      <c r="Y421" s="27"/>
      <c r="Z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33">
        <f t="shared" si="1"/>
        <v>0</v>
      </c>
      <c r="W422" s="27"/>
      <c r="X422" s="27"/>
      <c r="Y422" s="27"/>
      <c r="Z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33">
        <f t="shared" si="1"/>
        <v>0</v>
      </c>
      <c r="W423" s="27"/>
      <c r="X423" s="27"/>
      <c r="Y423" s="27"/>
      <c r="Z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33">
        <f t="shared" si="1"/>
        <v>0</v>
      </c>
      <c r="W424" s="27"/>
      <c r="X424" s="27"/>
      <c r="Y424" s="27"/>
      <c r="Z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33">
        <f t="shared" si="1"/>
        <v>0</v>
      </c>
      <c r="W425" s="27"/>
      <c r="X425" s="27"/>
      <c r="Y425" s="27"/>
      <c r="Z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33">
        <f t="shared" si="1"/>
        <v>0</v>
      </c>
      <c r="W426" s="27"/>
      <c r="X426" s="27"/>
      <c r="Y426" s="27"/>
      <c r="Z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33">
        <f t="shared" si="1"/>
        <v>0</v>
      </c>
      <c r="W427" s="27"/>
      <c r="X427" s="27"/>
      <c r="Y427" s="27"/>
      <c r="Z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33">
        <f t="shared" si="1"/>
        <v>0</v>
      </c>
      <c r="W428" s="27"/>
      <c r="X428" s="27"/>
      <c r="Y428" s="27"/>
      <c r="Z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33">
        <f t="shared" si="1"/>
        <v>0</v>
      </c>
      <c r="W429" s="27"/>
      <c r="X429" s="27"/>
      <c r="Y429" s="27"/>
      <c r="Z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33">
        <f t="shared" si="1"/>
        <v>0</v>
      </c>
      <c r="W430" s="27"/>
      <c r="X430" s="27"/>
      <c r="Y430" s="27"/>
      <c r="Z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33">
        <f t="shared" si="1"/>
        <v>0</v>
      </c>
      <c r="W431" s="27"/>
      <c r="X431" s="27"/>
      <c r="Y431" s="27"/>
      <c r="Z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33">
        <f t="shared" si="1"/>
        <v>0</v>
      </c>
      <c r="W432" s="27"/>
      <c r="X432" s="27"/>
      <c r="Y432" s="27"/>
      <c r="Z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33">
        <f t="shared" si="1"/>
        <v>0</v>
      </c>
      <c r="W433" s="27"/>
      <c r="X433" s="27"/>
      <c r="Y433" s="27"/>
      <c r="Z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33">
        <f t="shared" si="1"/>
        <v>0</v>
      </c>
      <c r="W434" s="27"/>
      <c r="X434" s="27"/>
      <c r="Y434" s="27"/>
      <c r="Z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33">
        <f t="shared" si="1"/>
        <v>0</v>
      </c>
      <c r="W435" s="27"/>
      <c r="X435" s="27"/>
      <c r="Y435" s="27"/>
      <c r="Z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33">
        <f t="shared" si="1"/>
        <v>0</v>
      </c>
      <c r="W436" s="27"/>
      <c r="X436" s="27"/>
      <c r="Y436" s="27"/>
      <c r="Z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33">
        <f t="shared" si="1"/>
        <v>0</v>
      </c>
      <c r="W437" s="27"/>
      <c r="X437" s="27"/>
      <c r="Y437" s="27"/>
      <c r="Z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33">
        <f t="shared" si="1"/>
        <v>0</v>
      </c>
      <c r="W438" s="27"/>
      <c r="X438" s="27"/>
      <c r="Y438" s="27"/>
      <c r="Z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33">
        <f t="shared" si="1"/>
        <v>0</v>
      </c>
      <c r="W439" s="27"/>
      <c r="X439" s="27"/>
      <c r="Y439" s="27"/>
      <c r="Z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33">
        <f t="shared" si="1"/>
        <v>0</v>
      </c>
      <c r="W440" s="27"/>
      <c r="X440" s="27"/>
      <c r="Y440" s="27"/>
      <c r="Z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33">
        <f t="shared" si="1"/>
        <v>0</v>
      </c>
      <c r="W441" s="27"/>
      <c r="X441" s="27"/>
      <c r="Y441" s="27"/>
      <c r="Z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33">
        <f t="shared" si="1"/>
        <v>0</v>
      </c>
      <c r="W442" s="27"/>
      <c r="X442" s="27"/>
      <c r="Y442" s="27"/>
      <c r="Z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33">
        <f t="shared" si="1"/>
        <v>0</v>
      </c>
      <c r="W443" s="27"/>
      <c r="X443" s="27"/>
      <c r="Y443" s="27"/>
      <c r="Z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33">
        <f t="shared" si="1"/>
        <v>0</v>
      </c>
      <c r="W444" s="27"/>
      <c r="X444" s="27"/>
      <c r="Y444" s="27"/>
      <c r="Z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33">
        <f t="shared" si="1"/>
        <v>0</v>
      </c>
      <c r="W445" s="27"/>
      <c r="X445" s="27"/>
      <c r="Y445" s="27"/>
      <c r="Z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33">
        <f t="shared" si="1"/>
        <v>0</v>
      </c>
      <c r="W446" s="27"/>
      <c r="X446" s="27"/>
      <c r="Y446" s="27"/>
      <c r="Z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33">
        <f t="shared" si="1"/>
        <v>0</v>
      </c>
      <c r="W447" s="27"/>
      <c r="X447" s="27"/>
      <c r="Y447" s="27"/>
      <c r="Z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33">
        <f t="shared" si="1"/>
        <v>0</v>
      </c>
      <c r="W448" s="27"/>
      <c r="X448" s="27"/>
      <c r="Y448" s="27"/>
      <c r="Z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33">
        <f t="shared" si="1"/>
        <v>0</v>
      </c>
      <c r="W449" s="27"/>
      <c r="X449" s="27"/>
      <c r="Y449" s="27"/>
      <c r="Z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33">
        <f t="shared" si="1"/>
        <v>0</v>
      </c>
      <c r="W450" s="27"/>
      <c r="X450" s="27"/>
      <c r="Y450" s="27"/>
      <c r="Z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33">
        <f t="shared" si="1"/>
        <v>0</v>
      </c>
      <c r="W451" s="27"/>
      <c r="X451" s="27"/>
      <c r="Y451" s="27"/>
      <c r="Z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33">
        <f t="shared" si="1"/>
        <v>0</v>
      </c>
      <c r="W452" s="27"/>
      <c r="X452" s="27"/>
      <c r="Y452" s="27"/>
      <c r="Z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33">
        <f t="shared" si="1"/>
        <v>0</v>
      </c>
      <c r="W453" s="27"/>
      <c r="X453" s="27"/>
      <c r="Y453" s="27"/>
      <c r="Z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33">
        <f t="shared" si="1"/>
        <v>0</v>
      </c>
      <c r="W454" s="27"/>
      <c r="X454" s="27"/>
      <c r="Y454" s="27"/>
      <c r="Z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33">
        <f t="shared" si="1"/>
        <v>0</v>
      </c>
      <c r="W455" s="27"/>
      <c r="X455" s="27"/>
      <c r="Y455" s="27"/>
      <c r="Z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33">
        <f t="shared" si="1"/>
        <v>0</v>
      </c>
      <c r="W456" s="27"/>
      <c r="X456" s="27"/>
      <c r="Y456" s="27"/>
      <c r="Z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33">
        <f t="shared" si="1"/>
        <v>0</v>
      </c>
      <c r="W457" s="27"/>
      <c r="X457" s="27"/>
      <c r="Y457" s="27"/>
      <c r="Z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33">
        <f t="shared" si="1"/>
        <v>0</v>
      </c>
      <c r="W458" s="27"/>
      <c r="X458" s="27"/>
      <c r="Y458" s="27"/>
      <c r="Z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33">
        <f t="shared" si="1"/>
        <v>0</v>
      </c>
      <c r="W459" s="27"/>
      <c r="X459" s="27"/>
      <c r="Y459" s="27"/>
      <c r="Z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33">
        <f t="shared" si="1"/>
        <v>0</v>
      </c>
      <c r="W460" s="27"/>
      <c r="X460" s="27"/>
      <c r="Y460" s="27"/>
      <c r="Z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33">
        <f t="shared" si="1"/>
        <v>0</v>
      </c>
      <c r="W461" s="27"/>
      <c r="X461" s="27"/>
      <c r="Y461" s="27"/>
      <c r="Z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33">
        <f t="shared" si="1"/>
        <v>0</v>
      </c>
      <c r="W462" s="27"/>
      <c r="X462" s="27"/>
      <c r="Y462" s="27"/>
      <c r="Z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33">
        <f t="shared" si="1"/>
        <v>0</v>
      </c>
      <c r="W463" s="27"/>
      <c r="X463" s="27"/>
      <c r="Y463" s="27"/>
      <c r="Z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33">
        <f t="shared" si="1"/>
        <v>0</v>
      </c>
      <c r="W464" s="27"/>
      <c r="X464" s="27"/>
      <c r="Y464" s="27"/>
      <c r="Z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33">
        <f t="shared" si="1"/>
        <v>0</v>
      </c>
      <c r="W465" s="27"/>
      <c r="X465" s="27"/>
      <c r="Y465" s="27"/>
      <c r="Z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33">
        <f t="shared" si="1"/>
        <v>0</v>
      </c>
      <c r="W466" s="27"/>
      <c r="X466" s="27"/>
      <c r="Y466" s="27"/>
      <c r="Z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33">
        <f t="shared" si="1"/>
        <v>0</v>
      </c>
      <c r="W467" s="27"/>
      <c r="X467" s="27"/>
      <c r="Y467" s="27"/>
      <c r="Z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33">
        <f t="shared" si="1"/>
        <v>0</v>
      </c>
      <c r="W468" s="27"/>
      <c r="X468" s="27"/>
      <c r="Y468" s="27"/>
      <c r="Z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33">
        <f t="shared" si="1"/>
        <v>0</v>
      </c>
      <c r="W469" s="27"/>
      <c r="X469" s="27"/>
      <c r="Y469" s="27"/>
      <c r="Z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33">
        <f t="shared" si="1"/>
        <v>0</v>
      </c>
      <c r="W470" s="27"/>
      <c r="X470" s="27"/>
      <c r="Y470" s="27"/>
      <c r="Z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33">
        <f t="shared" si="1"/>
        <v>0</v>
      </c>
      <c r="W471" s="27"/>
      <c r="X471" s="27"/>
      <c r="Y471" s="27"/>
      <c r="Z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33">
        <f t="shared" si="1"/>
        <v>0</v>
      </c>
      <c r="W472" s="27"/>
      <c r="X472" s="27"/>
      <c r="Y472" s="27"/>
      <c r="Z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33">
        <f t="shared" si="1"/>
        <v>0</v>
      </c>
      <c r="W473" s="27"/>
      <c r="X473" s="27"/>
      <c r="Y473" s="27"/>
      <c r="Z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33">
        <f t="shared" si="1"/>
        <v>0</v>
      </c>
      <c r="W474" s="27"/>
      <c r="X474" s="27"/>
      <c r="Y474" s="27"/>
      <c r="Z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33">
        <f t="shared" si="1"/>
        <v>0</v>
      </c>
      <c r="W475" s="27"/>
      <c r="X475" s="27"/>
      <c r="Y475" s="27"/>
      <c r="Z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33">
        <f t="shared" si="1"/>
        <v>0</v>
      </c>
      <c r="W476" s="27"/>
      <c r="X476" s="27"/>
      <c r="Y476" s="27"/>
      <c r="Z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33">
        <f t="shared" si="1"/>
        <v>0</v>
      </c>
      <c r="W477" s="27"/>
      <c r="X477" s="27"/>
      <c r="Y477" s="27"/>
      <c r="Z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33">
        <f t="shared" si="1"/>
        <v>0</v>
      </c>
      <c r="W478" s="27"/>
      <c r="X478" s="27"/>
      <c r="Y478" s="27"/>
      <c r="Z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33">
        <f t="shared" si="1"/>
        <v>0</v>
      </c>
      <c r="W479" s="27"/>
      <c r="X479" s="27"/>
      <c r="Y479" s="27"/>
      <c r="Z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33">
        <f t="shared" si="1"/>
        <v>0</v>
      </c>
      <c r="W480" s="27"/>
      <c r="X480" s="27"/>
      <c r="Y480" s="27"/>
      <c r="Z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33">
        <f t="shared" si="1"/>
        <v>0</v>
      </c>
      <c r="W481" s="27"/>
      <c r="X481" s="27"/>
      <c r="Y481" s="27"/>
      <c r="Z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33">
        <f t="shared" si="1"/>
        <v>0</v>
      </c>
      <c r="W482" s="27"/>
      <c r="X482" s="27"/>
      <c r="Y482" s="27"/>
      <c r="Z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33">
        <f t="shared" si="1"/>
        <v>0</v>
      </c>
      <c r="W483" s="27"/>
      <c r="X483" s="27"/>
      <c r="Y483" s="27"/>
      <c r="Z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33">
        <f t="shared" si="1"/>
        <v>0</v>
      </c>
      <c r="W484" s="27"/>
      <c r="X484" s="27"/>
      <c r="Y484" s="27"/>
      <c r="Z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33">
        <f t="shared" si="1"/>
        <v>0</v>
      </c>
      <c r="W485" s="27"/>
      <c r="X485" s="27"/>
      <c r="Y485" s="27"/>
      <c r="Z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33">
        <f t="shared" si="1"/>
        <v>0</v>
      </c>
      <c r="W486" s="27"/>
      <c r="X486" s="27"/>
      <c r="Y486" s="27"/>
      <c r="Z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33">
        <f t="shared" si="1"/>
        <v>0</v>
      </c>
      <c r="W487" s="27"/>
      <c r="X487" s="27"/>
      <c r="Y487" s="27"/>
      <c r="Z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33">
        <f t="shared" si="1"/>
        <v>0</v>
      </c>
      <c r="W488" s="27"/>
      <c r="X488" s="27"/>
      <c r="Y488" s="27"/>
      <c r="Z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33">
        <f t="shared" si="1"/>
        <v>0</v>
      </c>
      <c r="W489" s="27"/>
      <c r="X489" s="27"/>
      <c r="Y489" s="27"/>
      <c r="Z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33">
        <f t="shared" si="1"/>
        <v>0</v>
      </c>
      <c r="W490" s="27"/>
      <c r="X490" s="27"/>
      <c r="Y490" s="27"/>
      <c r="Z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33">
        <f t="shared" si="1"/>
        <v>0</v>
      </c>
      <c r="W491" s="27"/>
      <c r="X491" s="27"/>
      <c r="Y491" s="27"/>
      <c r="Z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33">
        <f t="shared" si="1"/>
        <v>0</v>
      </c>
      <c r="W492" s="27"/>
      <c r="X492" s="27"/>
      <c r="Y492" s="27"/>
      <c r="Z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33">
        <f t="shared" si="1"/>
        <v>0</v>
      </c>
      <c r="W493" s="27"/>
      <c r="X493" s="27"/>
      <c r="Y493" s="27"/>
      <c r="Z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33">
        <f t="shared" si="1"/>
        <v>0</v>
      </c>
      <c r="W494" s="27"/>
      <c r="X494" s="27"/>
      <c r="Y494" s="27"/>
      <c r="Z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33">
        <f t="shared" si="1"/>
        <v>0</v>
      </c>
      <c r="W495" s="27"/>
      <c r="X495" s="27"/>
      <c r="Y495" s="27"/>
      <c r="Z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33">
        <f t="shared" si="1"/>
        <v>0</v>
      </c>
      <c r="W496" s="27"/>
      <c r="X496" s="27"/>
      <c r="Y496" s="27"/>
      <c r="Z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33">
        <f t="shared" si="1"/>
        <v>0</v>
      </c>
      <c r="W497" s="27"/>
      <c r="X497" s="27"/>
      <c r="Y497" s="27"/>
      <c r="Z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33">
        <f t="shared" si="1"/>
        <v>0</v>
      </c>
      <c r="W498" s="27"/>
      <c r="X498" s="27"/>
      <c r="Y498" s="27"/>
      <c r="Z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33">
        <f t="shared" si="1"/>
        <v>0</v>
      </c>
      <c r="W499" s="27"/>
      <c r="X499" s="27"/>
      <c r="Y499" s="27"/>
      <c r="Z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33">
        <f t="shared" si="1"/>
        <v>0</v>
      </c>
      <c r="W500" s="27"/>
      <c r="X500" s="27"/>
      <c r="Y500" s="27"/>
      <c r="Z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33">
        <f t="shared" si="1"/>
        <v>0</v>
      </c>
      <c r="W501" s="27"/>
      <c r="X501" s="27"/>
      <c r="Y501" s="27"/>
      <c r="Z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33">
        <f t="shared" si="1"/>
        <v>0</v>
      </c>
      <c r="W502" s="27"/>
      <c r="X502" s="27"/>
      <c r="Y502" s="27"/>
      <c r="Z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33">
        <f t="shared" si="1"/>
        <v>0</v>
      </c>
      <c r="W503" s="27"/>
      <c r="X503" s="27"/>
      <c r="Y503" s="27"/>
      <c r="Z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33">
        <f t="shared" si="1"/>
        <v>0</v>
      </c>
      <c r="W504" s="27"/>
      <c r="X504" s="27"/>
      <c r="Y504" s="27"/>
      <c r="Z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33">
        <f t="shared" si="1"/>
        <v>0</v>
      </c>
      <c r="W505" s="27"/>
      <c r="X505" s="27"/>
      <c r="Y505" s="27"/>
      <c r="Z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33">
        <f t="shared" si="1"/>
        <v>0</v>
      </c>
      <c r="W506" s="27"/>
      <c r="X506" s="27"/>
      <c r="Y506" s="27"/>
      <c r="Z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33">
        <f t="shared" si="1"/>
        <v>0</v>
      </c>
      <c r="W507" s="27"/>
      <c r="X507" s="27"/>
      <c r="Y507" s="27"/>
      <c r="Z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33">
        <f t="shared" si="1"/>
        <v>0</v>
      </c>
      <c r="W508" s="27"/>
      <c r="X508" s="27"/>
      <c r="Y508" s="27"/>
      <c r="Z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33">
        <f t="shared" si="1"/>
        <v>0</v>
      </c>
      <c r="W509" s="27"/>
      <c r="X509" s="27"/>
      <c r="Y509" s="27"/>
      <c r="Z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33">
        <f t="shared" si="1"/>
        <v>0</v>
      </c>
      <c r="W510" s="27"/>
      <c r="X510" s="27"/>
      <c r="Y510" s="27"/>
      <c r="Z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33">
        <f t="shared" si="1"/>
        <v>0</v>
      </c>
      <c r="W511" s="27"/>
      <c r="X511" s="27"/>
      <c r="Y511" s="27"/>
      <c r="Z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33">
        <f t="shared" si="1"/>
        <v>0</v>
      </c>
      <c r="W512" s="27"/>
      <c r="X512" s="27"/>
      <c r="Y512" s="27"/>
      <c r="Z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33">
        <f t="shared" si="1"/>
        <v>0</v>
      </c>
      <c r="W513" s="27"/>
      <c r="X513" s="27"/>
      <c r="Y513" s="27"/>
      <c r="Z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33">
        <f t="shared" si="1"/>
        <v>0</v>
      </c>
      <c r="W514" s="27"/>
      <c r="X514" s="27"/>
      <c r="Y514" s="27"/>
      <c r="Z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33">
        <f t="shared" si="1"/>
        <v>0</v>
      </c>
      <c r="W515" s="27"/>
      <c r="X515" s="27"/>
      <c r="Y515" s="27"/>
      <c r="Z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33">
        <f t="shared" si="1"/>
        <v>0</v>
      </c>
      <c r="W516" s="27"/>
      <c r="X516" s="27"/>
      <c r="Y516" s="27"/>
      <c r="Z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33">
        <f t="shared" si="1"/>
        <v>0</v>
      </c>
      <c r="W517" s="27"/>
      <c r="X517" s="27"/>
      <c r="Y517" s="27"/>
      <c r="Z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33">
        <f t="shared" si="1"/>
        <v>0</v>
      </c>
      <c r="W518" s="27"/>
      <c r="X518" s="27"/>
      <c r="Y518" s="27"/>
      <c r="Z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33">
        <f t="shared" si="1"/>
        <v>0</v>
      </c>
      <c r="W519" s="27"/>
      <c r="X519" s="27"/>
      <c r="Y519" s="27"/>
      <c r="Z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33">
        <f t="shared" si="1"/>
        <v>0</v>
      </c>
      <c r="W520" s="27"/>
      <c r="X520" s="27"/>
      <c r="Y520" s="27"/>
      <c r="Z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33">
        <f t="shared" si="1"/>
        <v>0</v>
      </c>
      <c r="W521" s="27"/>
      <c r="X521" s="27"/>
      <c r="Y521" s="27"/>
      <c r="Z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33">
        <f t="shared" si="1"/>
        <v>0</v>
      </c>
      <c r="W522" s="27"/>
      <c r="X522" s="27"/>
      <c r="Y522" s="27"/>
      <c r="Z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33">
        <f t="shared" si="1"/>
        <v>0</v>
      </c>
      <c r="W523" s="27"/>
      <c r="X523" s="27"/>
      <c r="Y523" s="27"/>
      <c r="Z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33">
        <f t="shared" si="1"/>
        <v>0</v>
      </c>
      <c r="W524" s="27"/>
      <c r="X524" s="27"/>
      <c r="Y524" s="27"/>
      <c r="Z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33">
        <f t="shared" si="1"/>
        <v>0</v>
      </c>
      <c r="W525" s="27"/>
      <c r="X525" s="27"/>
      <c r="Y525" s="27"/>
      <c r="Z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33">
        <f t="shared" si="1"/>
        <v>0</v>
      </c>
      <c r="W526" s="27"/>
      <c r="X526" s="27"/>
      <c r="Y526" s="27"/>
      <c r="Z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33">
        <f t="shared" si="1"/>
        <v>0</v>
      </c>
      <c r="W527" s="27"/>
      <c r="X527" s="27"/>
      <c r="Y527" s="27"/>
      <c r="Z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33">
        <f t="shared" si="1"/>
        <v>0</v>
      </c>
      <c r="W528" s="27"/>
      <c r="X528" s="27"/>
      <c r="Y528" s="27"/>
      <c r="Z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33">
        <f t="shared" si="1"/>
        <v>0</v>
      </c>
      <c r="W529" s="27"/>
      <c r="X529" s="27"/>
      <c r="Y529" s="27"/>
      <c r="Z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33">
        <f t="shared" si="1"/>
        <v>0</v>
      </c>
      <c r="W530" s="27"/>
      <c r="X530" s="27"/>
      <c r="Y530" s="27"/>
      <c r="Z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33">
        <f t="shared" si="1"/>
        <v>0</v>
      </c>
      <c r="W531" s="27"/>
      <c r="X531" s="27"/>
      <c r="Y531" s="27"/>
      <c r="Z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33">
        <f t="shared" si="1"/>
        <v>0</v>
      </c>
      <c r="W532" s="27"/>
      <c r="X532" s="27"/>
      <c r="Y532" s="27"/>
      <c r="Z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33">
        <f t="shared" si="1"/>
        <v>0</v>
      </c>
      <c r="W533" s="27"/>
      <c r="X533" s="27"/>
      <c r="Y533" s="27"/>
      <c r="Z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33">
        <f t="shared" si="1"/>
        <v>0</v>
      </c>
      <c r="W534" s="27"/>
      <c r="X534" s="27"/>
      <c r="Y534" s="27"/>
      <c r="Z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33">
        <f t="shared" si="1"/>
        <v>0</v>
      </c>
      <c r="W535" s="27"/>
      <c r="X535" s="27"/>
      <c r="Y535" s="27"/>
      <c r="Z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33">
        <f t="shared" si="1"/>
        <v>0</v>
      </c>
      <c r="W536" s="27"/>
      <c r="X536" s="27"/>
      <c r="Y536" s="27"/>
      <c r="Z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33">
        <f t="shared" si="1"/>
        <v>0</v>
      </c>
      <c r="W537" s="27"/>
      <c r="X537" s="27"/>
      <c r="Y537" s="27"/>
      <c r="Z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33">
        <f t="shared" si="1"/>
        <v>0</v>
      </c>
      <c r="W538" s="27"/>
      <c r="X538" s="27"/>
      <c r="Y538" s="27"/>
      <c r="Z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33">
        <f t="shared" si="1"/>
        <v>0</v>
      </c>
      <c r="W539" s="27"/>
      <c r="X539" s="27"/>
      <c r="Y539" s="27"/>
      <c r="Z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33">
        <f t="shared" si="1"/>
        <v>0</v>
      </c>
      <c r="W540" s="27"/>
      <c r="X540" s="27"/>
      <c r="Y540" s="27"/>
      <c r="Z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33">
        <f t="shared" si="1"/>
        <v>0</v>
      </c>
      <c r="W541" s="27"/>
      <c r="X541" s="27"/>
      <c r="Y541" s="27"/>
      <c r="Z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33">
        <f t="shared" si="1"/>
        <v>0</v>
      </c>
      <c r="W542" s="27"/>
      <c r="X542" s="27"/>
      <c r="Y542" s="27"/>
      <c r="Z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33">
        <f t="shared" si="1"/>
        <v>0</v>
      </c>
      <c r="W543" s="27"/>
      <c r="X543" s="27"/>
      <c r="Y543" s="27"/>
      <c r="Z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33">
        <f t="shared" si="1"/>
        <v>0</v>
      </c>
      <c r="W544" s="27"/>
      <c r="X544" s="27"/>
      <c r="Y544" s="27"/>
      <c r="Z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33">
        <f t="shared" si="1"/>
        <v>0</v>
      </c>
      <c r="W545" s="27"/>
      <c r="X545" s="27"/>
      <c r="Y545" s="27"/>
      <c r="Z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33">
        <f t="shared" si="1"/>
        <v>0</v>
      </c>
      <c r="W546" s="27"/>
      <c r="X546" s="27"/>
      <c r="Y546" s="27"/>
      <c r="Z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33">
        <f t="shared" si="1"/>
        <v>0</v>
      </c>
      <c r="W547" s="27"/>
      <c r="X547" s="27"/>
      <c r="Y547" s="27"/>
      <c r="Z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33">
        <f t="shared" si="1"/>
        <v>0</v>
      </c>
      <c r="W548" s="27"/>
      <c r="X548" s="27"/>
      <c r="Y548" s="27"/>
      <c r="Z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33">
        <f t="shared" si="1"/>
        <v>0</v>
      </c>
      <c r="W549" s="27"/>
      <c r="X549" s="27"/>
      <c r="Y549" s="27"/>
      <c r="Z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33">
        <f t="shared" si="1"/>
        <v>0</v>
      </c>
      <c r="W550" s="27"/>
      <c r="X550" s="27"/>
      <c r="Y550" s="27"/>
      <c r="Z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33">
        <f t="shared" si="1"/>
        <v>0</v>
      </c>
      <c r="W551" s="27"/>
      <c r="X551" s="27"/>
      <c r="Y551" s="27"/>
      <c r="Z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33">
        <f t="shared" si="1"/>
        <v>0</v>
      </c>
      <c r="W552" s="27"/>
      <c r="X552" s="27"/>
      <c r="Y552" s="27"/>
      <c r="Z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33">
        <f t="shared" si="1"/>
        <v>0</v>
      </c>
      <c r="W553" s="27"/>
      <c r="X553" s="27"/>
      <c r="Y553" s="27"/>
      <c r="Z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33">
        <f t="shared" si="1"/>
        <v>0</v>
      </c>
      <c r="W554" s="27"/>
      <c r="X554" s="27"/>
      <c r="Y554" s="27"/>
      <c r="Z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33">
        <f t="shared" si="1"/>
        <v>0</v>
      </c>
      <c r="W555" s="27"/>
      <c r="X555" s="27"/>
      <c r="Y555" s="27"/>
      <c r="Z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33">
        <f t="shared" si="1"/>
        <v>0</v>
      </c>
      <c r="W556" s="27"/>
      <c r="X556" s="27"/>
      <c r="Y556" s="27"/>
      <c r="Z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33">
        <f t="shared" si="1"/>
        <v>0</v>
      </c>
      <c r="W557" s="27"/>
      <c r="X557" s="27"/>
      <c r="Y557" s="27"/>
      <c r="Z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33">
        <f t="shared" si="1"/>
        <v>0</v>
      </c>
      <c r="W558" s="27"/>
      <c r="X558" s="27"/>
      <c r="Y558" s="27"/>
      <c r="Z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33">
        <f t="shared" si="1"/>
        <v>0</v>
      </c>
      <c r="W559" s="27"/>
      <c r="X559" s="27"/>
      <c r="Y559" s="27"/>
      <c r="Z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33">
        <f t="shared" si="1"/>
        <v>0</v>
      </c>
      <c r="W560" s="27"/>
      <c r="X560" s="27"/>
      <c r="Y560" s="27"/>
      <c r="Z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33">
        <f t="shared" si="1"/>
        <v>0</v>
      </c>
      <c r="W561" s="27"/>
      <c r="X561" s="27"/>
      <c r="Y561" s="27"/>
      <c r="Z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33">
        <f t="shared" si="1"/>
        <v>0</v>
      </c>
      <c r="W562" s="27"/>
      <c r="X562" s="27"/>
      <c r="Y562" s="27"/>
      <c r="Z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33">
        <f t="shared" si="1"/>
        <v>0</v>
      </c>
      <c r="W563" s="27"/>
      <c r="X563" s="27"/>
      <c r="Y563" s="27"/>
      <c r="Z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33">
        <f t="shared" si="1"/>
        <v>0</v>
      </c>
      <c r="W564" s="27"/>
      <c r="X564" s="27"/>
      <c r="Y564" s="27"/>
      <c r="Z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33">
        <f t="shared" si="1"/>
        <v>0</v>
      </c>
      <c r="W565" s="27"/>
      <c r="X565" s="27"/>
      <c r="Y565" s="27"/>
      <c r="Z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33">
        <f t="shared" si="1"/>
        <v>0</v>
      </c>
      <c r="W566" s="27"/>
      <c r="X566" s="27"/>
      <c r="Y566" s="27"/>
      <c r="Z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33">
        <f t="shared" si="1"/>
        <v>0</v>
      </c>
      <c r="W567" s="27"/>
      <c r="X567" s="27"/>
      <c r="Y567" s="27"/>
      <c r="Z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33">
        <f t="shared" si="1"/>
        <v>0</v>
      </c>
      <c r="W568" s="27"/>
      <c r="X568" s="27"/>
      <c r="Y568" s="27"/>
      <c r="Z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33">
        <f t="shared" si="1"/>
        <v>0</v>
      </c>
      <c r="W569" s="27"/>
      <c r="X569" s="27"/>
      <c r="Y569" s="27"/>
      <c r="Z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33">
        <f t="shared" si="1"/>
        <v>0</v>
      </c>
      <c r="W570" s="27"/>
      <c r="X570" s="27"/>
      <c r="Y570" s="27"/>
      <c r="Z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33">
        <f t="shared" si="1"/>
        <v>0</v>
      </c>
      <c r="W571" s="27"/>
      <c r="X571" s="27"/>
      <c r="Y571" s="27"/>
      <c r="Z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33">
        <f t="shared" si="1"/>
        <v>0</v>
      </c>
      <c r="W572" s="27"/>
      <c r="X572" s="27"/>
      <c r="Y572" s="27"/>
      <c r="Z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33">
        <f t="shared" si="1"/>
        <v>0</v>
      </c>
      <c r="W573" s="27"/>
      <c r="X573" s="27"/>
      <c r="Y573" s="27"/>
      <c r="Z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33">
        <f t="shared" si="1"/>
        <v>0</v>
      </c>
      <c r="W574" s="27"/>
      <c r="X574" s="27"/>
      <c r="Y574" s="27"/>
      <c r="Z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33">
        <f t="shared" si="1"/>
        <v>0</v>
      </c>
      <c r="W575" s="27"/>
      <c r="X575" s="27"/>
      <c r="Y575" s="27"/>
      <c r="Z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33">
        <f t="shared" si="1"/>
        <v>0</v>
      </c>
      <c r="W576" s="27"/>
      <c r="X576" s="27"/>
      <c r="Y576" s="27"/>
      <c r="Z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33">
        <f t="shared" si="1"/>
        <v>0</v>
      </c>
      <c r="W577" s="27"/>
      <c r="X577" s="27"/>
      <c r="Y577" s="27"/>
      <c r="Z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33">
        <f t="shared" si="1"/>
        <v>0</v>
      </c>
      <c r="W578" s="27"/>
      <c r="X578" s="27"/>
      <c r="Y578" s="27"/>
      <c r="Z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33">
        <f t="shared" si="1"/>
        <v>0</v>
      </c>
      <c r="W579" s="27"/>
      <c r="X579" s="27"/>
      <c r="Y579" s="27"/>
      <c r="Z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33">
        <f t="shared" si="1"/>
        <v>0</v>
      </c>
      <c r="W580" s="27"/>
      <c r="X580" s="27"/>
      <c r="Y580" s="27"/>
      <c r="Z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33">
        <f t="shared" si="1"/>
        <v>0</v>
      </c>
      <c r="W581" s="27"/>
      <c r="X581" s="27"/>
      <c r="Y581" s="27"/>
      <c r="Z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33">
        <f t="shared" si="1"/>
        <v>0</v>
      </c>
      <c r="W582" s="27"/>
      <c r="X582" s="27"/>
      <c r="Y582" s="27"/>
      <c r="Z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33">
        <f t="shared" si="1"/>
        <v>0</v>
      </c>
      <c r="W583" s="27"/>
      <c r="X583" s="27"/>
      <c r="Y583" s="27"/>
      <c r="Z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33">
        <f t="shared" si="1"/>
        <v>0</v>
      </c>
      <c r="W584" s="27"/>
      <c r="X584" s="27"/>
      <c r="Y584" s="27"/>
      <c r="Z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33">
        <f t="shared" si="1"/>
        <v>0</v>
      </c>
      <c r="W585" s="27"/>
      <c r="X585" s="27"/>
      <c r="Y585" s="27"/>
      <c r="Z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33">
        <f t="shared" si="1"/>
        <v>0</v>
      </c>
      <c r="W586" s="27"/>
      <c r="X586" s="27"/>
      <c r="Y586" s="27"/>
      <c r="Z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33">
        <f t="shared" si="1"/>
        <v>0</v>
      </c>
      <c r="W587" s="27"/>
      <c r="X587" s="27"/>
      <c r="Y587" s="27"/>
      <c r="Z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33">
        <f t="shared" si="1"/>
        <v>0</v>
      </c>
      <c r="W588" s="27"/>
      <c r="X588" s="27"/>
      <c r="Y588" s="27"/>
      <c r="Z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33">
        <f t="shared" si="1"/>
        <v>0</v>
      </c>
      <c r="W589" s="27"/>
      <c r="X589" s="27"/>
      <c r="Y589" s="27"/>
      <c r="Z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33">
        <f t="shared" si="1"/>
        <v>0</v>
      </c>
      <c r="W590" s="27"/>
      <c r="X590" s="27"/>
      <c r="Y590" s="27"/>
      <c r="Z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33">
        <f t="shared" si="1"/>
        <v>0</v>
      </c>
      <c r="W591" s="27"/>
      <c r="X591" s="27"/>
      <c r="Y591" s="27"/>
      <c r="Z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33">
        <f t="shared" si="1"/>
        <v>0</v>
      </c>
      <c r="W592" s="27"/>
      <c r="X592" s="27"/>
      <c r="Y592" s="27"/>
      <c r="Z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33">
        <f t="shared" si="1"/>
        <v>0</v>
      </c>
      <c r="W593" s="27"/>
      <c r="X593" s="27"/>
      <c r="Y593" s="27"/>
      <c r="Z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33">
        <f t="shared" si="1"/>
        <v>0</v>
      </c>
      <c r="W594" s="27"/>
      <c r="X594" s="27"/>
      <c r="Y594" s="27"/>
      <c r="Z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33">
        <f t="shared" si="1"/>
        <v>0</v>
      </c>
      <c r="W595" s="27"/>
      <c r="X595" s="27"/>
      <c r="Y595" s="27"/>
      <c r="Z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33">
        <f t="shared" si="1"/>
        <v>0</v>
      </c>
      <c r="W596" s="27"/>
      <c r="X596" s="27"/>
      <c r="Y596" s="27"/>
      <c r="Z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33">
        <f t="shared" si="1"/>
        <v>0</v>
      </c>
      <c r="W597" s="27"/>
      <c r="X597" s="27"/>
      <c r="Y597" s="27"/>
      <c r="Z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33">
        <f t="shared" si="1"/>
        <v>0</v>
      </c>
      <c r="W598" s="27"/>
      <c r="X598" s="27"/>
      <c r="Y598" s="27"/>
      <c r="Z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33">
        <f t="shared" si="1"/>
        <v>0</v>
      </c>
      <c r="W599" s="27"/>
      <c r="X599" s="27"/>
      <c r="Y599" s="27"/>
      <c r="Z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33">
        <f t="shared" si="1"/>
        <v>0</v>
      </c>
      <c r="W600" s="27"/>
      <c r="X600" s="27"/>
      <c r="Y600" s="27"/>
      <c r="Z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33">
        <f t="shared" si="1"/>
        <v>0</v>
      </c>
      <c r="W601" s="27"/>
      <c r="X601" s="27"/>
      <c r="Y601" s="27"/>
      <c r="Z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33">
        <f t="shared" si="1"/>
        <v>0</v>
      </c>
      <c r="W602" s="27"/>
      <c r="X602" s="27"/>
      <c r="Y602" s="27"/>
      <c r="Z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33">
        <f t="shared" si="1"/>
        <v>0</v>
      </c>
      <c r="W603" s="27"/>
      <c r="X603" s="27"/>
      <c r="Y603" s="27"/>
      <c r="Z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33">
        <f t="shared" si="1"/>
        <v>0</v>
      </c>
      <c r="W604" s="27"/>
      <c r="X604" s="27"/>
      <c r="Y604" s="27"/>
      <c r="Z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33">
        <f t="shared" si="1"/>
        <v>0</v>
      </c>
      <c r="W605" s="27"/>
      <c r="X605" s="27"/>
      <c r="Y605" s="27"/>
      <c r="Z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33">
        <f t="shared" si="1"/>
        <v>0</v>
      </c>
      <c r="W606" s="27"/>
      <c r="X606" s="27"/>
      <c r="Y606" s="27"/>
      <c r="Z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33">
        <f t="shared" si="1"/>
        <v>0</v>
      </c>
      <c r="W607" s="27"/>
      <c r="X607" s="27"/>
      <c r="Y607" s="27"/>
      <c r="Z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33">
        <f t="shared" si="1"/>
        <v>0</v>
      </c>
      <c r="W608" s="27"/>
      <c r="X608" s="27"/>
      <c r="Y608" s="27"/>
      <c r="Z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33">
        <f t="shared" si="1"/>
        <v>0</v>
      </c>
      <c r="W609" s="27"/>
      <c r="X609" s="27"/>
      <c r="Y609" s="27"/>
      <c r="Z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33">
        <f t="shared" si="1"/>
        <v>0</v>
      </c>
      <c r="W610" s="27"/>
      <c r="X610" s="27"/>
      <c r="Y610" s="27"/>
      <c r="Z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33">
        <f t="shared" si="1"/>
        <v>0</v>
      </c>
      <c r="W611" s="27"/>
      <c r="X611" s="27"/>
      <c r="Y611" s="27"/>
      <c r="Z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33">
        <f t="shared" si="1"/>
        <v>0</v>
      </c>
      <c r="W612" s="27"/>
      <c r="X612" s="27"/>
      <c r="Y612" s="27"/>
      <c r="Z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33">
        <f t="shared" si="1"/>
        <v>0</v>
      </c>
      <c r="W613" s="27"/>
      <c r="X613" s="27"/>
      <c r="Y613" s="27"/>
      <c r="Z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33">
        <f t="shared" si="1"/>
        <v>0</v>
      </c>
      <c r="W614" s="27"/>
      <c r="X614" s="27"/>
      <c r="Y614" s="27"/>
      <c r="Z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33">
        <f t="shared" si="1"/>
        <v>0</v>
      </c>
      <c r="W615" s="27"/>
      <c r="X615" s="27"/>
      <c r="Y615" s="27"/>
      <c r="Z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33">
        <f t="shared" si="1"/>
        <v>0</v>
      </c>
      <c r="W616" s="27"/>
      <c r="X616" s="27"/>
      <c r="Y616" s="27"/>
      <c r="Z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33">
        <f t="shared" si="1"/>
        <v>0</v>
      </c>
      <c r="W617" s="27"/>
      <c r="X617" s="27"/>
      <c r="Y617" s="27"/>
      <c r="Z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33">
        <f t="shared" si="1"/>
        <v>0</v>
      </c>
      <c r="W618" s="27"/>
      <c r="X618" s="27"/>
      <c r="Y618" s="27"/>
      <c r="Z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33">
        <f t="shared" si="1"/>
        <v>0</v>
      </c>
      <c r="W619" s="27"/>
      <c r="X619" s="27"/>
      <c r="Y619" s="27"/>
      <c r="Z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33">
        <f t="shared" si="1"/>
        <v>0</v>
      </c>
      <c r="W620" s="27"/>
      <c r="X620" s="27"/>
      <c r="Y620" s="27"/>
      <c r="Z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33">
        <f t="shared" si="1"/>
        <v>0</v>
      </c>
      <c r="W621" s="27"/>
      <c r="X621" s="27"/>
      <c r="Y621" s="27"/>
      <c r="Z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33">
        <f t="shared" si="1"/>
        <v>0</v>
      </c>
      <c r="W622" s="27"/>
      <c r="X622" s="27"/>
      <c r="Y622" s="27"/>
      <c r="Z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33">
        <f t="shared" si="1"/>
        <v>0</v>
      </c>
      <c r="W623" s="27"/>
      <c r="X623" s="27"/>
      <c r="Y623" s="27"/>
      <c r="Z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33">
        <f t="shared" si="1"/>
        <v>0</v>
      </c>
      <c r="W624" s="27"/>
      <c r="X624" s="27"/>
      <c r="Y624" s="27"/>
      <c r="Z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33">
        <f t="shared" si="1"/>
        <v>0</v>
      </c>
      <c r="W625" s="27"/>
      <c r="X625" s="27"/>
      <c r="Y625" s="27"/>
      <c r="Z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33">
        <f t="shared" si="1"/>
        <v>0</v>
      </c>
      <c r="W626" s="27"/>
      <c r="X626" s="27"/>
      <c r="Y626" s="27"/>
      <c r="Z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33">
        <f t="shared" si="1"/>
        <v>0</v>
      </c>
      <c r="W627" s="27"/>
      <c r="X627" s="27"/>
      <c r="Y627" s="27"/>
      <c r="Z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33">
        <f t="shared" si="1"/>
        <v>0</v>
      </c>
      <c r="W628" s="27"/>
      <c r="X628" s="27"/>
      <c r="Y628" s="27"/>
      <c r="Z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33">
        <f t="shared" si="1"/>
        <v>0</v>
      </c>
      <c r="W629" s="27"/>
      <c r="X629" s="27"/>
      <c r="Y629" s="27"/>
      <c r="Z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33">
        <f t="shared" si="1"/>
        <v>0</v>
      </c>
      <c r="W630" s="27"/>
      <c r="X630" s="27"/>
      <c r="Y630" s="27"/>
      <c r="Z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33">
        <f t="shared" si="1"/>
        <v>0</v>
      </c>
      <c r="W631" s="27"/>
      <c r="X631" s="27"/>
      <c r="Y631" s="27"/>
      <c r="Z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33">
        <f t="shared" si="1"/>
        <v>0</v>
      </c>
      <c r="W632" s="27"/>
      <c r="X632" s="27"/>
      <c r="Y632" s="27"/>
      <c r="Z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33">
        <f t="shared" si="1"/>
        <v>0</v>
      </c>
      <c r="W633" s="27"/>
      <c r="X633" s="27"/>
      <c r="Y633" s="27"/>
      <c r="Z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33">
        <f t="shared" si="1"/>
        <v>0</v>
      </c>
      <c r="W634" s="27"/>
      <c r="X634" s="27"/>
      <c r="Y634" s="27"/>
      <c r="Z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33">
        <f t="shared" si="1"/>
        <v>0</v>
      </c>
      <c r="W635" s="27"/>
      <c r="X635" s="27"/>
      <c r="Y635" s="27"/>
      <c r="Z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33">
        <f t="shared" si="1"/>
        <v>0</v>
      </c>
      <c r="W636" s="27"/>
      <c r="X636" s="27"/>
      <c r="Y636" s="27"/>
      <c r="Z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33">
        <f t="shared" si="1"/>
        <v>0</v>
      </c>
      <c r="W637" s="27"/>
      <c r="X637" s="27"/>
      <c r="Y637" s="27"/>
      <c r="Z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33">
        <f t="shared" si="1"/>
        <v>0</v>
      </c>
      <c r="W638" s="27"/>
      <c r="X638" s="27"/>
      <c r="Y638" s="27"/>
      <c r="Z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33">
        <f t="shared" si="1"/>
        <v>0</v>
      </c>
      <c r="W639" s="27"/>
      <c r="X639" s="27"/>
      <c r="Y639" s="27"/>
      <c r="Z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33">
        <f t="shared" si="1"/>
        <v>0</v>
      </c>
      <c r="W640" s="27"/>
      <c r="X640" s="27"/>
      <c r="Y640" s="27"/>
      <c r="Z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33">
        <f t="shared" si="1"/>
        <v>0</v>
      </c>
      <c r="W641" s="27"/>
      <c r="X641" s="27"/>
      <c r="Y641" s="27"/>
      <c r="Z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33">
        <f t="shared" si="1"/>
        <v>0</v>
      </c>
      <c r="W642" s="27"/>
      <c r="X642" s="27"/>
      <c r="Y642" s="27"/>
      <c r="Z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33">
        <f t="shared" si="1"/>
        <v>0</v>
      </c>
      <c r="W643" s="27"/>
      <c r="X643" s="27"/>
      <c r="Y643" s="27"/>
      <c r="Z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33">
        <f t="shared" si="1"/>
        <v>0</v>
      </c>
      <c r="W644" s="27"/>
      <c r="X644" s="27"/>
      <c r="Y644" s="27"/>
      <c r="Z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33">
        <f t="shared" si="1"/>
        <v>0</v>
      </c>
      <c r="W645" s="27"/>
      <c r="X645" s="27"/>
      <c r="Y645" s="27"/>
      <c r="Z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33">
        <f t="shared" si="1"/>
        <v>0</v>
      </c>
      <c r="W646" s="27"/>
      <c r="X646" s="27"/>
      <c r="Y646" s="27"/>
      <c r="Z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33">
        <f t="shared" si="1"/>
        <v>0</v>
      </c>
      <c r="W647" s="27"/>
      <c r="X647" s="27"/>
      <c r="Y647" s="27"/>
      <c r="Z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33">
        <f t="shared" si="1"/>
        <v>0</v>
      </c>
      <c r="W648" s="27"/>
      <c r="X648" s="27"/>
      <c r="Y648" s="27"/>
      <c r="Z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33">
        <f t="shared" si="1"/>
        <v>0</v>
      </c>
      <c r="W649" s="27"/>
      <c r="X649" s="27"/>
      <c r="Y649" s="27"/>
      <c r="Z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33">
        <f t="shared" si="1"/>
        <v>0</v>
      </c>
      <c r="W650" s="27"/>
      <c r="X650" s="27"/>
      <c r="Y650" s="27"/>
      <c r="Z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33">
        <f t="shared" si="1"/>
        <v>0</v>
      </c>
      <c r="W651" s="27"/>
      <c r="X651" s="27"/>
      <c r="Y651" s="27"/>
      <c r="Z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33">
        <f t="shared" si="1"/>
        <v>0</v>
      </c>
      <c r="W652" s="27"/>
      <c r="X652" s="27"/>
      <c r="Y652" s="27"/>
      <c r="Z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33">
        <f t="shared" si="1"/>
        <v>0</v>
      </c>
      <c r="W653" s="27"/>
      <c r="X653" s="27"/>
      <c r="Y653" s="27"/>
      <c r="Z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33">
        <f t="shared" si="1"/>
        <v>0</v>
      </c>
      <c r="W654" s="27"/>
      <c r="X654" s="27"/>
      <c r="Y654" s="27"/>
      <c r="Z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33">
        <f t="shared" si="1"/>
        <v>0</v>
      </c>
      <c r="W655" s="27"/>
      <c r="X655" s="27"/>
      <c r="Y655" s="27"/>
      <c r="Z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33">
        <f t="shared" si="1"/>
        <v>0</v>
      </c>
      <c r="W656" s="27"/>
      <c r="X656" s="27"/>
      <c r="Y656" s="27"/>
      <c r="Z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33">
        <f t="shared" si="1"/>
        <v>0</v>
      </c>
      <c r="W657" s="27"/>
      <c r="X657" s="27"/>
      <c r="Y657" s="27"/>
      <c r="Z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33">
        <f t="shared" si="1"/>
        <v>0</v>
      </c>
      <c r="W658" s="27"/>
      <c r="X658" s="27"/>
      <c r="Y658" s="27"/>
      <c r="Z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33">
        <f t="shared" si="1"/>
        <v>0</v>
      </c>
      <c r="W659" s="27"/>
      <c r="X659" s="27"/>
      <c r="Y659" s="27"/>
      <c r="Z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33">
        <f t="shared" si="1"/>
        <v>0</v>
      </c>
      <c r="W660" s="27"/>
      <c r="X660" s="27"/>
      <c r="Y660" s="27"/>
      <c r="Z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33">
        <f t="shared" si="1"/>
        <v>0</v>
      </c>
      <c r="W661" s="27"/>
      <c r="X661" s="27"/>
      <c r="Y661" s="27"/>
      <c r="Z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33">
        <f t="shared" si="1"/>
        <v>0</v>
      </c>
      <c r="W662" s="27"/>
      <c r="X662" s="27"/>
      <c r="Y662" s="27"/>
      <c r="Z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33">
        <f t="shared" si="1"/>
        <v>0</v>
      </c>
      <c r="W663" s="27"/>
      <c r="X663" s="27"/>
      <c r="Y663" s="27"/>
      <c r="Z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33">
        <f t="shared" si="1"/>
        <v>0</v>
      </c>
      <c r="W664" s="27"/>
      <c r="X664" s="27"/>
      <c r="Y664" s="27"/>
      <c r="Z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33">
        <f t="shared" si="1"/>
        <v>0</v>
      </c>
      <c r="W665" s="27"/>
      <c r="X665" s="27"/>
      <c r="Y665" s="27"/>
      <c r="Z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33">
        <f t="shared" si="1"/>
        <v>0</v>
      </c>
      <c r="W666" s="27"/>
      <c r="X666" s="27"/>
      <c r="Y666" s="27"/>
      <c r="Z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33">
        <f t="shared" si="1"/>
        <v>0</v>
      </c>
      <c r="W667" s="27"/>
      <c r="X667" s="27"/>
      <c r="Y667" s="27"/>
      <c r="Z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33">
        <f t="shared" si="1"/>
        <v>0</v>
      </c>
      <c r="W668" s="27"/>
      <c r="X668" s="27"/>
      <c r="Y668" s="27"/>
      <c r="Z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33">
        <f t="shared" si="1"/>
        <v>0</v>
      </c>
      <c r="W669" s="27"/>
      <c r="X669" s="27"/>
      <c r="Y669" s="27"/>
      <c r="Z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33">
        <f t="shared" si="1"/>
        <v>0</v>
      </c>
      <c r="W670" s="27"/>
      <c r="X670" s="27"/>
      <c r="Y670" s="27"/>
      <c r="Z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33">
        <f t="shared" si="1"/>
        <v>0</v>
      </c>
      <c r="W671" s="27"/>
      <c r="X671" s="27"/>
      <c r="Y671" s="27"/>
      <c r="Z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33">
        <f t="shared" si="1"/>
        <v>0</v>
      </c>
      <c r="W672" s="27"/>
      <c r="X672" s="27"/>
      <c r="Y672" s="27"/>
      <c r="Z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33">
        <f t="shared" si="1"/>
        <v>0</v>
      </c>
      <c r="W673" s="27"/>
      <c r="X673" s="27"/>
      <c r="Y673" s="27"/>
      <c r="Z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33">
        <f t="shared" si="1"/>
        <v>0</v>
      </c>
      <c r="W674" s="27"/>
      <c r="X674" s="27"/>
      <c r="Y674" s="27"/>
      <c r="Z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33">
        <f t="shared" si="1"/>
        <v>0</v>
      </c>
      <c r="W675" s="27"/>
      <c r="X675" s="27"/>
      <c r="Y675" s="27"/>
      <c r="Z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33">
        <f t="shared" si="1"/>
        <v>0</v>
      </c>
      <c r="W676" s="27"/>
      <c r="X676" s="27"/>
      <c r="Y676" s="27"/>
      <c r="Z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33">
        <f t="shared" si="1"/>
        <v>0</v>
      </c>
      <c r="W677" s="27"/>
      <c r="X677" s="27"/>
      <c r="Y677" s="27"/>
      <c r="Z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33">
        <f t="shared" si="1"/>
        <v>0</v>
      </c>
      <c r="W678" s="27"/>
      <c r="X678" s="27"/>
      <c r="Y678" s="27"/>
      <c r="Z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33">
        <f t="shared" si="1"/>
        <v>0</v>
      </c>
      <c r="W679" s="27"/>
      <c r="X679" s="27"/>
      <c r="Y679" s="27"/>
      <c r="Z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33">
        <f t="shared" si="1"/>
        <v>0</v>
      </c>
      <c r="W680" s="27"/>
      <c r="X680" s="27"/>
      <c r="Y680" s="27"/>
      <c r="Z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33">
        <f t="shared" si="1"/>
        <v>0</v>
      </c>
      <c r="W681" s="27"/>
      <c r="X681" s="27"/>
      <c r="Y681" s="27"/>
      <c r="Z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33">
        <f t="shared" si="1"/>
        <v>0</v>
      </c>
      <c r="W682" s="27"/>
      <c r="X682" s="27"/>
      <c r="Y682" s="27"/>
      <c r="Z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33">
        <f t="shared" si="1"/>
        <v>0</v>
      </c>
      <c r="W683" s="27"/>
      <c r="X683" s="27"/>
      <c r="Y683" s="27"/>
      <c r="Z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33">
        <f t="shared" si="1"/>
        <v>0</v>
      </c>
      <c r="W684" s="27"/>
      <c r="X684" s="27"/>
      <c r="Y684" s="27"/>
      <c r="Z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33">
        <f t="shared" si="1"/>
        <v>0</v>
      </c>
      <c r="W685" s="27"/>
      <c r="X685" s="27"/>
      <c r="Y685" s="27"/>
      <c r="Z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33">
        <f t="shared" si="1"/>
        <v>0</v>
      </c>
      <c r="W686" s="27"/>
      <c r="X686" s="27"/>
      <c r="Y686" s="27"/>
      <c r="Z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33">
        <f t="shared" si="1"/>
        <v>0</v>
      </c>
      <c r="W687" s="27"/>
      <c r="X687" s="27"/>
      <c r="Y687" s="27"/>
      <c r="Z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33">
        <f t="shared" si="1"/>
        <v>0</v>
      </c>
      <c r="W688" s="27"/>
      <c r="X688" s="27"/>
      <c r="Y688" s="27"/>
      <c r="Z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33">
        <f t="shared" si="1"/>
        <v>0</v>
      </c>
      <c r="W689" s="27"/>
      <c r="X689" s="27"/>
      <c r="Y689" s="27"/>
      <c r="Z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33">
        <f t="shared" si="1"/>
        <v>0</v>
      </c>
      <c r="W690" s="27"/>
      <c r="X690" s="27"/>
      <c r="Y690" s="27"/>
      <c r="Z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33">
        <f t="shared" si="1"/>
        <v>0</v>
      </c>
      <c r="W691" s="27"/>
      <c r="X691" s="27"/>
      <c r="Y691" s="27"/>
      <c r="Z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33">
        <f t="shared" si="1"/>
        <v>0</v>
      </c>
      <c r="W692" s="27"/>
      <c r="X692" s="27"/>
      <c r="Y692" s="27"/>
      <c r="Z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33">
        <f t="shared" si="1"/>
        <v>0</v>
      </c>
      <c r="W693" s="27"/>
      <c r="X693" s="27"/>
      <c r="Y693" s="27"/>
      <c r="Z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33">
        <f t="shared" si="1"/>
        <v>0</v>
      </c>
      <c r="W694" s="27"/>
      <c r="X694" s="27"/>
      <c r="Y694" s="27"/>
      <c r="Z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33">
        <f t="shared" si="1"/>
        <v>0</v>
      </c>
      <c r="W695" s="27"/>
      <c r="X695" s="27"/>
      <c r="Y695" s="27"/>
      <c r="Z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33">
        <f t="shared" si="1"/>
        <v>0</v>
      </c>
      <c r="W696" s="27"/>
      <c r="X696" s="27"/>
      <c r="Y696" s="27"/>
      <c r="Z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33">
        <f t="shared" si="1"/>
        <v>0</v>
      </c>
      <c r="W697" s="27"/>
      <c r="X697" s="27"/>
      <c r="Y697" s="27"/>
      <c r="Z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33">
        <f t="shared" si="1"/>
        <v>0</v>
      </c>
      <c r="W698" s="27"/>
      <c r="X698" s="27"/>
      <c r="Y698" s="27"/>
      <c r="Z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33">
        <f t="shared" si="1"/>
        <v>0</v>
      </c>
      <c r="W699" s="27"/>
      <c r="X699" s="27"/>
      <c r="Y699" s="27"/>
      <c r="Z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33">
        <f t="shared" si="1"/>
        <v>0</v>
      </c>
      <c r="W700" s="27"/>
      <c r="X700" s="27"/>
      <c r="Y700" s="27"/>
      <c r="Z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33">
        <f t="shared" si="1"/>
        <v>0</v>
      </c>
      <c r="W701" s="27"/>
      <c r="X701" s="27"/>
      <c r="Y701" s="27"/>
      <c r="Z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33">
        <f t="shared" si="1"/>
        <v>0</v>
      </c>
      <c r="W702" s="27"/>
      <c r="X702" s="27"/>
      <c r="Y702" s="27"/>
      <c r="Z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33">
        <f t="shared" si="1"/>
        <v>0</v>
      </c>
      <c r="W703" s="27"/>
      <c r="X703" s="27"/>
      <c r="Y703" s="27"/>
      <c r="Z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33">
        <f t="shared" si="1"/>
        <v>0</v>
      </c>
      <c r="W704" s="27"/>
      <c r="X704" s="27"/>
      <c r="Y704" s="27"/>
      <c r="Z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33">
        <f t="shared" si="1"/>
        <v>0</v>
      </c>
      <c r="W705" s="27"/>
      <c r="X705" s="27"/>
      <c r="Y705" s="27"/>
      <c r="Z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33">
        <f t="shared" si="1"/>
        <v>0</v>
      </c>
      <c r="W706" s="27"/>
      <c r="X706" s="27"/>
      <c r="Y706" s="27"/>
      <c r="Z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33">
        <f t="shared" si="1"/>
        <v>0</v>
      </c>
      <c r="W707" s="27"/>
      <c r="X707" s="27"/>
      <c r="Y707" s="27"/>
      <c r="Z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33">
        <f t="shared" si="1"/>
        <v>0</v>
      </c>
      <c r="W708" s="27"/>
      <c r="X708" s="27"/>
      <c r="Y708" s="27"/>
      <c r="Z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33">
        <f t="shared" si="1"/>
        <v>0</v>
      </c>
      <c r="W709" s="27"/>
      <c r="X709" s="27"/>
      <c r="Y709" s="27"/>
      <c r="Z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33">
        <f t="shared" si="1"/>
        <v>0</v>
      </c>
      <c r="W710" s="27"/>
      <c r="X710" s="27"/>
      <c r="Y710" s="27"/>
      <c r="Z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33">
        <f t="shared" si="1"/>
        <v>0</v>
      </c>
      <c r="W711" s="27"/>
      <c r="X711" s="27"/>
      <c r="Y711" s="27"/>
      <c r="Z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33">
        <f t="shared" si="1"/>
        <v>0</v>
      </c>
      <c r="W712" s="27"/>
      <c r="X712" s="27"/>
      <c r="Y712" s="27"/>
      <c r="Z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33">
        <f t="shared" si="1"/>
        <v>0</v>
      </c>
      <c r="W713" s="27"/>
      <c r="X713" s="27"/>
      <c r="Y713" s="27"/>
      <c r="Z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33">
        <f t="shared" si="1"/>
        <v>0</v>
      </c>
      <c r="W714" s="27"/>
      <c r="X714" s="27"/>
      <c r="Y714" s="27"/>
      <c r="Z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33">
        <f t="shared" si="1"/>
        <v>0</v>
      </c>
      <c r="W715" s="27"/>
      <c r="X715" s="27"/>
      <c r="Y715" s="27"/>
      <c r="Z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33">
        <f t="shared" si="1"/>
        <v>0</v>
      </c>
      <c r="W716" s="27"/>
      <c r="X716" s="27"/>
      <c r="Y716" s="27"/>
      <c r="Z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33">
        <f t="shared" si="1"/>
        <v>0</v>
      </c>
      <c r="W717" s="27"/>
      <c r="X717" s="27"/>
      <c r="Y717" s="27"/>
      <c r="Z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33">
        <f t="shared" si="1"/>
        <v>0</v>
      </c>
      <c r="W718" s="27"/>
      <c r="X718" s="27"/>
      <c r="Y718" s="27"/>
      <c r="Z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33">
        <f t="shared" si="1"/>
        <v>0</v>
      </c>
      <c r="W719" s="27"/>
      <c r="X719" s="27"/>
      <c r="Y719" s="27"/>
      <c r="Z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33">
        <f t="shared" si="1"/>
        <v>0</v>
      </c>
      <c r="W720" s="27"/>
      <c r="X720" s="27"/>
      <c r="Y720" s="27"/>
      <c r="Z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33">
        <f t="shared" si="1"/>
        <v>0</v>
      </c>
      <c r="W721" s="27"/>
      <c r="X721" s="27"/>
      <c r="Y721" s="27"/>
      <c r="Z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33">
        <f t="shared" si="1"/>
        <v>0</v>
      </c>
      <c r="W722" s="27"/>
      <c r="X722" s="27"/>
      <c r="Y722" s="27"/>
      <c r="Z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33">
        <f t="shared" si="1"/>
        <v>0</v>
      </c>
      <c r="W723" s="27"/>
      <c r="X723" s="27"/>
      <c r="Y723" s="27"/>
      <c r="Z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33">
        <f t="shared" si="1"/>
        <v>0</v>
      </c>
      <c r="W724" s="27"/>
      <c r="X724" s="27"/>
      <c r="Y724" s="27"/>
      <c r="Z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33">
        <f t="shared" si="1"/>
        <v>0</v>
      </c>
      <c r="W725" s="27"/>
      <c r="X725" s="27"/>
      <c r="Y725" s="27"/>
      <c r="Z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33">
        <f t="shared" si="1"/>
        <v>0</v>
      </c>
      <c r="W726" s="27"/>
      <c r="X726" s="27"/>
      <c r="Y726" s="27"/>
      <c r="Z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33">
        <f t="shared" si="1"/>
        <v>0</v>
      </c>
      <c r="W727" s="27"/>
      <c r="X727" s="27"/>
      <c r="Y727" s="27"/>
      <c r="Z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33">
        <f t="shared" si="1"/>
        <v>0</v>
      </c>
      <c r="W728" s="27"/>
      <c r="X728" s="27"/>
      <c r="Y728" s="27"/>
      <c r="Z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33">
        <f t="shared" si="1"/>
        <v>0</v>
      </c>
      <c r="W729" s="27"/>
      <c r="X729" s="27"/>
      <c r="Y729" s="27"/>
      <c r="Z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33">
        <f t="shared" si="1"/>
        <v>0</v>
      </c>
      <c r="W730" s="27"/>
      <c r="X730" s="27"/>
      <c r="Y730" s="27"/>
      <c r="Z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33">
        <f t="shared" si="1"/>
        <v>0</v>
      </c>
      <c r="W731" s="27"/>
      <c r="X731" s="27"/>
      <c r="Y731" s="27"/>
      <c r="Z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33">
        <f t="shared" si="1"/>
        <v>0</v>
      </c>
      <c r="W732" s="27"/>
      <c r="X732" s="27"/>
      <c r="Y732" s="27"/>
      <c r="Z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33">
        <f t="shared" si="1"/>
        <v>0</v>
      </c>
      <c r="W733" s="27"/>
      <c r="X733" s="27"/>
      <c r="Y733" s="27"/>
      <c r="Z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33">
        <f t="shared" si="1"/>
        <v>0</v>
      </c>
      <c r="W734" s="27"/>
      <c r="X734" s="27"/>
      <c r="Y734" s="27"/>
      <c r="Z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33">
        <f t="shared" si="1"/>
        <v>0</v>
      </c>
      <c r="W735" s="27"/>
      <c r="X735" s="27"/>
      <c r="Y735" s="27"/>
      <c r="Z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33">
        <f t="shared" si="1"/>
        <v>0</v>
      </c>
      <c r="W736" s="27"/>
      <c r="X736" s="27"/>
      <c r="Y736" s="27"/>
      <c r="Z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33">
        <f t="shared" si="1"/>
        <v>0</v>
      </c>
      <c r="W737" s="27"/>
      <c r="X737" s="27"/>
      <c r="Y737" s="27"/>
      <c r="Z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33">
        <f t="shared" si="1"/>
        <v>0</v>
      </c>
      <c r="W738" s="27"/>
      <c r="X738" s="27"/>
      <c r="Y738" s="27"/>
      <c r="Z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33">
        <f t="shared" si="1"/>
        <v>0</v>
      </c>
      <c r="W739" s="27"/>
      <c r="X739" s="27"/>
      <c r="Y739" s="27"/>
      <c r="Z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33">
        <f t="shared" si="1"/>
        <v>0</v>
      </c>
      <c r="W740" s="27"/>
      <c r="X740" s="27"/>
      <c r="Y740" s="27"/>
      <c r="Z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33">
        <f t="shared" si="1"/>
        <v>0</v>
      </c>
      <c r="W741" s="27"/>
      <c r="X741" s="27"/>
      <c r="Y741" s="27"/>
      <c r="Z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33">
        <f t="shared" si="1"/>
        <v>0</v>
      </c>
      <c r="W742" s="27"/>
      <c r="X742" s="27"/>
      <c r="Y742" s="27"/>
      <c r="Z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33">
        <f t="shared" si="1"/>
        <v>0</v>
      </c>
      <c r="W743" s="27"/>
      <c r="X743" s="27"/>
      <c r="Y743" s="27"/>
      <c r="Z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33">
        <f t="shared" si="1"/>
        <v>0</v>
      </c>
      <c r="W744" s="27"/>
      <c r="X744" s="27"/>
      <c r="Y744" s="27"/>
      <c r="Z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33">
        <f t="shared" si="1"/>
        <v>0</v>
      </c>
      <c r="W745" s="27"/>
      <c r="X745" s="27"/>
      <c r="Y745" s="27"/>
      <c r="Z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33">
        <f t="shared" si="1"/>
        <v>0</v>
      </c>
      <c r="W746" s="27"/>
      <c r="X746" s="27"/>
      <c r="Y746" s="27"/>
      <c r="Z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33">
        <f t="shared" si="1"/>
        <v>0</v>
      </c>
      <c r="W747" s="27"/>
      <c r="X747" s="27"/>
      <c r="Y747" s="27"/>
      <c r="Z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33">
        <f t="shared" si="1"/>
        <v>0</v>
      </c>
      <c r="W748" s="27"/>
      <c r="X748" s="27"/>
      <c r="Y748" s="27"/>
      <c r="Z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33">
        <f t="shared" si="1"/>
        <v>0</v>
      </c>
      <c r="W749" s="27"/>
      <c r="X749" s="27"/>
      <c r="Y749" s="27"/>
      <c r="Z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33">
        <f t="shared" si="1"/>
        <v>0</v>
      </c>
      <c r="W750" s="27"/>
      <c r="X750" s="27"/>
      <c r="Y750" s="27"/>
      <c r="Z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33">
        <f t="shared" si="1"/>
        <v>0</v>
      </c>
      <c r="W751" s="27"/>
      <c r="X751" s="27"/>
      <c r="Y751" s="27"/>
      <c r="Z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33">
        <f t="shared" si="1"/>
        <v>0</v>
      </c>
      <c r="W752" s="27"/>
      <c r="X752" s="27"/>
      <c r="Y752" s="27"/>
      <c r="Z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33">
        <f t="shared" si="1"/>
        <v>0</v>
      </c>
      <c r="W753" s="27"/>
      <c r="X753" s="27"/>
      <c r="Y753" s="27"/>
      <c r="Z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33">
        <f t="shared" si="1"/>
        <v>0</v>
      </c>
      <c r="W754" s="27"/>
      <c r="X754" s="27"/>
      <c r="Y754" s="27"/>
      <c r="Z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33">
        <f t="shared" si="1"/>
        <v>0</v>
      </c>
      <c r="W755" s="27"/>
      <c r="X755" s="27"/>
      <c r="Y755" s="27"/>
      <c r="Z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33">
        <f t="shared" si="1"/>
        <v>0</v>
      </c>
      <c r="W756" s="27"/>
      <c r="X756" s="27"/>
      <c r="Y756" s="27"/>
      <c r="Z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33">
        <f t="shared" si="1"/>
        <v>0</v>
      </c>
      <c r="W757" s="27"/>
      <c r="X757" s="27"/>
      <c r="Y757" s="27"/>
      <c r="Z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33">
        <f t="shared" si="1"/>
        <v>0</v>
      </c>
      <c r="W758" s="27"/>
      <c r="X758" s="27"/>
      <c r="Y758" s="27"/>
      <c r="Z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33">
        <f t="shared" si="1"/>
        <v>0</v>
      </c>
      <c r="W759" s="27"/>
      <c r="X759" s="27"/>
      <c r="Y759" s="27"/>
      <c r="Z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33">
        <f t="shared" si="1"/>
        <v>0</v>
      </c>
      <c r="W760" s="27"/>
      <c r="X760" s="27"/>
      <c r="Y760" s="27"/>
      <c r="Z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33">
        <f t="shared" si="1"/>
        <v>0</v>
      </c>
      <c r="W761" s="27"/>
      <c r="X761" s="27"/>
      <c r="Y761" s="27"/>
      <c r="Z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33">
        <f t="shared" si="1"/>
        <v>0</v>
      </c>
      <c r="W762" s="27"/>
      <c r="X762" s="27"/>
      <c r="Y762" s="27"/>
      <c r="Z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33">
        <f t="shared" si="1"/>
        <v>0</v>
      </c>
      <c r="W763" s="27"/>
      <c r="X763" s="27"/>
      <c r="Y763" s="27"/>
      <c r="Z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33">
        <f t="shared" si="1"/>
        <v>0</v>
      </c>
      <c r="W764" s="27"/>
      <c r="X764" s="27"/>
      <c r="Y764" s="27"/>
      <c r="Z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33">
        <f t="shared" si="1"/>
        <v>0</v>
      </c>
      <c r="W765" s="27"/>
      <c r="X765" s="27"/>
      <c r="Y765" s="27"/>
      <c r="Z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33">
        <f t="shared" si="1"/>
        <v>0</v>
      </c>
      <c r="W766" s="27"/>
      <c r="X766" s="27"/>
      <c r="Y766" s="27"/>
      <c r="Z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33">
        <f t="shared" si="1"/>
        <v>0</v>
      </c>
      <c r="W767" s="27"/>
      <c r="X767" s="27"/>
      <c r="Y767" s="27"/>
      <c r="Z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33">
        <f t="shared" si="1"/>
        <v>0</v>
      </c>
      <c r="W768" s="27"/>
      <c r="X768" s="27"/>
      <c r="Y768" s="27"/>
      <c r="Z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33">
        <f t="shared" si="1"/>
        <v>0</v>
      </c>
      <c r="W769" s="27"/>
      <c r="X769" s="27"/>
      <c r="Y769" s="27"/>
      <c r="Z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33">
        <f t="shared" si="1"/>
        <v>0</v>
      </c>
      <c r="W770" s="27"/>
      <c r="X770" s="27"/>
      <c r="Y770" s="27"/>
      <c r="Z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33">
        <f t="shared" si="1"/>
        <v>0</v>
      </c>
      <c r="W771" s="27"/>
      <c r="X771" s="27"/>
      <c r="Y771" s="27"/>
      <c r="Z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33">
        <f t="shared" si="1"/>
        <v>0</v>
      </c>
      <c r="W772" s="27"/>
      <c r="X772" s="27"/>
      <c r="Y772" s="27"/>
      <c r="Z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33">
        <f t="shared" si="1"/>
        <v>0</v>
      </c>
      <c r="W773" s="27"/>
      <c r="X773" s="27"/>
      <c r="Y773" s="27"/>
      <c r="Z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33">
        <f t="shared" si="1"/>
        <v>0</v>
      </c>
      <c r="W774" s="27"/>
      <c r="X774" s="27"/>
      <c r="Y774" s="27"/>
      <c r="Z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33">
        <f t="shared" si="1"/>
        <v>0</v>
      </c>
      <c r="W775" s="27"/>
      <c r="X775" s="27"/>
      <c r="Y775" s="27"/>
      <c r="Z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33">
        <f t="shared" si="1"/>
        <v>0</v>
      </c>
      <c r="W776" s="27"/>
      <c r="X776" s="27"/>
      <c r="Y776" s="27"/>
      <c r="Z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33">
        <f t="shared" si="1"/>
        <v>0</v>
      </c>
      <c r="W777" s="27"/>
      <c r="X777" s="27"/>
      <c r="Y777" s="27"/>
      <c r="Z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33">
        <f t="shared" si="1"/>
        <v>0</v>
      </c>
      <c r="W778" s="27"/>
      <c r="X778" s="27"/>
      <c r="Y778" s="27"/>
      <c r="Z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33">
        <f t="shared" si="1"/>
        <v>0</v>
      </c>
      <c r="W779" s="27"/>
      <c r="X779" s="27"/>
      <c r="Y779" s="27"/>
      <c r="Z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33">
        <f t="shared" si="1"/>
        <v>0</v>
      </c>
      <c r="W780" s="27"/>
      <c r="X780" s="27"/>
      <c r="Y780" s="27"/>
      <c r="Z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33">
        <f t="shared" si="1"/>
        <v>0</v>
      </c>
      <c r="W781" s="27"/>
      <c r="X781" s="27"/>
      <c r="Y781" s="27"/>
      <c r="Z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33">
        <f t="shared" si="1"/>
        <v>0</v>
      </c>
      <c r="W782" s="27"/>
      <c r="X782" s="27"/>
      <c r="Y782" s="27"/>
      <c r="Z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33">
        <f t="shared" si="1"/>
        <v>0</v>
      </c>
      <c r="W783" s="27"/>
      <c r="X783" s="27"/>
      <c r="Y783" s="27"/>
      <c r="Z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33">
        <f t="shared" si="1"/>
        <v>0</v>
      </c>
      <c r="W784" s="27"/>
      <c r="X784" s="27"/>
      <c r="Y784" s="27"/>
      <c r="Z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33">
        <f t="shared" si="1"/>
        <v>0</v>
      </c>
      <c r="W785" s="27"/>
      <c r="X785" s="27"/>
      <c r="Y785" s="27"/>
      <c r="Z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33">
        <f t="shared" si="1"/>
        <v>0</v>
      </c>
      <c r="W786" s="27"/>
      <c r="X786" s="27"/>
      <c r="Y786" s="27"/>
      <c r="Z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33">
        <f t="shared" si="1"/>
        <v>0</v>
      </c>
      <c r="W787" s="27"/>
      <c r="X787" s="27"/>
      <c r="Y787" s="27"/>
      <c r="Z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33">
        <f t="shared" si="1"/>
        <v>0</v>
      </c>
      <c r="W788" s="27"/>
      <c r="X788" s="27"/>
      <c r="Y788" s="27"/>
      <c r="Z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33">
        <f t="shared" si="1"/>
        <v>0</v>
      </c>
      <c r="W789" s="27"/>
      <c r="X789" s="27"/>
      <c r="Y789" s="27"/>
      <c r="Z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33">
        <f t="shared" si="1"/>
        <v>0</v>
      </c>
      <c r="W790" s="27"/>
      <c r="X790" s="27"/>
      <c r="Y790" s="27"/>
      <c r="Z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33">
        <f t="shared" si="1"/>
        <v>0</v>
      </c>
      <c r="W791" s="27"/>
      <c r="X791" s="27"/>
      <c r="Y791" s="27"/>
      <c r="Z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33">
        <f t="shared" si="1"/>
        <v>0</v>
      </c>
      <c r="W792" s="27"/>
      <c r="X792" s="27"/>
      <c r="Y792" s="27"/>
      <c r="Z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33">
        <f t="shared" si="1"/>
        <v>0</v>
      </c>
      <c r="W793" s="27"/>
      <c r="X793" s="27"/>
      <c r="Y793" s="27"/>
      <c r="Z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33">
        <f t="shared" si="1"/>
        <v>0</v>
      </c>
      <c r="W794" s="27"/>
      <c r="X794" s="27"/>
      <c r="Y794" s="27"/>
      <c r="Z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33">
        <f t="shared" si="1"/>
        <v>0</v>
      </c>
      <c r="W795" s="27"/>
      <c r="X795" s="27"/>
      <c r="Y795" s="27"/>
      <c r="Z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33">
        <f t="shared" si="1"/>
        <v>0</v>
      </c>
      <c r="W796" s="27"/>
      <c r="X796" s="27"/>
      <c r="Y796" s="27"/>
      <c r="Z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33">
        <f t="shared" si="1"/>
        <v>0</v>
      </c>
      <c r="W797" s="27"/>
      <c r="X797" s="27"/>
      <c r="Y797" s="27"/>
      <c r="Z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33">
        <f t="shared" si="1"/>
        <v>0</v>
      </c>
      <c r="W798" s="27"/>
      <c r="X798" s="27"/>
      <c r="Y798" s="27"/>
      <c r="Z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33">
        <f t="shared" si="1"/>
        <v>0</v>
      </c>
      <c r="W799" s="27"/>
      <c r="X799" s="27"/>
      <c r="Y799" s="27"/>
      <c r="Z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33">
        <f t="shared" si="1"/>
        <v>0</v>
      </c>
      <c r="W800" s="27"/>
      <c r="X800" s="27"/>
      <c r="Y800" s="27"/>
      <c r="Z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33">
        <f t="shared" si="1"/>
        <v>0</v>
      </c>
      <c r="W801" s="27"/>
      <c r="X801" s="27"/>
      <c r="Y801" s="27"/>
      <c r="Z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33">
        <f t="shared" si="1"/>
        <v>0</v>
      </c>
      <c r="W802" s="27"/>
      <c r="X802" s="27"/>
      <c r="Y802" s="27"/>
      <c r="Z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33">
        <f t="shared" si="1"/>
        <v>0</v>
      </c>
      <c r="W803" s="27"/>
      <c r="X803" s="27"/>
      <c r="Y803" s="27"/>
      <c r="Z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33">
        <f t="shared" si="1"/>
        <v>0</v>
      </c>
      <c r="W804" s="27"/>
      <c r="X804" s="27"/>
      <c r="Y804" s="27"/>
      <c r="Z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33">
        <f t="shared" si="1"/>
        <v>0</v>
      </c>
      <c r="W805" s="27"/>
      <c r="X805" s="27"/>
      <c r="Y805" s="27"/>
      <c r="Z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33">
        <f t="shared" si="1"/>
        <v>0</v>
      </c>
      <c r="W806" s="27"/>
      <c r="X806" s="27"/>
      <c r="Y806" s="27"/>
      <c r="Z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33">
        <f t="shared" si="1"/>
        <v>0</v>
      </c>
      <c r="W807" s="27"/>
      <c r="X807" s="27"/>
      <c r="Y807" s="27"/>
      <c r="Z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33">
        <f t="shared" si="1"/>
        <v>0</v>
      </c>
      <c r="W808" s="27"/>
      <c r="X808" s="27"/>
      <c r="Y808" s="27"/>
      <c r="Z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33">
        <f t="shared" si="1"/>
        <v>0</v>
      </c>
      <c r="W809" s="27"/>
      <c r="X809" s="27"/>
      <c r="Y809" s="27"/>
      <c r="Z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33">
        <f t="shared" si="1"/>
        <v>0</v>
      </c>
      <c r="W810" s="27"/>
      <c r="X810" s="27"/>
      <c r="Y810" s="27"/>
      <c r="Z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33">
        <f t="shared" si="1"/>
        <v>0</v>
      </c>
      <c r="W811" s="27"/>
      <c r="X811" s="27"/>
      <c r="Y811" s="27"/>
      <c r="Z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33">
        <f t="shared" si="1"/>
        <v>0</v>
      </c>
      <c r="W812" s="27"/>
      <c r="X812" s="27"/>
      <c r="Y812" s="27"/>
      <c r="Z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33">
        <f t="shared" si="1"/>
        <v>0</v>
      </c>
      <c r="W813" s="27"/>
      <c r="X813" s="27"/>
      <c r="Y813" s="27"/>
      <c r="Z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33">
        <f t="shared" si="1"/>
        <v>0</v>
      </c>
      <c r="W814" s="27"/>
      <c r="X814" s="27"/>
      <c r="Y814" s="27"/>
      <c r="Z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33">
        <f t="shared" si="1"/>
        <v>0</v>
      </c>
      <c r="W815" s="27"/>
      <c r="X815" s="27"/>
      <c r="Y815" s="27"/>
      <c r="Z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33">
        <f t="shared" si="1"/>
        <v>0</v>
      </c>
      <c r="W816" s="27"/>
      <c r="X816" s="27"/>
      <c r="Y816" s="27"/>
      <c r="Z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33">
        <f t="shared" si="1"/>
        <v>0</v>
      </c>
      <c r="W817" s="27"/>
      <c r="X817" s="27"/>
      <c r="Y817" s="27"/>
      <c r="Z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33">
        <f t="shared" si="1"/>
        <v>0</v>
      </c>
      <c r="W818" s="27"/>
      <c r="X818" s="27"/>
      <c r="Y818" s="27"/>
      <c r="Z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33">
        <f t="shared" si="1"/>
        <v>0</v>
      </c>
      <c r="W819" s="27"/>
      <c r="X819" s="27"/>
      <c r="Y819" s="27"/>
      <c r="Z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33">
        <f t="shared" si="1"/>
        <v>0</v>
      </c>
      <c r="W820" s="27"/>
      <c r="X820" s="27"/>
      <c r="Y820" s="27"/>
      <c r="Z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33">
        <f t="shared" si="1"/>
        <v>0</v>
      </c>
      <c r="W821" s="27"/>
      <c r="X821" s="27"/>
      <c r="Y821" s="27"/>
      <c r="Z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33">
        <f t="shared" si="1"/>
        <v>0</v>
      </c>
      <c r="W822" s="27"/>
      <c r="X822" s="27"/>
      <c r="Y822" s="27"/>
      <c r="Z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33">
        <f t="shared" si="1"/>
        <v>0</v>
      </c>
      <c r="W823" s="27"/>
      <c r="X823" s="27"/>
      <c r="Y823" s="27"/>
      <c r="Z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33">
        <f t="shared" si="1"/>
        <v>0</v>
      </c>
      <c r="W824" s="27"/>
      <c r="X824" s="27"/>
      <c r="Y824" s="27"/>
      <c r="Z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33">
        <f t="shared" si="1"/>
        <v>0</v>
      </c>
      <c r="W825" s="27"/>
      <c r="X825" s="27"/>
      <c r="Y825" s="27"/>
      <c r="Z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33">
        <f t="shared" si="1"/>
        <v>0</v>
      </c>
      <c r="W826" s="27"/>
      <c r="X826" s="27"/>
      <c r="Y826" s="27"/>
      <c r="Z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33">
        <f t="shared" si="1"/>
        <v>0</v>
      </c>
      <c r="W827" s="27"/>
      <c r="X827" s="27"/>
      <c r="Y827" s="27"/>
      <c r="Z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33">
        <f t="shared" si="1"/>
        <v>0</v>
      </c>
      <c r="W828" s="27"/>
      <c r="X828" s="27"/>
      <c r="Y828" s="27"/>
      <c r="Z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33">
        <f t="shared" si="1"/>
        <v>0</v>
      </c>
      <c r="W829" s="27"/>
      <c r="X829" s="27"/>
      <c r="Y829" s="27"/>
      <c r="Z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33">
        <f t="shared" si="1"/>
        <v>0</v>
      </c>
      <c r="W830" s="27"/>
      <c r="X830" s="27"/>
      <c r="Y830" s="27"/>
      <c r="Z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33">
        <f t="shared" si="1"/>
        <v>0</v>
      </c>
      <c r="W831" s="27"/>
      <c r="X831" s="27"/>
      <c r="Y831" s="27"/>
      <c r="Z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33">
        <f t="shared" si="1"/>
        <v>0</v>
      </c>
      <c r="W832" s="27"/>
      <c r="X832" s="27"/>
      <c r="Y832" s="27"/>
      <c r="Z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33">
        <f t="shared" si="1"/>
        <v>0</v>
      </c>
      <c r="W833" s="27"/>
      <c r="X833" s="27"/>
      <c r="Y833" s="27"/>
      <c r="Z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33">
        <f t="shared" si="1"/>
        <v>0</v>
      </c>
      <c r="W834" s="27"/>
      <c r="X834" s="27"/>
      <c r="Y834" s="27"/>
      <c r="Z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33">
        <f t="shared" si="1"/>
        <v>0</v>
      </c>
      <c r="W835" s="27"/>
      <c r="X835" s="27"/>
      <c r="Y835" s="27"/>
      <c r="Z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33">
        <f t="shared" si="1"/>
        <v>0</v>
      </c>
      <c r="W836" s="27"/>
      <c r="X836" s="27"/>
      <c r="Y836" s="27"/>
      <c r="Z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33">
        <f t="shared" si="1"/>
        <v>0</v>
      </c>
      <c r="W837" s="27"/>
      <c r="X837" s="27"/>
      <c r="Y837" s="27"/>
      <c r="Z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33">
        <f t="shared" si="1"/>
        <v>0</v>
      </c>
      <c r="W838" s="27"/>
      <c r="X838" s="27"/>
      <c r="Y838" s="27"/>
      <c r="Z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33">
        <f t="shared" si="1"/>
        <v>0</v>
      </c>
      <c r="W839" s="27"/>
      <c r="X839" s="27"/>
      <c r="Y839" s="27"/>
      <c r="Z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33">
        <f t="shared" si="1"/>
        <v>0</v>
      </c>
      <c r="W840" s="27"/>
      <c r="X840" s="27"/>
      <c r="Y840" s="27"/>
      <c r="Z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33">
        <f t="shared" si="1"/>
        <v>0</v>
      </c>
      <c r="W841" s="27"/>
      <c r="X841" s="27"/>
      <c r="Y841" s="27"/>
      <c r="Z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33">
        <f t="shared" si="1"/>
        <v>0</v>
      </c>
      <c r="W842" s="27"/>
      <c r="X842" s="27"/>
      <c r="Y842" s="27"/>
      <c r="Z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33">
        <f t="shared" si="1"/>
        <v>0</v>
      </c>
      <c r="W843" s="27"/>
      <c r="X843" s="27"/>
      <c r="Y843" s="27"/>
      <c r="Z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33">
        <f t="shared" si="1"/>
        <v>0</v>
      </c>
      <c r="W844" s="27"/>
      <c r="X844" s="27"/>
      <c r="Y844" s="27"/>
      <c r="Z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33">
        <f t="shared" si="1"/>
        <v>0</v>
      </c>
      <c r="W845" s="27"/>
      <c r="X845" s="27"/>
      <c r="Y845" s="27"/>
      <c r="Z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33">
        <f t="shared" si="1"/>
        <v>0</v>
      </c>
      <c r="W846" s="27"/>
      <c r="X846" s="27"/>
      <c r="Y846" s="27"/>
      <c r="Z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33">
        <f t="shared" si="1"/>
        <v>0</v>
      </c>
      <c r="W847" s="27"/>
      <c r="X847" s="27"/>
      <c r="Y847" s="27"/>
      <c r="Z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33">
        <f t="shared" si="1"/>
        <v>0</v>
      </c>
      <c r="W848" s="27"/>
      <c r="X848" s="27"/>
      <c r="Y848" s="27"/>
      <c r="Z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33">
        <f t="shared" si="1"/>
        <v>0</v>
      </c>
      <c r="W849" s="27"/>
      <c r="X849" s="27"/>
      <c r="Y849" s="27"/>
      <c r="Z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33">
        <f t="shared" si="1"/>
        <v>0</v>
      </c>
      <c r="W850" s="27"/>
      <c r="X850" s="27"/>
      <c r="Y850" s="27"/>
      <c r="Z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33">
        <f t="shared" si="1"/>
        <v>0</v>
      </c>
      <c r="W851" s="27"/>
      <c r="X851" s="27"/>
      <c r="Y851" s="27"/>
      <c r="Z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33">
        <f t="shared" si="1"/>
        <v>0</v>
      </c>
      <c r="W852" s="27"/>
      <c r="X852" s="27"/>
      <c r="Y852" s="27"/>
      <c r="Z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33">
        <f t="shared" si="1"/>
        <v>0</v>
      </c>
      <c r="W853" s="27"/>
      <c r="X853" s="27"/>
      <c r="Y853" s="27"/>
      <c r="Z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33">
        <f t="shared" si="1"/>
        <v>0</v>
      </c>
      <c r="W854" s="27"/>
      <c r="X854" s="27"/>
      <c r="Y854" s="27"/>
      <c r="Z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33">
        <f t="shared" si="1"/>
        <v>0</v>
      </c>
      <c r="W855" s="27"/>
      <c r="X855" s="27"/>
      <c r="Y855" s="27"/>
      <c r="Z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33">
        <f t="shared" si="1"/>
        <v>0</v>
      </c>
      <c r="W856" s="27"/>
      <c r="X856" s="27"/>
      <c r="Y856" s="27"/>
      <c r="Z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33">
        <f t="shared" si="1"/>
        <v>0</v>
      </c>
      <c r="W857" s="27"/>
      <c r="X857" s="27"/>
      <c r="Y857" s="27"/>
      <c r="Z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33">
        <f t="shared" si="1"/>
        <v>0</v>
      </c>
      <c r="W858" s="27"/>
      <c r="X858" s="27"/>
      <c r="Y858" s="27"/>
      <c r="Z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33">
        <f t="shared" si="1"/>
        <v>0</v>
      </c>
      <c r="W859" s="27"/>
      <c r="X859" s="27"/>
      <c r="Y859" s="27"/>
      <c r="Z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33">
        <f t="shared" si="1"/>
        <v>0</v>
      </c>
      <c r="W860" s="27"/>
      <c r="X860" s="27"/>
      <c r="Y860" s="27"/>
      <c r="Z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33">
        <f t="shared" si="1"/>
        <v>0</v>
      </c>
      <c r="W861" s="27"/>
      <c r="X861" s="27"/>
      <c r="Y861" s="27"/>
      <c r="Z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33">
        <f t="shared" si="1"/>
        <v>0</v>
      </c>
      <c r="W862" s="27"/>
      <c r="X862" s="27"/>
      <c r="Y862" s="27"/>
      <c r="Z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33">
        <f t="shared" si="1"/>
        <v>0</v>
      </c>
      <c r="W863" s="27"/>
      <c r="X863" s="27"/>
      <c r="Y863" s="27"/>
      <c r="Z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33">
        <f t="shared" si="1"/>
        <v>0</v>
      </c>
      <c r="W864" s="27"/>
      <c r="X864" s="27"/>
      <c r="Y864" s="27"/>
      <c r="Z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33">
        <f t="shared" si="1"/>
        <v>0</v>
      </c>
      <c r="W865" s="27"/>
      <c r="X865" s="27"/>
      <c r="Y865" s="27"/>
      <c r="Z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33">
        <f t="shared" si="1"/>
        <v>0</v>
      </c>
      <c r="W866" s="27"/>
      <c r="X866" s="27"/>
      <c r="Y866" s="27"/>
      <c r="Z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33">
        <f t="shared" si="1"/>
        <v>0</v>
      </c>
      <c r="W867" s="27"/>
      <c r="X867" s="27"/>
      <c r="Y867" s="27"/>
      <c r="Z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33">
        <f t="shared" si="1"/>
        <v>0</v>
      </c>
      <c r="W868" s="27"/>
      <c r="X868" s="27"/>
      <c r="Y868" s="27"/>
      <c r="Z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33">
        <f t="shared" si="1"/>
        <v>0</v>
      </c>
      <c r="W869" s="27"/>
      <c r="X869" s="27"/>
      <c r="Y869" s="27"/>
      <c r="Z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33">
        <f t="shared" si="1"/>
        <v>0</v>
      </c>
      <c r="W870" s="27"/>
      <c r="X870" s="27"/>
      <c r="Y870" s="27"/>
      <c r="Z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33">
        <f t="shared" si="1"/>
        <v>0</v>
      </c>
      <c r="W871" s="27"/>
      <c r="X871" s="27"/>
      <c r="Y871" s="27"/>
      <c r="Z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33">
        <f t="shared" si="1"/>
        <v>0</v>
      </c>
      <c r="W872" s="27"/>
      <c r="X872" s="27"/>
      <c r="Y872" s="27"/>
      <c r="Z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33">
        <f t="shared" si="1"/>
        <v>0</v>
      </c>
      <c r="W873" s="27"/>
      <c r="X873" s="27"/>
      <c r="Y873" s="27"/>
      <c r="Z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33">
        <f t="shared" si="1"/>
        <v>0</v>
      </c>
      <c r="W874" s="27"/>
      <c r="X874" s="27"/>
      <c r="Y874" s="27"/>
      <c r="Z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33">
        <f t="shared" si="1"/>
        <v>0</v>
      </c>
      <c r="W875" s="27"/>
      <c r="X875" s="27"/>
      <c r="Y875" s="27"/>
      <c r="Z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33">
        <f t="shared" si="1"/>
        <v>0</v>
      </c>
      <c r="W876" s="27"/>
      <c r="X876" s="27"/>
      <c r="Y876" s="27"/>
      <c r="Z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33">
        <f t="shared" si="1"/>
        <v>0</v>
      </c>
      <c r="W877" s="27"/>
      <c r="X877" s="27"/>
      <c r="Y877" s="27"/>
      <c r="Z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33">
        <f t="shared" si="1"/>
        <v>0</v>
      </c>
      <c r="W878" s="27"/>
      <c r="X878" s="27"/>
      <c r="Y878" s="27"/>
      <c r="Z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33">
        <f t="shared" si="1"/>
        <v>0</v>
      </c>
      <c r="W879" s="27"/>
      <c r="X879" s="27"/>
      <c r="Y879" s="27"/>
      <c r="Z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33">
        <f t="shared" si="1"/>
        <v>0</v>
      </c>
      <c r="W880" s="27"/>
      <c r="X880" s="27"/>
      <c r="Y880" s="27"/>
      <c r="Z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33">
        <f t="shared" si="1"/>
        <v>0</v>
      </c>
      <c r="W881" s="27"/>
      <c r="X881" s="27"/>
      <c r="Y881" s="27"/>
      <c r="Z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33">
        <f t="shared" si="1"/>
        <v>0</v>
      </c>
      <c r="W882" s="27"/>
      <c r="X882" s="27"/>
      <c r="Y882" s="27"/>
      <c r="Z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33">
        <f t="shared" si="1"/>
        <v>0</v>
      </c>
      <c r="W883" s="27"/>
      <c r="X883" s="27"/>
      <c r="Y883" s="27"/>
      <c r="Z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33">
        <f t="shared" si="1"/>
        <v>0</v>
      </c>
      <c r="W884" s="27"/>
      <c r="X884" s="27"/>
      <c r="Y884" s="27"/>
      <c r="Z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33">
        <f t="shared" si="1"/>
        <v>0</v>
      </c>
      <c r="W885" s="27"/>
      <c r="X885" s="27"/>
      <c r="Y885" s="27"/>
      <c r="Z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33">
        <f t="shared" si="1"/>
        <v>0</v>
      </c>
      <c r="W886" s="27"/>
      <c r="X886" s="27"/>
      <c r="Y886" s="27"/>
      <c r="Z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33">
        <f t="shared" si="1"/>
        <v>0</v>
      </c>
      <c r="W887" s="27"/>
      <c r="X887" s="27"/>
      <c r="Y887" s="27"/>
      <c r="Z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33">
        <f t="shared" si="1"/>
        <v>0</v>
      </c>
      <c r="W888" s="27"/>
      <c r="X888" s="27"/>
      <c r="Y888" s="27"/>
      <c r="Z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33">
        <f t="shared" si="1"/>
        <v>0</v>
      </c>
      <c r="W889" s="27"/>
      <c r="X889" s="27"/>
      <c r="Y889" s="27"/>
      <c r="Z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33">
        <f t="shared" si="1"/>
        <v>0</v>
      </c>
      <c r="W890" s="27"/>
      <c r="X890" s="27"/>
      <c r="Y890" s="27"/>
      <c r="Z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33">
        <f t="shared" si="1"/>
        <v>0</v>
      </c>
      <c r="W891" s="27"/>
      <c r="X891" s="27"/>
      <c r="Y891" s="27"/>
      <c r="Z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33">
        <f t="shared" si="1"/>
        <v>0</v>
      </c>
      <c r="W892" s="27"/>
      <c r="X892" s="27"/>
      <c r="Y892" s="27"/>
      <c r="Z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33">
        <f t="shared" si="1"/>
        <v>0</v>
      </c>
      <c r="W893" s="27"/>
      <c r="X893" s="27"/>
      <c r="Y893" s="27"/>
      <c r="Z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33">
        <f t="shared" si="1"/>
        <v>0</v>
      </c>
      <c r="W894" s="27"/>
      <c r="X894" s="27"/>
      <c r="Y894" s="27"/>
      <c r="Z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33">
        <f t="shared" si="1"/>
        <v>0</v>
      </c>
      <c r="W895" s="27"/>
      <c r="X895" s="27"/>
      <c r="Y895" s="27"/>
      <c r="Z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33">
        <f t="shared" si="1"/>
        <v>0</v>
      </c>
      <c r="W896" s="27"/>
      <c r="X896" s="27"/>
      <c r="Y896" s="27"/>
      <c r="Z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33">
        <f t="shared" si="1"/>
        <v>0</v>
      </c>
      <c r="W897" s="27"/>
      <c r="X897" s="27"/>
      <c r="Y897" s="27"/>
      <c r="Z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33">
        <f t="shared" si="1"/>
        <v>0</v>
      </c>
      <c r="W898" s="27"/>
      <c r="X898" s="27"/>
      <c r="Y898" s="27"/>
      <c r="Z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33">
        <f t="shared" si="1"/>
        <v>0</v>
      </c>
      <c r="W899" s="27"/>
      <c r="X899" s="27"/>
      <c r="Y899" s="27"/>
      <c r="Z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33">
        <f t="shared" si="1"/>
        <v>0</v>
      </c>
      <c r="W900" s="27"/>
      <c r="X900" s="27"/>
      <c r="Y900" s="27"/>
      <c r="Z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33">
        <f t="shared" si="1"/>
        <v>0</v>
      </c>
      <c r="W901" s="27"/>
      <c r="X901" s="27"/>
      <c r="Y901" s="27"/>
      <c r="Z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33">
        <f t="shared" si="1"/>
        <v>0</v>
      </c>
      <c r="W902" s="27"/>
      <c r="X902" s="27"/>
      <c r="Y902" s="27"/>
      <c r="Z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33">
        <f t="shared" si="1"/>
        <v>0</v>
      </c>
      <c r="W903" s="27"/>
      <c r="X903" s="27"/>
      <c r="Y903" s="27"/>
      <c r="Z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33">
        <f t="shared" si="1"/>
        <v>0</v>
      </c>
      <c r="W904" s="27"/>
      <c r="X904" s="27"/>
      <c r="Y904" s="27"/>
      <c r="Z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33">
        <f t="shared" si="1"/>
        <v>0</v>
      </c>
      <c r="W905" s="27"/>
      <c r="X905" s="27"/>
      <c r="Y905" s="27"/>
      <c r="Z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33">
        <f t="shared" si="1"/>
        <v>0</v>
      </c>
      <c r="W906" s="27"/>
      <c r="X906" s="27"/>
      <c r="Y906" s="27"/>
      <c r="Z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33">
        <f t="shared" si="1"/>
        <v>0</v>
      </c>
      <c r="W907" s="27"/>
      <c r="X907" s="27"/>
      <c r="Y907" s="27"/>
      <c r="Z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33">
        <f t="shared" si="1"/>
        <v>0</v>
      </c>
      <c r="W908" s="27"/>
      <c r="X908" s="27"/>
      <c r="Y908" s="27"/>
      <c r="Z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33">
        <f t="shared" si="1"/>
        <v>0</v>
      </c>
      <c r="W909" s="27"/>
      <c r="X909" s="27"/>
      <c r="Y909" s="27"/>
      <c r="Z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33">
        <f t="shared" si="1"/>
        <v>0</v>
      </c>
      <c r="W910" s="27"/>
      <c r="X910" s="27"/>
      <c r="Y910" s="27"/>
      <c r="Z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33">
        <f t="shared" si="1"/>
        <v>0</v>
      </c>
      <c r="W911" s="27"/>
      <c r="X911" s="27"/>
      <c r="Y911" s="27"/>
      <c r="Z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33">
        <f t="shared" si="1"/>
        <v>0</v>
      </c>
      <c r="W912" s="27"/>
      <c r="X912" s="27"/>
      <c r="Y912" s="27"/>
      <c r="Z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33">
        <f t="shared" si="1"/>
        <v>0</v>
      </c>
      <c r="W913" s="27"/>
      <c r="X913" s="27"/>
      <c r="Y913" s="27"/>
      <c r="Z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33">
        <f t="shared" si="1"/>
        <v>0</v>
      </c>
      <c r="W914" s="27"/>
      <c r="X914" s="27"/>
      <c r="Y914" s="27"/>
      <c r="Z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33">
        <f t="shared" si="1"/>
        <v>0</v>
      </c>
      <c r="W915" s="27"/>
      <c r="X915" s="27"/>
      <c r="Y915" s="27"/>
      <c r="Z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33">
        <f t="shared" si="1"/>
        <v>0</v>
      </c>
      <c r="W916" s="27"/>
      <c r="X916" s="27"/>
      <c r="Y916" s="27"/>
      <c r="Z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33">
        <f t="shared" si="1"/>
        <v>0</v>
      </c>
      <c r="W917" s="27"/>
      <c r="X917" s="27"/>
      <c r="Y917" s="27"/>
      <c r="Z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33">
        <f t="shared" si="1"/>
        <v>0</v>
      </c>
      <c r="W918" s="27"/>
      <c r="X918" s="27"/>
      <c r="Y918" s="27"/>
      <c r="Z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33">
        <f t="shared" si="1"/>
        <v>0</v>
      </c>
      <c r="W919" s="27"/>
      <c r="X919" s="27"/>
      <c r="Y919" s="27"/>
      <c r="Z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33">
        <f t="shared" si="1"/>
        <v>0</v>
      </c>
      <c r="W920" s="27"/>
      <c r="X920" s="27"/>
      <c r="Y920" s="27"/>
      <c r="Z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33">
        <f t="shared" si="1"/>
        <v>0</v>
      </c>
      <c r="W921" s="27"/>
      <c r="X921" s="27"/>
      <c r="Y921" s="27"/>
      <c r="Z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33">
        <f t="shared" si="1"/>
        <v>0</v>
      </c>
      <c r="W922" s="27"/>
      <c r="X922" s="27"/>
      <c r="Y922" s="27"/>
      <c r="Z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33">
        <f t="shared" si="1"/>
        <v>0</v>
      </c>
      <c r="W923" s="27"/>
      <c r="X923" s="27"/>
      <c r="Y923" s="27"/>
      <c r="Z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33">
        <f t="shared" si="1"/>
        <v>0</v>
      </c>
      <c r="W924" s="27"/>
      <c r="X924" s="27"/>
      <c r="Y924" s="27"/>
      <c r="Z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33">
        <f t="shared" si="1"/>
        <v>0</v>
      </c>
      <c r="W925" s="27"/>
      <c r="X925" s="27"/>
      <c r="Y925" s="27"/>
      <c r="Z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33">
        <f t="shared" si="1"/>
        <v>0</v>
      </c>
      <c r="W926" s="27"/>
      <c r="X926" s="27"/>
      <c r="Y926" s="27"/>
      <c r="Z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33">
        <f t="shared" si="1"/>
        <v>0</v>
      </c>
      <c r="W927" s="27"/>
      <c r="X927" s="27"/>
      <c r="Y927" s="27"/>
      <c r="Z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33">
        <f t="shared" si="1"/>
        <v>0</v>
      </c>
      <c r="W928" s="27"/>
      <c r="X928" s="27"/>
      <c r="Y928" s="27"/>
      <c r="Z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33">
        <f t="shared" si="1"/>
        <v>0</v>
      </c>
      <c r="W929" s="27"/>
      <c r="X929" s="27"/>
      <c r="Y929" s="27"/>
      <c r="Z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33">
        <f t="shared" si="1"/>
        <v>0</v>
      </c>
      <c r="W930" s="27"/>
      <c r="X930" s="27"/>
      <c r="Y930" s="27"/>
      <c r="Z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33">
        <f t="shared" si="1"/>
        <v>0</v>
      </c>
      <c r="W931" s="27"/>
      <c r="X931" s="27"/>
      <c r="Y931" s="27"/>
      <c r="Z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33">
        <f t="shared" si="1"/>
        <v>0</v>
      </c>
      <c r="W932" s="27"/>
      <c r="X932" s="27"/>
      <c r="Y932" s="27"/>
      <c r="Z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33">
        <f t="shared" si="1"/>
        <v>0</v>
      </c>
      <c r="W933" s="27"/>
      <c r="X933" s="27"/>
      <c r="Y933" s="27"/>
      <c r="Z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33">
        <f t="shared" si="1"/>
        <v>0</v>
      </c>
      <c r="W934" s="27"/>
      <c r="X934" s="27"/>
      <c r="Y934" s="27"/>
      <c r="Z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33">
        <f t="shared" si="1"/>
        <v>0</v>
      </c>
      <c r="W935" s="27"/>
      <c r="X935" s="27"/>
      <c r="Y935" s="27"/>
      <c r="Z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33">
        <f t="shared" si="1"/>
        <v>0</v>
      </c>
      <c r="W936" s="27"/>
      <c r="X936" s="27"/>
      <c r="Y936" s="27"/>
      <c r="Z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33">
        <f t="shared" si="1"/>
        <v>0</v>
      </c>
      <c r="W937" s="27"/>
      <c r="X937" s="27"/>
      <c r="Y937" s="27"/>
      <c r="Z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33">
        <f t="shared" si="1"/>
        <v>0</v>
      </c>
      <c r="W938" s="27"/>
      <c r="X938" s="27"/>
      <c r="Y938" s="27"/>
      <c r="Z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33">
        <f t="shared" si="1"/>
        <v>0</v>
      </c>
      <c r="W939" s="27"/>
      <c r="X939" s="27"/>
      <c r="Y939" s="27"/>
      <c r="Z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33">
        <f t="shared" si="1"/>
        <v>0</v>
      </c>
      <c r="W940" s="27"/>
      <c r="X940" s="27"/>
      <c r="Y940" s="27"/>
      <c r="Z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33">
        <f t="shared" si="1"/>
        <v>0</v>
      </c>
      <c r="W941" s="27"/>
      <c r="X941" s="27"/>
      <c r="Y941" s="27"/>
      <c r="Z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33">
        <f t="shared" si="1"/>
        <v>0</v>
      </c>
      <c r="W942" s="27"/>
      <c r="X942" s="27"/>
      <c r="Y942" s="27"/>
      <c r="Z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33">
        <f t="shared" si="1"/>
        <v>0</v>
      </c>
      <c r="W943" s="27"/>
      <c r="X943" s="27"/>
      <c r="Y943" s="27"/>
      <c r="Z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33">
        <f t="shared" si="1"/>
        <v>0</v>
      </c>
      <c r="W944" s="27"/>
      <c r="X944" s="27"/>
      <c r="Y944" s="27"/>
      <c r="Z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33">
        <f t="shared" si="1"/>
        <v>0</v>
      </c>
      <c r="W945" s="27"/>
      <c r="X945" s="27"/>
      <c r="Y945" s="27"/>
      <c r="Z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33">
        <f t="shared" si="1"/>
        <v>0</v>
      </c>
      <c r="W946" s="27"/>
      <c r="X946" s="27"/>
      <c r="Y946" s="27"/>
      <c r="Z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33">
        <f t="shared" si="1"/>
        <v>0</v>
      </c>
      <c r="W947" s="27"/>
      <c r="X947" s="27"/>
      <c r="Y947" s="27"/>
      <c r="Z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33">
        <f t="shared" si="1"/>
        <v>0</v>
      </c>
      <c r="W948" s="27"/>
      <c r="X948" s="27"/>
      <c r="Y948" s="27"/>
      <c r="Z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33">
        <f t="shared" si="1"/>
        <v>0</v>
      </c>
      <c r="W949" s="27"/>
      <c r="X949" s="27"/>
      <c r="Y949" s="27"/>
      <c r="Z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33">
        <f t="shared" si="1"/>
        <v>0</v>
      </c>
      <c r="W950" s="27"/>
      <c r="X950" s="27"/>
      <c r="Y950" s="27"/>
      <c r="Z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33">
        <f t="shared" si="1"/>
        <v>0</v>
      </c>
      <c r="W951" s="27"/>
      <c r="X951" s="27"/>
      <c r="Y951" s="27"/>
      <c r="Z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33">
        <f t="shared" si="1"/>
        <v>0</v>
      </c>
      <c r="W952" s="27"/>
      <c r="X952" s="27"/>
      <c r="Y952" s="27"/>
      <c r="Z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33">
        <f t="shared" si="1"/>
        <v>0</v>
      </c>
      <c r="W953" s="27"/>
      <c r="X953" s="27"/>
      <c r="Y953" s="27"/>
      <c r="Z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33">
        <f t="shared" si="1"/>
        <v>0</v>
      </c>
      <c r="W954" s="27"/>
      <c r="X954" s="27"/>
      <c r="Y954" s="27"/>
      <c r="Z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33">
        <f t="shared" si="1"/>
        <v>0</v>
      </c>
      <c r="W955" s="27"/>
      <c r="X955" s="27"/>
      <c r="Y955" s="27"/>
      <c r="Z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33">
        <f t="shared" si="1"/>
        <v>0</v>
      </c>
      <c r="W956" s="27"/>
      <c r="X956" s="27"/>
      <c r="Y956" s="27"/>
      <c r="Z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33">
        <f t="shared" si="1"/>
        <v>0</v>
      </c>
      <c r="W957" s="27"/>
      <c r="X957" s="27"/>
      <c r="Y957" s="27"/>
      <c r="Z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33">
        <f t="shared" si="1"/>
        <v>0</v>
      </c>
      <c r="W958" s="27"/>
      <c r="X958" s="27"/>
      <c r="Y958" s="27"/>
      <c r="Z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33">
        <f t="shared" si="1"/>
        <v>0</v>
      </c>
      <c r="W959" s="27"/>
      <c r="X959" s="27"/>
      <c r="Y959" s="27"/>
      <c r="Z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33">
        <f t="shared" si="1"/>
        <v>0</v>
      </c>
      <c r="W960" s="27"/>
      <c r="X960" s="27"/>
      <c r="Y960" s="27"/>
      <c r="Z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33">
        <f t="shared" si="1"/>
        <v>0</v>
      </c>
      <c r="W961" s="27"/>
      <c r="X961" s="27"/>
      <c r="Y961" s="27"/>
      <c r="Z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33">
        <f t="shared" si="1"/>
        <v>0</v>
      </c>
      <c r="W962" s="27"/>
      <c r="X962" s="27"/>
      <c r="Y962" s="27"/>
      <c r="Z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33">
        <f t="shared" si="1"/>
        <v>0</v>
      </c>
      <c r="W963" s="27"/>
      <c r="X963" s="27"/>
      <c r="Y963" s="27"/>
      <c r="Z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33">
        <f t="shared" si="1"/>
        <v>0</v>
      </c>
      <c r="W964" s="27"/>
      <c r="X964" s="27"/>
      <c r="Y964" s="27"/>
      <c r="Z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33">
        <f t="shared" si="1"/>
        <v>0</v>
      </c>
      <c r="W965" s="27"/>
      <c r="X965" s="27"/>
      <c r="Y965" s="27"/>
      <c r="Z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33">
        <f t="shared" si="1"/>
        <v>0</v>
      </c>
      <c r="W966" s="27"/>
      <c r="X966" s="27"/>
      <c r="Y966" s="27"/>
      <c r="Z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33">
        <f t="shared" si="1"/>
        <v>0</v>
      </c>
      <c r="W967" s="27"/>
      <c r="X967" s="27"/>
      <c r="Y967" s="27"/>
      <c r="Z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33">
        <f t="shared" si="1"/>
        <v>0</v>
      </c>
      <c r="W968" s="27"/>
      <c r="X968" s="27"/>
      <c r="Y968" s="27"/>
      <c r="Z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33">
        <f t="shared" si="1"/>
        <v>0</v>
      </c>
      <c r="W969" s="27"/>
      <c r="X969" s="27"/>
      <c r="Y969" s="27"/>
      <c r="Z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33">
        <f t="shared" si="1"/>
        <v>0</v>
      </c>
      <c r="W970" s="27"/>
      <c r="X970" s="27"/>
      <c r="Y970" s="27"/>
      <c r="Z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33">
        <f t="shared" si="1"/>
        <v>0</v>
      </c>
      <c r="W971" s="27"/>
      <c r="X971" s="27"/>
      <c r="Y971" s="27"/>
      <c r="Z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33">
        <f t="shared" si="1"/>
        <v>0</v>
      </c>
      <c r="W972" s="27"/>
      <c r="X972" s="27"/>
      <c r="Y972" s="27"/>
      <c r="Z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33">
        <f t="shared" si="1"/>
        <v>0</v>
      </c>
      <c r="W973" s="27"/>
      <c r="X973" s="27"/>
      <c r="Y973" s="27"/>
      <c r="Z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33">
        <f t="shared" si="1"/>
        <v>0</v>
      </c>
      <c r="W974" s="27"/>
      <c r="X974" s="27"/>
      <c r="Y974" s="27"/>
      <c r="Z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33">
        <f t="shared" si="1"/>
        <v>0</v>
      </c>
      <c r="W975" s="27"/>
      <c r="X975" s="27"/>
      <c r="Y975" s="27"/>
      <c r="Z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33">
        <f t="shared" si="1"/>
        <v>0</v>
      </c>
      <c r="W976" s="27"/>
      <c r="X976" s="27"/>
      <c r="Y976" s="27"/>
      <c r="Z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33">
        <f t="shared" si="1"/>
        <v>0</v>
      </c>
      <c r="W977" s="27"/>
      <c r="X977" s="27"/>
      <c r="Y977" s="27"/>
      <c r="Z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33">
        <f t="shared" si="1"/>
        <v>0</v>
      </c>
      <c r="W978" s="27"/>
      <c r="X978" s="27"/>
      <c r="Y978" s="27"/>
      <c r="Z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33">
        <f t="shared" si="1"/>
        <v>0</v>
      </c>
      <c r="W979" s="27"/>
      <c r="X979" s="27"/>
      <c r="Y979" s="27"/>
      <c r="Z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33">
        <f t="shared" si="1"/>
        <v>0</v>
      </c>
      <c r="W980" s="27"/>
      <c r="X980" s="27"/>
      <c r="Y980" s="27"/>
      <c r="Z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33">
        <f t="shared" si="1"/>
        <v>0</v>
      </c>
      <c r="W981" s="27"/>
      <c r="X981" s="27"/>
      <c r="Y981" s="27"/>
      <c r="Z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33">
        <f t="shared" si="1"/>
        <v>0</v>
      </c>
      <c r="W982" s="27"/>
      <c r="X982" s="27"/>
      <c r="Y982" s="27"/>
      <c r="Z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33">
        <f t="shared" si="1"/>
        <v>0</v>
      </c>
      <c r="W983" s="27"/>
      <c r="X983" s="27"/>
      <c r="Y983" s="27"/>
      <c r="Z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33">
        <f t="shared" si="1"/>
        <v>0</v>
      </c>
      <c r="W984" s="27"/>
      <c r="X984" s="27"/>
      <c r="Y984" s="27"/>
      <c r="Z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33">
        <f t="shared" si="1"/>
        <v>0</v>
      </c>
      <c r="W985" s="27"/>
      <c r="X985" s="27"/>
      <c r="Y985" s="27"/>
      <c r="Z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33">
        <f t="shared" si="1"/>
        <v>0</v>
      </c>
      <c r="W986" s="27"/>
      <c r="X986" s="27"/>
      <c r="Y986" s="27"/>
      <c r="Z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33">
        <f t="shared" si="1"/>
        <v>0</v>
      </c>
      <c r="W987" s="27"/>
      <c r="X987" s="27"/>
      <c r="Y987" s="27"/>
      <c r="Z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33">
        <f t="shared" si="1"/>
        <v>0</v>
      </c>
      <c r="W988" s="27"/>
      <c r="X988" s="27"/>
      <c r="Y988" s="27"/>
      <c r="Z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33">
        <f t="shared" si="1"/>
        <v>0</v>
      </c>
      <c r="W989" s="27"/>
      <c r="X989" s="27"/>
      <c r="Y989" s="27"/>
      <c r="Z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33">
        <f t="shared" si="1"/>
        <v>0</v>
      </c>
      <c r="W990" s="27"/>
      <c r="X990" s="27"/>
      <c r="Y990" s="27"/>
      <c r="Z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33">
        <f t="shared" si="1"/>
        <v>0</v>
      </c>
      <c r="W991" s="27"/>
      <c r="X991" s="27"/>
      <c r="Y991" s="27"/>
      <c r="Z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33">
        <f t="shared" si="1"/>
        <v>0</v>
      </c>
      <c r="W992" s="27"/>
      <c r="X992" s="27"/>
      <c r="Y992" s="27"/>
      <c r="Z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33">
        <f t="shared" si="1"/>
        <v>0</v>
      </c>
      <c r="W993" s="27"/>
      <c r="X993" s="27"/>
      <c r="Y993" s="27"/>
      <c r="Z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33">
        <f t="shared" si="1"/>
        <v>0</v>
      </c>
      <c r="W994" s="27"/>
      <c r="X994" s="27"/>
      <c r="Y994" s="27"/>
      <c r="Z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33">
        <f t="shared" si="1"/>
        <v>0</v>
      </c>
      <c r="W995" s="27"/>
      <c r="X995" s="27"/>
      <c r="Y995" s="27"/>
      <c r="Z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33">
        <f t="shared" si="1"/>
        <v>0</v>
      </c>
      <c r="W996" s="27"/>
      <c r="X996" s="27"/>
      <c r="Y996" s="27"/>
      <c r="Z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33">
        <f t="shared" si="1"/>
        <v>0</v>
      </c>
      <c r="W997" s="27"/>
      <c r="X997" s="27"/>
      <c r="Y997" s="27"/>
      <c r="Z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33">
        <f t="shared" si="1"/>
        <v>0</v>
      </c>
      <c r="W998" s="27"/>
      <c r="X998" s="27"/>
      <c r="Y998" s="27"/>
      <c r="Z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33">
        <f t="shared" si="1"/>
        <v>0</v>
      </c>
      <c r="W999" s="27"/>
      <c r="X999" s="27"/>
      <c r="Y999" s="27"/>
      <c r="Z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33">
        <f t="shared" si="1"/>
        <v>0</v>
      </c>
      <c r="W1000" s="27"/>
      <c r="X1000" s="27"/>
      <c r="Y1000" s="27"/>
      <c r="Z1000" s="27"/>
    </row>
  </sheetData>
  <dataValidations>
    <dataValidation type="list" allowBlank="1" showErrorMessage="1" sqref="B2:B1000">
      <formula1>'預算欄位參數表'!$B$2:$B$22</formula1>
    </dataValidation>
    <dataValidation type="list" allowBlank="1" showErrorMessage="1" sqref="D2:D1000">
      <formula1>'預算欄位參數表'!$E$2:E1000</formula1>
    </dataValidation>
    <dataValidation type="list" allowBlank="1" showErrorMessage="1" sqref="E2:E1000">
      <formula1>"NA"</formula1>
    </dataValidation>
    <dataValidation type="list" allowBlank="1" showErrorMessage="1" sqref="G2:G1000">
      <formula1>'預算欄位參數表'!$G$2:G1000</formula1>
    </dataValidation>
    <dataValidation type="list" allowBlank="1" showErrorMessage="1" sqref="C2:C1000">
      <formula1>'預算欄位參數表'!$C$2:C1000</formula1>
    </dataValidation>
    <dataValidation type="list" allowBlank="1" showErrorMessage="1" sqref="A2:A1000">
      <formula1>'預算欄位參數表'!$A$2:$A1000</formula1>
    </dataValidation>
    <dataValidation type="list" allowBlank="1" showErrorMessage="1" sqref="F2:F1000">
      <formula1>'預算欄位參數表'!$H$2:$H1000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5" max="5" width="16.0"/>
    <col customWidth="1" min="6" max="6" width="14.0"/>
    <col customWidth="1" min="7" max="7" width="13.13"/>
    <col customWidth="1" min="8" max="8" width="15.0"/>
    <col customWidth="1" min="9" max="9" width="15.5"/>
  </cols>
  <sheetData>
    <row r="1">
      <c r="A1" s="27" t="s">
        <v>0</v>
      </c>
      <c r="B1" s="28" t="s">
        <v>1</v>
      </c>
      <c r="C1" s="28" t="s">
        <v>2</v>
      </c>
      <c r="D1" s="27" t="s">
        <v>3</v>
      </c>
      <c r="E1" s="28" t="s">
        <v>4</v>
      </c>
      <c r="F1" s="27" t="s">
        <v>5</v>
      </c>
      <c r="G1" s="28" t="s">
        <v>6</v>
      </c>
      <c r="H1" s="28" t="s">
        <v>44</v>
      </c>
      <c r="I1" s="28" t="s">
        <v>8</v>
      </c>
      <c r="J1" s="29">
        <v>46023.0</v>
      </c>
      <c r="K1" s="29">
        <v>46054.0</v>
      </c>
      <c r="L1" s="29">
        <v>46082.0</v>
      </c>
      <c r="M1" s="29">
        <v>46113.0</v>
      </c>
      <c r="N1" s="29">
        <v>46143.0</v>
      </c>
      <c r="O1" s="29">
        <v>46174.0</v>
      </c>
      <c r="P1" s="29">
        <v>46204.0</v>
      </c>
      <c r="Q1" s="29">
        <v>46235.0</v>
      </c>
      <c r="R1" s="29">
        <v>46266.0</v>
      </c>
      <c r="S1" s="29">
        <v>46296.0</v>
      </c>
      <c r="T1" s="29">
        <v>46327.0</v>
      </c>
      <c r="U1" s="29">
        <v>46357.0</v>
      </c>
      <c r="V1" s="27" t="s">
        <v>21</v>
      </c>
      <c r="W1" s="27"/>
      <c r="X1" s="27"/>
      <c r="Y1" s="27"/>
      <c r="Z1" s="27"/>
      <c r="AA1" s="27"/>
    </row>
    <row r="2">
      <c r="A2" s="30" t="s">
        <v>27</v>
      </c>
      <c r="B2" s="30" t="s">
        <v>28</v>
      </c>
      <c r="C2" s="30" t="s">
        <v>39</v>
      </c>
      <c r="D2" s="30" t="s">
        <v>40</v>
      </c>
      <c r="E2" s="28"/>
      <c r="F2" s="28"/>
      <c r="G2" s="30" t="s">
        <v>33</v>
      </c>
      <c r="H2" s="30" t="s">
        <v>50</v>
      </c>
      <c r="I2" s="27"/>
      <c r="J2" s="31">
        <v>3000.0</v>
      </c>
      <c r="K2" s="31">
        <v>3000.0</v>
      </c>
      <c r="L2" s="31">
        <v>3000.0</v>
      </c>
      <c r="M2" s="31">
        <v>3000.0</v>
      </c>
      <c r="N2" s="31">
        <v>3000.0</v>
      </c>
      <c r="O2" s="31">
        <v>3000.0</v>
      </c>
      <c r="P2" s="31">
        <v>3000.0</v>
      </c>
      <c r="Q2" s="31">
        <v>3000.0</v>
      </c>
      <c r="R2" s="31">
        <v>3000.0</v>
      </c>
      <c r="S2" s="31">
        <v>3000.0</v>
      </c>
      <c r="T2" s="31">
        <v>3000.0</v>
      </c>
      <c r="U2" s="31">
        <v>3000.0</v>
      </c>
      <c r="V2" s="32">
        <f t="shared" ref="V2:V1000" si="1">SUM(B2:U2)</f>
        <v>36000</v>
      </c>
      <c r="W2" s="27"/>
      <c r="X2" s="27"/>
      <c r="Y2" s="27"/>
      <c r="Z2" s="27"/>
      <c r="AA2" s="27"/>
    </row>
    <row r="3">
      <c r="A3" s="28"/>
      <c r="B3" s="28"/>
      <c r="C3" s="28"/>
      <c r="D3" s="28"/>
      <c r="E3" s="28"/>
      <c r="F3" s="28"/>
      <c r="G3" s="28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33">
        <f t="shared" si="1"/>
        <v>0</v>
      </c>
      <c r="W3" s="27"/>
      <c r="X3" s="27"/>
      <c r="Y3" s="27"/>
      <c r="Z3" s="27"/>
      <c r="AA3" s="27"/>
    </row>
    <row r="4">
      <c r="A4" s="28"/>
      <c r="B4" s="28"/>
      <c r="C4" s="28"/>
      <c r="D4" s="28"/>
      <c r="E4" s="28"/>
      <c r="F4" s="28"/>
      <c r="G4" s="28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33">
        <f t="shared" si="1"/>
        <v>0</v>
      </c>
      <c r="W4" s="27"/>
      <c r="X4" s="27"/>
      <c r="Y4" s="27"/>
      <c r="Z4" s="27"/>
      <c r="AA4" s="27"/>
    </row>
    <row r="5">
      <c r="A5" s="28"/>
      <c r="B5" s="28"/>
      <c r="C5" s="28"/>
      <c r="D5" s="28"/>
      <c r="E5" s="28"/>
      <c r="F5" s="28"/>
      <c r="G5" s="28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33">
        <f t="shared" si="1"/>
        <v>0</v>
      </c>
      <c r="W5" s="27"/>
      <c r="X5" s="27"/>
      <c r="Y5" s="27"/>
      <c r="Z5" s="27"/>
      <c r="AA5" s="27"/>
    </row>
    <row r="6">
      <c r="A6" s="28"/>
      <c r="B6" s="28"/>
      <c r="C6" s="28"/>
      <c r="D6" s="28"/>
      <c r="E6" s="28"/>
      <c r="F6" s="28"/>
      <c r="G6" s="28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33">
        <f t="shared" si="1"/>
        <v>0</v>
      </c>
      <c r="W6" s="27"/>
      <c r="X6" s="27"/>
      <c r="Y6" s="27"/>
      <c r="Z6" s="27"/>
      <c r="AA6" s="27"/>
    </row>
    <row r="7">
      <c r="A7" s="28"/>
      <c r="B7" s="28"/>
      <c r="C7" s="28"/>
      <c r="D7" s="28"/>
      <c r="E7" s="28"/>
      <c r="F7" s="28"/>
      <c r="G7" s="28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33">
        <f t="shared" si="1"/>
        <v>0</v>
      </c>
      <c r="W7" s="27"/>
      <c r="X7" s="27"/>
      <c r="Y7" s="27"/>
      <c r="Z7" s="27"/>
      <c r="AA7" s="27"/>
    </row>
    <row r="8">
      <c r="A8" s="28"/>
      <c r="B8" s="28"/>
      <c r="C8" s="28"/>
      <c r="D8" s="28"/>
      <c r="E8" s="28"/>
      <c r="F8" s="28"/>
      <c r="G8" s="28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33">
        <f t="shared" si="1"/>
        <v>0</v>
      </c>
      <c r="W8" s="27"/>
      <c r="X8" s="27"/>
      <c r="Y8" s="27"/>
      <c r="Z8" s="27"/>
      <c r="AA8" s="27"/>
    </row>
    <row r="9">
      <c r="A9" s="28"/>
      <c r="B9" s="28"/>
      <c r="C9" s="28"/>
      <c r="D9" s="28"/>
      <c r="E9" s="28"/>
      <c r="F9" s="28"/>
      <c r="G9" s="28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33">
        <f t="shared" si="1"/>
        <v>0</v>
      </c>
      <c r="W9" s="27"/>
      <c r="X9" s="27"/>
      <c r="Y9" s="27"/>
      <c r="Z9" s="27"/>
      <c r="AA9" s="27"/>
    </row>
    <row r="10">
      <c r="A10" s="28"/>
      <c r="B10" s="28"/>
      <c r="C10" s="28"/>
      <c r="D10" s="28"/>
      <c r="E10" s="28"/>
      <c r="F10" s="28"/>
      <c r="G10" s="28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33">
        <f t="shared" si="1"/>
        <v>0</v>
      </c>
      <c r="W10" s="27"/>
      <c r="X10" s="27"/>
      <c r="Y10" s="27"/>
      <c r="Z10" s="27"/>
      <c r="AA10" s="27"/>
    </row>
    <row r="11">
      <c r="A11" s="28"/>
      <c r="B11" s="28"/>
      <c r="C11" s="28"/>
      <c r="D11" s="28"/>
      <c r="E11" s="28"/>
      <c r="F11" s="28"/>
      <c r="G11" s="28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33">
        <f t="shared" si="1"/>
        <v>0</v>
      </c>
      <c r="W11" s="27"/>
      <c r="X11" s="27"/>
      <c r="Y11" s="27"/>
      <c r="Z11" s="27"/>
      <c r="AA11" s="27"/>
    </row>
    <row r="12">
      <c r="A12" s="28"/>
      <c r="B12" s="28"/>
      <c r="C12" s="28"/>
      <c r="D12" s="28"/>
      <c r="E12" s="28"/>
      <c r="F12" s="28"/>
      <c r="G12" s="28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33">
        <f t="shared" si="1"/>
        <v>0</v>
      </c>
      <c r="W12" s="27"/>
      <c r="X12" s="27"/>
      <c r="Y12" s="27"/>
      <c r="Z12" s="27"/>
      <c r="AA12" s="27"/>
    </row>
    <row r="13">
      <c r="A13" s="28"/>
      <c r="B13" s="28"/>
      <c r="C13" s="28"/>
      <c r="D13" s="28"/>
      <c r="E13" s="28"/>
      <c r="F13" s="28"/>
      <c r="G13" s="28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33">
        <f t="shared" si="1"/>
        <v>0</v>
      </c>
      <c r="W13" s="27"/>
      <c r="X13" s="27"/>
      <c r="Y13" s="27"/>
      <c r="Z13" s="27"/>
      <c r="AA13" s="27"/>
    </row>
    <row r="14">
      <c r="A14" s="28"/>
      <c r="B14" s="28"/>
      <c r="C14" s="28"/>
      <c r="D14" s="28"/>
      <c r="E14" s="28"/>
      <c r="F14" s="28"/>
      <c r="G14" s="28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33">
        <f t="shared" si="1"/>
        <v>0</v>
      </c>
      <c r="W14" s="27"/>
      <c r="X14" s="27"/>
      <c r="Y14" s="27"/>
      <c r="Z14" s="27"/>
      <c r="AA14" s="27"/>
    </row>
    <row r="15">
      <c r="A15" s="28"/>
      <c r="B15" s="28"/>
      <c r="C15" s="28"/>
      <c r="D15" s="28"/>
      <c r="E15" s="28"/>
      <c r="F15" s="28"/>
      <c r="G15" s="28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33">
        <f t="shared" si="1"/>
        <v>0</v>
      </c>
      <c r="W15" s="27"/>
      <c r="X15" s="27"/>
      <c r="Y15" s="27"/>
      <c r="Z15" s="27"/>
      <c r="AA15" s="27"/>
    </row>
    <row r="16">
      <c r="A16" s="28"/>
      <c r="B16" s="28"/>
      <c r="C16" s="28"/>
      <c r="D16" s="28"/>
      <c r="E16" s="28"/>
      <c r="F16" s="28"/>
      <c r="G16" s="28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33">
        <f t="shared" si="1"/>
        <v>0</v>
      </c>
      <c r="W16" s="27"/>
      <c r="X16" s="27"/>
      <c r="Y16" s="27"/>
      <c r="Z16" s="27"/>
      <c r="AA16" s="27"/>
    </row>
    <row r="17">
      <c r="A17" s="28"/>
      <c r="B17" s="28"/>
      <c r="C17" s="28"/>
      <c r="D17" s="28"/>
      <c r="E17" s="28"/>
      <c r="F17" s="28"/>
      <c r="G17" s="28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33">
        <f t="shared" si="1"/>
        <v>0</v>
      </c>
      <c r="W17" s="27"/>
      <c r="X17" s="27"/>
      <c r="Y17" s="27"/>
      <c r="Z17" s="27"/>
      <c r="AA17" s="27"/>
    </row>
    <row r="18">
      <c r="A18" s="28"/>
      <c r="B18" s="28"/>
      <c r="C18" s="28"/>
      <c r="D18" s="28"/>
      <c r="E18" s="28"/>
      <c r="F18" s="28"/>
      <c r="G18" s="28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33">
        <f t="shared" si="1"/>
        <v>0</v>
      </c>
      <c r="W18" s="27"/>
      <c r="X18" s="27"/>
      <c r="Y18" s="27"/>
      <c r="Z18" s="27"/>
      <c r="AA18" s="27"/>
    </row>
    <row r="19">
      <c r="A19" s="28"/>
      <c r="B19" s="28"/>
      <c r="C19" s="28"/>
      <c r="D19" s="28"/>
      <c r="E19" s="28"/>
      <c r="F19" s="28"/>
      <c r="G19" s="28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33">
        <f t="shared" si="1"/>
        <v>0</v>
      </c>
      <c r="W19" s="27"/>
      <c r="X19" s="27"/>
      <c r="Y19" s="27"/>
      <c r="Z19" s="27"/>
      <c r="AA19" s="27"/>
    </row>
    <row r="20">
      <c r="A20" s="28"/>
      <c r="B20" s="28"/>
      <c r="C20" s="28"/>
      <c r="D20" s="28"/>
      <c r="E20" s="28"/>
      <c r="F20" s="28"/>
      <c r="G20" s="28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33">
        <f t="shared" si="1"/>
        <v>0</v>
      </c>
      <c r="W20" s="27"/>
      <c r="X20" s="27"/>
      <c r="Y20" s="27"/>
      <c r="Z20" s="27"/>
      <c r="AA20" s="27"/>
    </row>
    <row r="21">
      <c r="A21" s="28"/>
      <c r="B21" s="28"/>
      <c r="C21" s="28"/>
      <c r="D21" s="28"/>
      <c r="E21" s="28"/>
      <c r="F21" s="28"/>
      <c r="G21" s="28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33">
        <f t="shared" si="1"/>
        <v>0</v>
      </c>
      <c r="W21" s="27"/>
      <c r="X21" s="27"/>
      <c r="Y21" s="27"/>
      <c r="Z21" s="27"/>
      <c r="AA21" s="27"/>
    </row>
    <row r="22">
      <c r="A22" s="28"/>
      <c r="B22" s="28"/>
      <c r="C22" s="28"/>
      <c r="D22" s="28"/>
      <c r="E22" s="28"/>
      <c r="F22" s="28"/>
      <c r="G22" s="28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33">
        <f t="shared" si="1"/>
        <v>0</v>
      </c>
      <c r="W22" s="27"/>
      <c r="X22" s="27"/>
      <c r="Y22" s="27"/>
      <c r="Z22" s="27"/>
      <c r="AA22" s="27"/>
    </row>
    <row r="23">
      <c r="A23" s="28"/>
      <c r="B23" s="28"/>
      <c r="C23" s="28"/>
      <c r="D23" s="28"/>
      <c r="E23" s="28"/>
      <c r="F23" s="28"/>
      <c r="G23" s="28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33">
        <f t="shared" si="1"/>
        <v>0</v>
      </c>
      <c r="W23" s="27"/>
      <c r="X23" s="27"/>
      <c r="Y23" s="27"/>
      <c r="Z23" s="27"/>
      <c r="AA23" s="27"/>
    </row>
    <row r="24">
      <c r="A24" s="28"/>
      <c r="B24" s="28"/>
      <c r="C24" s="28"/>
      <c r="D24" s="28"/>
      <c r="E24" s="28"/>
      <c r="F24" s="28"/>
      <c r="G24" s="28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33">
        <f t="shared" si="1"/>
        <v>0</v>
      </c>
      <c r="W24" s="27"/>
      <c r="X24" s="27"/>
      <c r="Y24" s="27"/>
      <c r="Z24" s="27"/>
      <c r="AA24" s="27"/>
    </row>
    <row r="25">
      <c r="A25" s="28"/>
      <c r="B25" s="28"/>
      <c r="C25" s="28"/>
      <c r="D25" s="28"/>
      <c r="E25" s="28"/>
      <c r="F25" s="28"/>
      <c r="G25" s="28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33">
        <f t="shared" si="1"/>
        <v>0</v>
      </c>
      <c r="W25" s="27"/>
      <c r="X25" s="27"/>
      <c r="Y25" s="27"/>
      <c r="Z25" s="27"/>
      <c r="AA25" s="27"/>
    </row>
    <row r="26">
      <c r="A26" s="28"/>
      <c r="B26" s="28"/>
      <c r="C26" s="28"/>
      <c r="D26" s="28"/>
      <c r="E26" s="28"/>
      <c r="F26" s="28"/>
      <c r="G26" s="28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33">
        <f t="shared" si="1"/>
        <v>0</v>
      </c>
      <c r="W26" s="27"/>
      <c r="X26" s="27"/>
      <c r="Y26" s="27"/>
      <c r="Z26" s="27"/>
      <c r="AA26" s="27"/>
    </row>
    <row r="27">
      <c r="A27" s="28"/>
      <c r="B27" s="28"/>
      <c r="C27" s="28"/>
      <c r="D27" s="28"/>
      <c r="E27" s="28"/>
      <c r="F27" s="28"/>
      <c r="G27" s="2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33">
        <f t="shared" si="1"/>
        <v>0</v>
      </c>
      <c r="W27" s="27"/>
      <c r="X27" s="27"/>
      <c r="Y27" s="27"/>
      <c r="Z27" s="27"/>
      <c r="AA27" s="27"/>
    </row>
    <row r="28">
      <c r="A28" s="28"/>
      <c r="B28" s="28"/>
      <c r="C28" s="28"/>
      <c r="D28" s="28"/>
      <c r="E28" s="28"/>
      <c r="F28" s="28"/>
      <c r="G28" s="28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33">
        <f t="shared" si="1"/>
        <v>0</v>
      </c>
      <c r="W28" s="27"/>
      <c r="X28" s="27"/>
      <c r="Y28" s="27"/>
      <c r="Z28" s="27"/>
      <c r="AA28" s="27"/>
    </row>
    <row r="29">
      <c r="A29" s="28"/>
      <c r="B29" s="28"/>
      <c r="C29" s="28"/>
      <c r="D29" s="28"/>
      <c r="E29" s="28"/>
      <c r="F29" s="28"/>
      <c r="G29" s="28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33">
        <f t="shared" si="1"/>
        <v>0</v>
      </c>
      <c r="W29" s="27"/>
      <c r="X29" s="27"/>
      <c r="Y29" s="27"/>
      <c r="Z29" s="27"/>
      <c r="AA29" s="27"/>
    </row>
    <row r="30">
      <c r="A30" s="28"/>
      <c r="B30" s="28"/>
      <c r="C30" s="28"/>
      <c r="D30" s="28"/>
      <c r="E30" s="28"/>
      <c r="F30" s="28"/>
      <c r="G30" s="28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33">
        <f t="shared" si="1"/>
        <v>0</v>
      </c>
      <c r="W30" s="27"/>
      <c r="X30" s="27"/>
      <c r="Y30" s="27"/>
      <c r="Z30" s="27"/>
      <c r="AA30" s="27"/>
    </row>
    <row r="31">
      <c r="A31" s="28"/>
      <c r="B31" s="28"/>
      <c r="C31" s="28"/>
      <c r="D31" s="28"/>
      <c r="E31" s="28"/>
      <c r="F31" s="28"/>
      <c r="G31" s="28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33">
        <f t="shared" si="1"/>
        <v>0</v>
      </c>
      <c r="W31" s="27"/>
      <c r="X31" s="27"/>
      <c r="Y31" s="27"/>
      <c r="Z31" s="27"/>
      <c r="AA31" s="27"/>
    </row>
    <row r="32">
      <c r="A32" s="28"/>
      <c r="B32" s="28"/>
      <c r="C32" s="28"/>
      <c r="D32" s="28"/>
      <c r="E32" s="28"/>
      <c r="F32" s="28"/>
      <c r="G32" s="28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33">
        <f t="shared" si="1"/>
        <v>0</v>
      </c>
      <c r="W32" s="27"/>
      <c r="X32" s="27"/>
      <c r="Y32" s="27"/>
      <c r="Z32" s="27"/>
      <c r="AA32" s="27"/>
    </row>
    <row r="33">
      <c r="A33" s="28"/>
      <c r="B33" s="28"/>
      <c r="C33" s="28"/>
      <c r="D33" s="28"/>
      <c r="E33" s="28"/>
      <c r="F33" s="28"/>
      <c r="G33" s="28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33">
        <f t="shared" si="1"/>
        <v>0</v>
      </c>
      <c r="W33" s="27"/>
      <c r="X33" s="27"/>
      <c r="Y33" s="27"/>
      <c r="Z33" s="27"/>
      <c r="AA33" s="27"/>
    </row>
    <row r="34">
      <c r="A34" s="28"/>
      <c r="B34" s="28"/>
      <c r="C34" s="28"/>
      <c r="D34" s="28"/>
      <c r="E34" s="28"/>
      <c r="F34" s="28"/>
      <c r="G34" s="28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33">
        <f t="shared" si="1"/>
        <v>0</v>
      </c>
      <c r="W34" s="27"/>
      <c r="X34" s="27"/>
      <c r="Y34" s="27"/>
      <c r="Z34" s="27"/>
      <c r="AA34" s="27"/>
    </row>
    <row r="35">
      <c r="A35" s="28"/>
      <c r="B35" s="28"/>
      <c r="C35" s="28"/>
      <c r="D35" s="28"/>
      <c r="E35" s="28"/>
      <c r="F35" s="28"/>
      <c r="G35" s="28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33">
        <f t="shared" si="1"/>
        <v>0</v>
      </c>
      <c r="W35" s="27"/>
      <c r="X35" s="27"/>
      <c r="Y35" s="27"/>
      <c r="Z35" s="27"/>
      <c r="AA35" s="27"/>
    </row>
    <row r="36">
      <c r="A36" s="28"/>
      <c r="B36" s="28"/>
      <c r="C36" s="28"/>
      <c r="D36" s="28"/>
      <c r="E36" s="28"/>
      <c r="F36" s="28"/>
      <c r="G36" s="28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33">
        <f t="shared" si="1"/>
        <v>0</v>
      </c>
      <c r="W36" s="27"/>
      <c r="X36" s="27"/>
      <c r="Y36" s="27"/>
      <c r="Z36" s="27"/>
      <c r="AA36" s="27"/>
    </row>
    <row r="37">
      <c r="A37" s="28"/>
      <c r="B37" s="28"/>
      <c r="C37" s="28"/>
      <c r="D37" s="28"/>
      <c r="E37" s="28"/>
      <c r="F37" s="28"/>
      <c r="G37" s="28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33">
        <f t="shared" si="1"/>
        <v>0</v>
      </c>
      <c r="W37" s="27"/>
      <c r="X37" s="27"/>
      <c r="Y37" s="27"/>
      <c r="Z37" s="27"/>
      <c r="AA37" s="27"/>
    </row>
    <row r="38">
      <c r="A38" s="28"/>
      <c r="B38" s="28"/>
      <c r="C38" s="28"/>
      <c r="D38" s="28"/>
      <c r="E38" s="28"/>
      <c r="F38" s="28"/>
      <c r="G38" s="28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33">
        <f t="shared" si="1"/>
        <v>0</v>
      </c>
      <c r="W38" s="27"/>
      <c r="X38" s="27"/>
      <c r="Y38" s="27"/>
      <c r="Z38" s="27"/>
      <c r="AA38" s="27"/>
    </row>
    <row r="39">
      <c r="A39" s="28"/>
      <c r="B39" s="28"/>
      <c r="C39" s="28"/>
      <c r="D39" s="28"/>
      <c r="E39" s="28"/>
      <c r="F39" s="28"/>
      <c r="G39" s="28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33">
        <f t="shared" si="1"/>
        <v>0</v>
      </c>
      <c r="W39" s="27"/>
      <c r="X39" s="27"/>
      <c r="Y39" s="27"/>
      <c r="Z39" s="27"/>
      <c r="AA39" s="27"/>
    </row>
    <row r="40">
      <c r="A40" s="28"/>
      <c r="B40" s="28"/>
      <c r="C40" s="28"/>
      <c r="D40" s="28"/>
      <c r="E40" s="28"/>
      <c r="F40" s="28"/>
      <c r="G40" s="28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33">
        <f t="shared" si="1"/>
        <v>0</v>
      </c>
      <c r="W40" s="27"/>
      <c r="X40" s="27"/>
      <c r="Y40" s="27"/>
      <c r="Z40" s="27"/>
      <c r="AA40" s="27"/>
    </row>
    <row r="41">
      <c r="A41" s="28"/>
      <c r="B41" s="28"/>
      <c r="C41" s="28"/>
      <c r="D41" s="28"/>
      <c r="E41" s="28"/>
      <c r="F41" s="28"/>
      <c r="G41" s="28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33">
        <f t="shared" si="1"/>
        <v>0</v>
      </c>
      <c r="W41" s="27"/>
      <c r="X41" s="27"/>
      <c r="Y41" s="27"/>
      <c r="Z41" s="27"/>
      <c r="AA41" s="27"/>
    </row>
    <row r="42">
      <c r="A42" s="28"/>
      <c r="B42" s="28"/>
      <c r="C42" s="28"/>
      <c r="D42" s="28"/>
      <c r="E42" s="28"/>
      <c r="F42" s="28"/>
      <c r="G42" s="28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33">
        <f t="shared" si="1"/>
        <v>0</v>
      </c>
      <c r="W42" s="27"/>
      <c r="X42" s="27"/>
      <c r="Y42" s="27"/>
      <c r="Z42" s="27"/>
      <c r="AA42" s="27"/>
    </row>
    <row r="43">
      <c r="A43" s="28"/>
      <c r="B43" s="28"/>
      <c r="C43" s="28"/>
      <c r="D43" s="28"/>
      <c r="E43" s="28"/>
      <c r="F43" s="28"/>
      <c r="G43" s="28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33">
        <f t="shared" si="1"/>
        <v>0</v>
      </c>
      <c r="W43" s="27"/>
      <c r="X43" s="27"/>
      <c r="Y43" s="27"/>
      <c r="Z43" s="27"/>
      <c r="AA43" s="27"/>
    </row>
    <row r="44">
      <c r="A44" s="28"/>
      <c r="B44" s="28"/>
      <c r="C44" s="28"/>
      <c r="D44" s="28"/>
      <c r="E44" s="28"/>
      <c r="F44" s="28"/>
      <c r="G44" s="28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33">
        <f t="shared" si="1"/>
        <v>0</v>
      </c>
      <c r="W44" s="27"/>
      <c r="X44" s="27"/>
      <c r="Y44" s="27"/>
      <c r="Z44" s="27"/>
      <c r="AA44" s="27"/>
    </row>
    <row r="45">
      <c r="A45" s="28"/>
      <c r="B45" s="28"/>
      <c r="C45" s="28"/>
      <c r="D45" s="28"/>
      <c r="E45" s="28"/>
      <c r="F45" s="28"/>
      <c r="G45" s="28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33">
        <f t="shared" si="1"/>
        <v>0</v>
      </c>
      <c r="W45" s="27"/>
      <c r="X45" s="27"/>
      <c r="Y45" s="27"/>
      <c r="Z45" s="27"/>
      <c r="AA45" s="27"/>
    </row>
    <row r="46">
      <c r="A46" s="28"/>
      <c r="B46" s="28"/>
      <c r="C46" s="28"/>
      <c r="D46" s="28"/>
      <c r="E46" s="28"/>
      <c r="F46" s="28"/>
      <c r="G46" s="28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33">
        <f t="shared" si="1"/>
        <v>0</v>
      </c>
      <c r="W46" s="27"/>
      <c r="X46" s="27"/>
      <c r="Y46" s="27"/>
      <c r="Z46" s="27"/>
      <c r="AA46" s="27"/>
    </row>
    <row r="47">
      <c r="A47" s="28"/>
      <c r="B47" s="28"/>
      <c r="C47" s="28"/>
      <c r="D47" s="28"/>
      <c r="E47" s="28"/>
      <c r="F47" s="28"/>
      <c r="G47" s="28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33">
        <f t="shared" si="1"/>
        <v>0</v>
      </c>
      <c r="W47" s="27"/>
      <c r="X47" s="27"/>
      <c r="Y47" s="27"/>
      <c r="Z47" s="27"/>
      <c r="AA47" s="27"/>
    </row>
    <row r="48">
      <c r="A48" s="28"/>
      <c r="B48" s="28"/>
      <c r="C48" s="28"/>
      <c r="D48" s="28"/>
      <c r="E48" s="28"/>
      <c r="F48" s="28"/>
      <c r="G48" s="28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33">
        <f t="shared" si="1"/>
        <v>0</v>
      </c>
      <c r="W48" s="27"/>
      <c r="X48" s="27"/>
      <c r="Y48" s="27"/>
      <c r="Z48" s="27"/>
      <c r="AA48" s="27"/>
    </row>
    <row r="49">
      <c r="A49" s="28"/>
      <c r="B49" s="28"/>
      <c r="C49" s="28"/>
      <c r="D49" s="28"/>
      <c r="E49" s="28"/>
      <c r="F49" s="28"/>
      <c r="G49" s="28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33">
        <f t="shared" si="1"/>
        <v>0</v>
      </c>
      <c r="W49" s="27"/>
      <c r="X49" s="27"/>
      <c r="Y49" s="27"/>
      <c r="Z49" s="27"/>
      <c r="AA49" s="27"/>
    </row>
    <row r="50">
      <c r="A50" s="28"/>
      <c r="B50" s="28"/>
      <c r="C50" s="28"/>
      <c r="D50" s="28"/>
      <c r="E50" s="28"/>
      <c r="F50" s="28"/>
      <c r="G50" s="28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33">
        <f t="shared" si="1"/>
        <v>0</v>
      </c>
      <c r="W50" s="27"/>
      <c r="X50" s="27"/>
      <c r="Y50" s="27"/>
      <c r="Z50" s="27"/>
      <c r="AA50" s="27"/>
    </row>
    <row r="51">
      <c r="A51" s="28"/>
      <c r="B51" s="28"/>
      <c r="C51" s="28"/>
      <c r="D51" s="28"/>
      <c r="E51" s="28"/>
      <c r="F51" s="28"/>
      <c r="G51" s="28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33">
        <f t="shared" si="1"/>
        <v>0</v>
      </c>
      <c r="W51" s="27"/>
      <c r="X51" s="27"/>
      <c r="Y51" s="27"/>
      <c r="Z51" s="27"/>
      <c r="AA51" s="27"/>
    </row>
    <row r="52">
      <c r="A52" s="28"/>
      <c r="B52" s="28"/>
      <c r="C52" s="28"/>
      <c r="D52" s="28"/>
      <c r="E52" s="28"/>
      <c r="F52" s="28"/>
      <c r="G52" s="28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33">
        <f t="shared" si="1"/>
        <v>0</v>
      </c>
      <c r="W52" s="27"/>
      <c r="X52" s="27"/>
      <c r="Y52" s="27"/>
      <c r="Z52" s="27"/>
      <c r="AA52" s="27"/>
    </row>
    <row r="53">
      <c r="A53" s="28"/>
      <c r="B53" s="28"/>
      <c r="C53" s="28"/>
      <c r="D53" s="28"/>
      <c r="E53" s="28"/>
      <c r="F53" s="28"/>
      <c r="G53" s="28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33">
        <f t="shared" si="1"/>
        <v>0</v>
      </c>
      <c r="W53" s="27"/>
      <c r="X53" s="27"/>
      <c r="Y53" s="27"/>
      <c r="Z53" s="27"/>
      <c r="AA53" s="27"/>
    </row>
    <row r="54">
      <c r="A54" s="28"/>
      <c r="B54" s="28"/>
      <c r="C54" s="28"/>
      <c r="D54" s="28"/>
      <c r="E54" s="28"/>
      <c r="F54" s="28"/>
      <c r="G54" s="28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33">
        <f t="shared" si="1"/>
        <v>0</v>
      </c>
      <c r="W54" s="27"/>
      <c r="X54" s="27"/>
      <c r="Y54" s="27"/>
      <c r="Z54" s="27"/>
      <c r="AA54" s="27"/>
    </row>
    <row r="55">
      <c r="A55" s="28"/>
      <c r="B55" s="28"/>
      <c r="C55" s="28"/>
      <c r="D55" s="28"/>
      <c r="E55" s="28"/>
      <c r="F55" s="28"/>
      <c r="G55" s="28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33">
        <f t="shared" si="1"/>
        <v>0</v>
      </c>
      <c r="W55" s="27"/>
      <c r="X55" s="27"/>
      <c r="Y55" s="27"/>
      <c r="Z55" s="27"/>
      <c r="AA55" s="27"/>
    </row>
    <row r="56">
      <c r="A56" s="28"/>
      <c r="B56" s="28"/>
      <c r="C56" s="28"/>
      <c r="D56" s="28"/>
      <c r="E56" s="28"/>
      <c r="F56" s="28"/>
      <c r="G56" s="28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33">
        <f t="shared" si="1"/>
        <v>0</v>
      </c>
      <c r="W56" s="27"/>
      <c r="X56" s="27"/>
      <c r="Y56" s="27"/>
      <c r="Z56" s="27"/>
      <c r="AA56" s="27"/>
    </row>
    <row r="57">
      <c r="A57" s="28"/>
      <c r="B57" s="28"/>
      <c r="C57" s="28"/>
      <c r="D57" s="28"/>
      <c r="E57" s="28"/>
      <c r="F57" s="28"/>
      <c r="G57" s="28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33">
        <f t="shared" si="1"/>
        <v>0</v>
      </c>
      <c r="W57" s="27"/>
      <c r="X57" s="27"/>
      <c r="Y57" s="27"/>
      <c r="Z57" s="27"/>
      <c r="AA57" s="27"/>
    </row>
    <row r="58">
      <c r="A58" s="28"/>
      <c r="B58" s="28"/>
      <c r="C58" s="28"/>
      <c r="D58" s="28"/>
      <c r="E58" s="28"/>
      <c r="F58" s="28"/>
      <c r="G58" s="28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33">
        <f t="shared" si="1"/>
        <v>0</v>
      </c>
      <c r="W58" s="27"/>
      <c r="X58" s="27"/>
      <c r="Y58" s="27"/>
      <c r="Z58" s="27"/>
      <c r="AA58" s="27"/>
    </row>
    <row r="59">
      <c r="A59" s="28"/>
      <c r="B59" s="28"/>
      <c r="C59" s="28"/>
      <c r="D59" s="28"/>
      <c r="E59" s="28"/>
      <c r="F59" s="28"/>
      <c r="G59" s="28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33">
        <f t="shared" si="1"/>
        <v>0</v>
      </c>
      <c r="W59" s="27"/>
      <c r="X59" s="27"/>
      <c r="Y59" s="27"/>
      <c r="Z59" s="27"/>
      <c r="AA59" s="27"/>
    </row>
    <row r="60">
      <c r="A60" s="28"/>
      <c r="B60" s="28"/>
      <c r="C60" s="28"/>
      <c r="D60" s="28"/>
      <c r="E60" s="28"/>
      <c r="F60" s="28"/>
      <c r="G60" s="28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33">
        <f t="shared" si="1"/>
        <v>0</v>
      </c>
      <c r="W60" s="27"/>
      <c r="X60" s="27"/>
      <c r="Y60" s="27"/>
      <c r="Z60" s="27"/>
      <c r="AA60" s="27"/>
    </row>
    <row r="61">
      <c r="A61" s="28"/>
      <c r="B61" s="28"/>
      <c r="C61" s="28"/>
      <c r="D61" s="28"/>
      <c r="E61" s="28"/>
      <c r="F61" s="28"/>
      <c r="G61" s="28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33">
        <f t="shared" si="1"/>
        <v>0</v>
      </c>
      <c r="W61" s="27"/>
      <c r="X61" s="27"/>
      <c r="Y61" s="27"/>
      <c r="Z61" s="27"/>
      <c r="AA61" s="27"/>
    </row>
    <row r="62">
      <c r="A62" s="28"/>
      <c r="B62" s="28"/>
      <c r="C62" s="28"/>
      <c r="D62" s="28"/>
      <c r="E62" s="28"/>
      <c r="F62" s="28"/>
      <c r="G62" s="28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33">
        <f t="shared" si="1"/>
        <v>0</v>
      </c>
      <c r="W62" s="27"/>
      <c r="X62" s="27"/>
      <c r="Y62" s="27"/>
      <c r="Z62" s="27"/>
      <c r="AA62" s="27"/>
    </row>
    <row r="63">
      <c r="A63" s="28"/>
      <c r="B63" s="28"/>
      <c r="C63" s="28"/>
      <c r="D63" s="28"/>
      <c r="E63" s="28"/>
      <c r="F63" s="28"/>
      <c r="G63" s="28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33">
        <f t="shared" si="1"/>
        <v>0</v>
      </c>
      <c r="W63" s="27"/>
      <c r="X63" s="27"/>
      <c r="Y63" s="27"/>
      <c r="Z63" s="27"/>
      <c r="AA63" s="27"/>
    </row>
    <row r="64">
      <c r="A64" s="28"/>
      <c r="B64" s="28"/>
      <c r="C64" s="28"/>
      <c r="D64" s="28"/>
      <c r="E64" s="28"/>
      <c r="F64" s="28"/>
      <c r="G64" s="28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33">
        <f t="shared" si="1"/>
        <v>0</v>
      </c>
      <c r="W64" s="27"/>
      <c r="X64" s="27"/>
      <c r="Y64" s="27"/>
      <c r="Z64" s="27"/>
      <c r="AA64" s="27"/>
    </row>
    <row r="65">
      <c r="A65" s="28"/>
      <c r="B65" s="28"/>
      <c r="C65" s="28"/>
      <c r="D65" s="28"/>
      <c r="E65" s="28"/>
      <c r="F65" s="28"/>
      <c r="G65" s="28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33">
        <f t="shared" si="1"/>
        <v>0</v>
      </c>
      <c r="W65" s="27"/>
      <c r="X65" s="27"/>
      <c r="Y65" s="27"/>
      <c r="Z65" s="27"/>
      <c r="AA65" s="27"/>
    </row>
    <row r="66">
      <c r="A66" s="28"/>
      <c r="B66" s="28"/>
      <c r="C66" s="28"/>
      <c r="D66" s="28"/>
      <c r="E66" s="28"/>
      <c r="F66" s="28"/>
      <c r="G66" s="28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33">
        <f t="shared" si="1"/>
        <v>0</v>
      </c>
      <c r="W66" s="27"/>
      <c r="X66" s="27"/>
      <c r="Y66" s="27"/>
      <c r="Z66" s="27"/>
      <c r="AA66" s="27"/>
    </row>
    <row r="67">
      <c r="A67" s="28"/>
      <c r="B67" s="28"/>
      <c r="C67" s="28"/>
      <c r="D67" s="28"/>
      <c r="E67" s="28"/>
      <c r="F67" s="28"/>
      <c r="G67" s="28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33">
        <f t="shared" si="1"/>
        <v>0</v>
      </c>
      <c r="W67" s="27"/>
      <c r="X67" s="27"/>
      <c r="Y67" s="27"/>
      <c r="Z67" s="27"/>
      <c r="AA67" s="27"/>
    </row>
    <row r="68">
      <c r="A68" s="28"/>
      <c r="B68" s="28"/>
      <c r="C68" s="28"/>
      <c r="D68" s="28"/>
      <c r="E68" s="28"/>
      <c r="F68" s="28"/>
      <c r="G68" s="28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33">
        <f t="shared" si="1"/>
        <v>0</v>
      </c>
      <c r="W68" s="27"/>
      <c r="X68" s="27"/>
      <c r="Y68" s="27"/>
      <c r="Z68" s="27"/>
      <c r="AA68" s="27"/>
    </row>
    <row r="69">
      <c r="A69" s="28"/>
      <c r="B69" s="28"/>
      <c r="C69" s="28"/>
      <c r="D69" s="28"/>
      <c r="E69" s="28"/>
      <c r="F69" s="28"/>
      <c r="G69" s="28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33">
        <f t="shared" si="1"/>
        <v>0</v>
      </c>
      <c r="W69" s="27"/>
      <c r="X69" s="27"/>
      <c r="Y69" s="27"/>
      <c r="Z69" s="27"/>
      <c r="AA69" s="27"/>
    </row>
    <row r="70">
      <c r="A70" s="28"/>
      <c r="B70" s="28"/>
      <c r="C70" s="28"/>
      <c r="D70" s="28"/>
      <c r="E70" s="28"/>
      <c r="F70" s="28"/>
      <c r="G70" s="28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33">
        <f t="shared" si="1"/>
        <v>0</v>
      </c>
      <c r="W70" s="27"/>
      <c r="X70" s="27"/>
      <c r="Y70" s="27"/>
      <c r="Z70" s="27"/>
      <c r="AA70" s="27"/>
    </row>
    <row r="71">
      <c r="A71" s="28"/>
      <c r="B71" s="28"/>
      <c r="C71" s="28"/>
      <c r="D71" s="28"/>
      <c r="E71" s="28"/>
      <c r="F71" s="28"/>
      <c r="G71" s="28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33">
        <f t="shared" si="1"/>
        <v>0</v>
      </c>
      <c r="W71" s="27"/>
      <c r="X71" s="27"/>
      <c r="Y71" s="27"/>
      <c r="Z71" s="27"/>
      <c r="AA71" s="27"/>
    </row>
    <row r="72">
      <c r="A72" s="28"/>
      <c r="B72" s="28"/>
      <c r="C72" s="28"/>
      <c r="D72" s="28"/>
      <c r="E72" s="28"/>
      <c r="F72" s="28"/>
      <c r="G72" s="28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33">
        <f t="shared" si="1"/>
        <v>0</v>
      </c>
      <c r="W72" s="27"/>
      <c r="X72" s="27"/>
      <c r="Y72" s="27"/>
      <c r="Z72" s="27"/>
      <c r="AA72" s="27"/>
    </row>
    <row r="73">
      <c r="A73" s="28"/>
      <c r="B73" s="28"/>
      <c r="C73" s="28"/>
      <c r="D73" s="28"/>
      <c r="E73" s="28"/>
      <c r="F73" s="28"/>
      <c r="G73" s="28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33">
        <f t="shared" si="1"/>
        <v>0</v>
      </c>
      <c r="W73" s="27"/>
      <c r="X73" s="27"/>
      <c r="Y73" s="27"/>
      <c r="Z73" s="27"/>
      <c r="AA73" s="27"/>
    </row>
    <row r="74">
      <c r="A74" s="28"/>
      <c r="B74" s="28"/>
      <c r="C74" s="28"/>
      <c r="D74" s="28"/>
      <c r="E74" s="28"/>
      <c r="F74" s="28"/>
      <c r="G74" s="28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33">
        <f t="shared" si="1"/>
        <v>0</v>
      </c>
      <c r="W74" s="27"/>
      <c r="X74" s="27"/>
      <c r="Y74" s="27"/>
      <c r="Z74" s="27"/>
      <c r="AA74" s="27"/>
    </row>
    <row r="75">
      <c r="A75" s="28"/>
      <c r="B75" s="28"/>
      <c r="C75" s="28"/>
      <c r="D75" s="28"/>
      <c r="E75" s="28"/>
      <c r="F75" s="28"/>
      <c r="G75" s="28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33">
        <f t="shared" si="1"/>
        <v>0</v>
      </c>
      <c r="W75" s="27"/>
      <c r="X75" s="27"/>
      <c r="Y75" s="27"/>
      <c r="Z75" s="27"/>
      <c r="AA75" s="27"/>
    </row>
    <row r="76">
      <c r="A76" s="28"/>
      <c r="B76" s="28"/>
      <c r="C76" s="28"/>
      <c r="D76" s="28"/>
      <c r="E76" s="28"/>
      <c r="F76" s="28"/>
      <c r="G76" s="28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33">
        <f t="shared" si="1"/>
        <v>0</v>
      </c>
      <c r="W76" s="27"/>
      <c r="X76" s="27"/>
      <c r="Y76" s="27"/>
      <c r="Z76" s="27"/>
      <c r="AA76" s="27"/>
    </row>
    <row r="77">
      <c r="A77" s="28"/>
      <c r="B77" s="28"/>
      <c r="C77" s="28"/>
      <c r="D77" s="28"/>
      <c r="E77" s="28"/>
      <c r="F77" s="28"/>
      <c r="G77" s="28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33">
        <f t="shared" si="1"/>
        <v>0</v>
      </c>
      <c r="W77" s="27"/>
      <c r="X77" s="27"/>
      <c r="Y77" s="27"/>
      <c r="Z77" s="27"/>
      <c r="AA77" s="27"/>
    </row>
    <row r="78">
      <c r="A78" s="28"/>
      <c r="B78" s="28"/>
      <c r="C78" s="28"/>
      <c r="D78" s="28"/>
      <c r="E78" s="28"/>
      <c r="F78" s="28"/>
      <c r="G78" s="28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33">
        <f t="shared" si="1"/>
        <v>0</v>
      </c>
      <c r="W78" s="27"/>
      <c r="X78" s="27"/>
      <c r="Y78" s="27"/>
      <c r="Z78" s="27"/>
      <c r="AA78" s="27"/>
    </row>
    <row r="79">
      <c r="A79" s="28"/>
      <c r="B79" s="28"/>
      <c r="C79" s="28"/>
      <c r="D79" s="28"/>
      <c r="E79" s="28"/>
      <c r="F79" s="28"/>
      <c r="G79" s="28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33">
        <f t="shared" si="1"/>
        <v>0</v>
      </c>
      <c r="W79" s="27"/>
      <c r="X79" s="27"/>
      <c r="Y79" s="27"/>
      <c r="Z79" s="27"/>
      <c r="AA79" s="27"/>
    </row>
    <row r="80">
      <c r="A80" s="28"/>
      <c r="B80" s="28"/>
      <c r="C80" s="28"/>
      <c r="D80" s="28"/>
      <c r="E80" s="28"/>
      <c r="F80" s="28"/>
      <c r="G80" s="28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33">
        <f t="shared" si="1"/>
        <v>0</v>
      </c>
      <c r="W80" s="27"/>
      <c r="X80" s="27"/>
      <c r="Y80" s="27"/>
      <c r="Z80" s="27"/>
      <c r="AA80" s="27"/>
    </row>
    <row r="81">
      <c r="A81" s="28"/>
      <c r="B81" s="28"/>
      <c r="C81" s="28"/>
      <c r="D81" s="28"/>
      <c r="E81" s="28"/>
      <c r="F81" s="28"/>
      <c r="G81" s="28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33">
        <f t="shared" si="1"/>
        <v>0</v>
      </c>
      <c r="W81" s="27"/>
      <c r="X81" s="27"/>
      <c r="Y81" s="27"/>
      <c r="Z81" s="27"/>
      <c r="AA81" s="27"/>
    </row>
    <row r="82">
      <c r="A82" s="28"/>
      <c r="B82" s="28"/>
      <c r="C82" s="28"/>
      <c r="D82" s="28"/>
      <c r="E82" s="28"/>
      <c r="F82" s="28"/>
      <c r="G82" s="28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33">
        <f t="shared" si="1"/>
        <v>0</v>
      </c>
      <c r="W82" s="27"/>
      <c r="X82" s="27"/>
      <c r="Y82" s="27"/>
      <c r="Z82" s="27"/>
      <c r="AA82" s="27"/>
    </row>
    <row r="83">
      <c r="A83" s="28"/>
      <c r="B83" s="28"/>
      <c r="C83" s="28"/>
      <c r="D83" s="28"/>
      <c r="E83" s="28"/>
      <c r="F83" s="28"/>
      <c r="G83" s="28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33">
        <f t="shared" si="1"/>
        <v>0</v>
      </c>
      <c r="W83" s="27"/>
      <c r="X83" s="27"/>
      <c r="Y83" s="27"/>
      <c r="Z83" s="27"/>
      <c r="AA83" s="27"/>
    </row>
    <row r="84">
      <c r="A84" s="28"/>
      <c r="B84" s="28"/>
      <c r="C84" s="28"/>
      <c r="D84" s="28"/>
      <c r="E84" s="28"/>
      <c r="F84" s="28"/>
      <c r="G84" s="28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33">
        <f t="shared" si="1"/>
        <v>0</v>
      </c>
      <c r="W84" s="27"/>
      <c r="X84" s="27"/>
      <c r="Y84" s="27"/>
      <c r="Z84" s="27"/>
      <c r="AA84" s="27"/>
    </row>
    <row r="85">
      <c r="A85" s="28"/>
      <c r="B85" s="28"/>
      <c r="C85" s="28"/>
      <c r="D85" s="28"/>
      <c r="E85" s="28"/>
      <c r="F85" s="28"/>
      <c r="G85" s="28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33">
        <f t="shared" si="1"/>
        <v>0</v>
      </c>
      <c r="W85" s="27"/>
      <c r="X85" s="27"/>
      <c r="Y85" s="27"/>
      <c r="Z85" s="27"/>
      <c r="AA85" s="27"/>
    </row>
    <row r="86">
      <c r="A86" s="28"/>
      <c r="B86" s="28"/>
      <c r="C86" s="28"/>
      <c r="D86" s="28"/>
      <c r="E86" s="28"/>
      <c r="F86" s="28"/>
      <c r="G86" s="28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33">
        <f t="shared" si="1"/>
        <v>0</v>
      </c>
      <c r="W86" s="27"/>
      <c r="X86" s="27"/>
      <c r="Y86" s="27"/>
      <c r="Z86" s="27"/>
      <c r="AA86" s="27"/>
    </row>
    <row r="87">
      <c r="A87" s="28"/>
      <c r="B87" s="28"/>
      <c r="C87" s="28"/>
      <c r="D87" s="28"/>
      <c r="E87" s="28"/>
      <c r="F87" s="28"/>
      <c r="G87" s="28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33">
        <f t="shared" si="1"/>
        <v>0</v>
      </c>
      <c r="W87" s="27"/>
      <c r="X87" s="27"/>
      <c r="Y87" s="27"/>
      <c r="Z87" s="27"/>
      <c r="AA87" s="27"/>
    </row>
    <row r="88">
      <c r="A88" s="28"/>
      <c r="B88" s="28"/>
      <c r="C88" s="28"/>
      <c r="D88" s="28"/>
      <c r="E88" s="28"/>
      <c r="F88" s="28"/>
      <c r="G88" s="28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33">
        <f t="shared" si="1"/>
        <v>0</v>
      </c>
      <c r="W88" s="27"/>
      <c r="X88" s="27"/>
      <c r="Y88" s="27"/>
      <c r="Z88" s="27"/>
      <c r="AA88" s="27"/>
    </row>
    <row r="89">
      <c r="A89" s="28"/>
      <c r="B89" s="28"/>
      <c r="C89" s="28"/>
      <c r="D89" s="28"/>
      <c r="E89" s="28"/>
      <c r="F89" s="28"/>
      <c r="G89" s="28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33">
        <f t="shared" si="1"/>
        <v>0</v>
      </c>
      <c r="W89" s="27"/>
      <c r="X89" s="27"/>
      <c r="Y89" s="27"/>
      <c r="Z89" s="27"/>
      <c r="AA89" s="27"/>
    </row>
    <row r="90">
      <c r="A90" s="28"/>
      <c r="B90" s="28"/>
      <c r="C90" s="28"/>
      <c r="D90" s="28"/>
      <c r="E90" s="28"/>
      <c r="F90" s="28"/>
      <c r="G90" s="28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33">
        <f t="shared" si="1"/>
        <v>0</v>
      </c>
      <c r="W90" s="27"/>
      <c r="X90" s="27"/>
      <c r="Y90" s="27"/>
      <c r="Z90" s="27"/>
      <c r="AA90" s="27"/>
    </row>
    <row r="91">
      <c r="A91" s="28"/>
      <c r="B91" s="28"/>
      <c r="C91" s="28"/>
      <c r="D91" s="28"/>
      <c r="E91" s="28"/>
      <c r="F91" s="28"/>
      <c r="G91" s="28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33">
        <f t="shared" si="1"/>
        <v>0</v>
      </c>
      <c r="W91" s="27"/>
      <c r="X91" s="27"/>
      <c r="Y91" s="27"/>
      <c r="Z91" s="27"/>
      <c r="AA91" s="27"/>
    </row>
    <row r="92">
      <c r="A92" s="28"/>
      <c r="B92" s="28"/>
      <c r="C92" s="28"/>
      <c r="D92" s="28"/>
      <c r="E92" s="28"/>
      <c r="F92" s="28"/>
      <c r="G92" s="28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33">
        <f t="shared" si="1"/>
        <v>0</v>
      </c>
      <c r="W92" s="27"/>
      <c r="X92" s="27"/>
      <c r="Y92" s="27"/>
      <c r="Z92" s="27"/>
      <c r="AA92" s="27"/>
    </row>
    <row r="93">
      <c r="A93" s="28"/>
      <c r="B93" s="28"/>
      <c r="C93" s="28"/>
      <c r="D93" s="28"/>
      <c r="E93" s="28"/>
      <c r="F93" s="28"/>
      <c r="G93" s="28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33">
        <f t="shared" si="1"/>
        <v>0</v>
      </c>
      <c r="W93" s="27"/>
      <c r="X93" s="27"/>
      <c r="Y93" s="27"/>
      <c r="Z93" s="27"/>
      <c r="AA93" s="27"/>
    </row>
    <row r="94">
      <c r="A94" s="28"/>
      <c r="B94" s="28"/>
      <c r="C94" s="28"/>
      <c r="D94" s="28"/>
      <c r="E94" s="28"/>
      <c r="F94" s="28"/>
      <c r="G94" s="28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33">
        <f t="shared" si="1"/>
        <v>0</v>
      </c>
      <c r="W94" s="27"/>
      <c r="X94" s="27"/>
      <c r="Y94" s="27"/>
      <c r="Z94" s="27"/>
      <c r="AA94" s="27"/>
    </row>
    <row r="95">
      <c r="A95" s="28"/>
      <c r="B95" s="28"/>
      <c r="C95" s="28"/>
      <c r="D95" s="28"/>
      <c r="E95" s="28"/>
      <c r="F95" s="28"/>
      <c r="G95" s="28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33">
        <f t="shared" si="1"/>
        <v>0</v>
      </c>
      <c r="W95" s="27"/>
      <c r="X95" s="27"/>
      <c r="Y95" s="27"/>
      <c r="Z95" s="27"/>
      <c r="AA95" s="27"/>
    </row>
    <row r="96">
      <c r="A96" s="28"/>
      <c r="B96" s="28"/>
      <c r="C96" s="28"/>
      <c r="D96" s="28"/>
      <c r="E96" s="28"/>
      <c r="F96" s="28"/>
      <c r="G96" s="28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33">
        <f t="shared" si="1"/>
        <v>0</v>
      </c>
      <c r="W96" s="27"/>
      <c r="X96" s="27"/>
      <c r="Y96" s="27"/>
      <c r="Z96" s="27"/>
      <c r="AA96" s="27"/>
    </row>
    <row r="97">
      <c r="A97" s="28"/>
      <c r="B97" s="28"/>
      <c r="C97" s="28"/>
      <c r="D97" s="28"/>
      <c r="E97" s="28"/>
      <c r="F97" s="28"/>
      <c r="G97" s="28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33">
        <f t="shared" si="1"/>
        <v>0</v>
      </c>
      <c r="W97" s="27"/>
      <c r="X97" s="27"/>
      <c r="Y97" s="27"/>
      <c r="Z97" s="27"/>
      <c r="AA97" s="27"/>
    </row>
    <row r="98">
      <c r="A98" s="28"/>
      <c r="B98" s="28"/>
      <c r="C98" s="28"/>
      <c r="D98" s="28"/>
      <c r="E98" s="28"/>
      <c r="F98" s="28"/>
      <c r="G98" s="28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33">
        <f t="shared" si="1"/>
        <v>0</v>
      </c>
      <c r="W98" s="27"/>
      <c r="X98" s="27"/>
      <c r="Y98" s="27"/>
      <c r="Z98" s="27"/>
      <c r="AA98" s="27"/>
    </row>
    <row r="99">
      <c r="A99" s="28"/>
      <c r="B99" s="28"/>
      <c r="C99" s="28"/>
      <c r="D99" s="28"/>
      <c r="E99" s="28"/>
      <c r="F99" s="28"/>
      <c r="G99" s="28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33">
        <f t="shared" si="1"/>
        <v>0</v>
      </c>
      <c r="W99" s="27"/>
      <c r="X99" s="27"/>
      <c r="Y99" s="27"/>
      <c r="Z99" s="27"/>
      <c r="AA99" s="27"/>
    </row>
    <row r="100">
      <c r="A100" s="28"/>
      <c r="B100" s="28"/>
      <c r="C100" s="28"/>
      <c r="D100" s="28"/>
      <c r="E100" s="28"/>
      <c r="F100" s="28"/>
      <c r="G100" s="28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33">
        <f t="shared" si="1"/>
        <v>0</v>
      </c>
      <c r="W100" s="27"/>
      <c r="X100" s="27"/>
      <c r="Y100" s="27"/>
      <c r="Z100" s="27"/>
      <c r="AA100" s="27"/>
    </row>
    <row r="101">
      <c r="A101" s="28"/>
      <c r="B101" s="28"/>
      <c r="C101" s="28"/>
      <c r="D101" s="28"/>
      <c r="E101" s="28"/>
      <c r="F101" s="28"/>
      <c r="G101" s="28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33">
        <f t="shared" si="1"/>
        <v>0</v>
      </c>
      <c r="W101" s="27"/>
      <c r="X101" s="27"/>
      <c r="Y101" s="27"/>
      <c r="Z101" s="27"/>
      <c r="AA101" s="27"/>
    </row>
    <row r="102">
      <c r="A102" s="28"/>
      <c r="B102" s="28"/>
      <c r="C102" s="28"/>
      <c r="D102" s="28"/>
      <c r="E102" s="28"/>
      <c r="F102" s="28"/>
      <c r="G102" s="28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33">
        <f t="shared" si="1"/>
        <v>0</v>
      </c>
      <c r="W102" s="27"/>
      <c r="X102" s="27"/>
      <c r="Y102" s="27"/>
      <c r="Z102" s="27"/>
      <c r="AA102" s="27"/>
    </row>
    <row r="103">
      <c r="A103" s="28"/>
      <c r="B103" s="28"/>
      <c r="C103" s="28"/>
      <c r="D103" s="28"/>
      <c r="E103" s="28"/>
      <c r="F103" s="28"/>
      <c r="G103" s="28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33">
        <f t="shared" si="1"/>
        <v>0</v>
      </c>
      <c r="W103" s="27"/>
      <c r="X103" s="27"/>
      <c r="Y103" s="27"/>
      <c r="Z103" s="27"/>
      <c r="AA103" s="27"/>
    </row>
    <row r="104">
      <c r="A104" s="28"/>
      <c r="B104" s="28"/>
      <c r="C104" s="28"/>
      <c r="D104" s="28"/>
      <c r="E104" s="28"/>
      <c r="F104" s="28"/>
      <c r="G104" s="28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33">
        <f t="shared" si="1"/>
        <v>0</v>
      </c>
      <c r="W104" s="27"/>
      <c r="X104" s="27"/>
      <c r="Y104" s="27"/>
      <c r="Z104" s="27"/>
      <c r="AA104" s="27"/>
    </row>
    <row r="105">
      <c r="A105" s="28"/>
      <c r="B105" s="28"/>
      <c r="C105" s="28"/>
      <c r="D105" s="28"/>
      <c r="E105" s="28"/>
      <c r="F105" s="28"/>
      <c r="G105" s="28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33">
        <f t="shared" si="1"/>
        <v>0</v>
      </c>
      <c r="W105" s="27"/>
      <c r="X105" s="27"/>
      <c r="Y105" s="27"/>
      <c r="Z105" s="27"/>
      <c r="AA105" s="27"/>
    </row>
    <row r="106">
      <c r="A106" s="28"/>
      <c r="B106" s="28"/>
      <c r="C106" s="28"/>
      <c r="D106" s="28"/>
      <c r="E106" s="28"/>
      <c r="F106" s="28"/>
      <c r="G106" s="28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33">
        <f t="shared" si="1"/>
        <v>0</v>
      </c>
      <c r="W106" s="27"/>
      <c r="X106" s="27"/>
      <c r="Y106" s="27"/>
      <c r="Z106" s="27"/>
      <c r="AA106" s="27"/>
    </row>
    <row r="107">
      <c r="A107" s="28"/>
      <c r="B107" s="28"/>
      <c r="C107" s="28"/>
      <c r="D107" s="28"/>
      <c r="E107" s="28"/>
      <c r="F107" s="28"/>
      <c r="G107" s="28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33">
        <f t="shared" si="1"/>
        <v>0</v>
      </c>
      <c r="W107" s="27"/>
      <c r="X107" s="27"/>
      <c r="Y107" s="27"/>
      <c r="Z107" s="27"/>
      <c r="AA107" s="27"/>
    </row>
    <row r="108">
      <c r="A108" s="28"/>
      <c r="B108" s="28"/>
      <c r="C108" s="28"/>
      <c r="D108" s="28"/>
      <c r="E108" s="28"/>
      <c r="F108" s="28"/>
      <c r="G108" s="28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33">
        <f t="shared" si="1"/>
        <v>0</v>
      </c>
      <c r="W108" s="27"/>
      <c r="X108" s="27"/>
      <c r="Y108" s="27"/>
      <c r="Z108" s="27"/>
      <c r="AA108" s="27"/>
    </row>
    <row r="109">
      <c r="A109" s="28"/>
      <c r="B109" s="28"/>
      <c r="C109" s="28"/>
      <c r="D109" s="28"/>
      <c r="E109" s="28"/>
      <c r="F109" s="28"/>
      <c r="G109" s="28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33">
        <f t="shared" si="1"/>
        <v>0</v>
      </c>
      <c r="W109" s="27"/>
      <c r="X109" s="27"/>
      <c r="Y109" s="27"/>
      <c r="Z109" s="27"/>
      <c r="AA109" s="27"/>
    </row>
    <row r="110">
      <c r="A110" s="28"/>
      <c r="B110" s="28"/>
      <c r="C110" s="28"/>
      <c r="D110" s="28"/>
      <c r="E110" s="28"/>
      <c r="F110" s="28"/>
      <c r="G110" s="28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33">
        <f t="shared" si="1"/>
        <v>0</v>
      </c>
      <c r="W110" s="27"/>
      <c r="X110" s="27"/>
      <c r="Y110" s="27"/>
      <c r="Z110" s="27"/>
      <c r="AA110" s="27"/>
    </row>
    <row r="111">
      <c r="A111" s="28"/>
      <c r="B111" s="28"/>
      <c r="C111" s="28"/>
      <c r="D111" s="28"/>
      <c r="E111" s="28"/>
      <c r="F111" s="28"/>
      <c r="G111" s="28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33">
        <f t="shared" si="1"/>
        <v>0</v>
      </c>
      <c r="W111" s="27"/>
      <c r="X111" s="27"/>
      <c r="Y111" s="27"/>
      <c r="Z111" s="27"/>
      <c r="AA111" s="27"/>
    </row>
    <row r="112">
      <c r="A112" s="28"/>
      <c r="B112" s="28"/>
      <c r="C112" s="28"/>
      <c r="D112" s="28"/>
      <c r="E112" s="28"/>
      <c r="F112" s="28"/>
      <c r="G112" s="28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33">
        <f t="shared" si="1"/>
        <v>0</v>
      </c>
      <c r="W112" s="27"/>
      <c r="X112" s="27"/>
      <c r="Y112" s="27"/>
      <c r="Z112" s="27"/>
      <c r="AA112" s="27"/>
    </row>
    <row r="113">
      <c r="A113" s="28"/>
      <c r="B113" s="28"/>
      <c r="C113" s="28"/>
      <c r="D113" s="28"/>
      <c r="E113" s="28"/>
      <c r="F113" s="28"/>
      <c r="G113" s="28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33">
        <f t="shared" si="1"/>
        <v>0</v>
      </c>
      <c r="W113" s="27"/>
      <c r="X113" s="27"/>
      <c r="Y113" s="27"/>
      <c r="Z113" s="27"/>
      <c r="AA113" s="27"/>
    </row>
    <row r="114">
      <c r="A114" s="28"/>
      <c r="B114" s="28"/>
      <c r="C114" s="28"/>
      <c r="D114" s="28"/>
      <c r="E114" s="28"/>
      <c r="F114" s="28"/>
      <c r="G114" s="28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33">
        <f t="shared" si="1"/>
        <v>0</v>
      </c>
      <c r="W114" s="27"/>
      <c r="X114" s="27"/>
      <c r="Y114" s="27"/>
      <c r="Z114" s="27"/>
      <c r="AA114" s="27"/>
    </row>
    <row r="115">
      <c r="A115" s="28"/>
      <c r="B115" s="28"/>
      <c r="C115" s="28"/>
      <c r="D115" s="28"/>
      <c r="E115" s="28"/>
      <c r="F115" s="28"/>
      <c r="G115" s="28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33">
        <f t="shared" si="1"/>
        <v>0</v>
      </c>
      <c r="W115" s="27"/>
      <c r="X115" s="27"/>
      <c r="Y115" s="27"/>
      <c r="Z115" s="27"/>
      <c r="AA115" s="27"/>
    </row>
    <row r="116">
      <c r="A116" s="28"/>
      <c r="B116" s="28"/>
      <c r="C116" s="28"/>
      <c r="D116" s="28"/>
      <c r="E116" s="28"/>
      <c r="F116" s="28"/>
      <c r="G116" s="28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33">
        <f t="shared" si="1"/>
        <v>0</v>
      </c>
      <c r="W116" s="27"/>
      <c r="X116" s="27"/>
      <c r="Y116" s="27"/>
      <c r="Z116" s="27"/>
      <c r="AA116" s="27"/>
    </row>
    <row r="117">
      <c r="A117" s="28"/>
      <c r="B117" s="28"/>
      <c r="C117" s="28"/>
      <c r="D117" s="28"/>
      <c r="E117" s="28"/>
      <c r="F117" s="28"/>
      <c r="G117" s="28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33">
        <f t="shared" si="1"/>
        <v>0</v>
      </c>
      <c r="W117" s="27"/>
      <c r="X117" s="27"/>
      <c r="Y117" s="27"/>
      <c r="Z117" s="27"/>
      <c r="AA117" s="27"/>
    </row>
    <row r="118">
      <c r="A118" s="28"/>
      <c r="B118" s="28"/>
      <c r="C118" s="28"/>
      <c r="D118" s="28"/>
      <c r="E118" s="28"/>
      <c r="F118" s="28"/>
      <c r="G118" s="28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33">
        <f t="shared" si="1"/>
        <v>0</v>
      </c>
      <c r="W118" s="27"/>
      <c r="X118" s="27"/>
      <c r="Y118" s="27"/>
      <c r="Z118" s="27"/>
      <c r="AA118" s="27"/>
    </row>
    <row r="119">
      <c r="A119" s="28"/>
      <c r="B119" s="28"/>
      <c r="C119" s="28"/>
      <c r="D119" s="28"/>
      <c r="E119" s="28"/>
      <c r="F119" s="28"/>
      <c r="G119" s="28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33">
        <f t="shared" si="1"/>
        <v>0</v>
      </c>
      <c r="W119" s="27"/>
      <c r="X119" s="27"/>
      <c r="Y119" s="27"/>
      <c r="Z119" s="27"/>
      <c r="AA119" s="27"/>
    </row>
    <row r="120">
      <c r="A120" s="28"/>
      <c r="B120" s="28"/>
      <c r="C120" s="28"/>
      <c r="D120" s="28"/>
      <c r="E120" s="28"/>
      <c r="F120" s="28"/>
      <c r="G120" s="28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33">
        <f t="shared" si="1"/>
        <v>0</v>
      </c>
      <c r="W120" s="27"/>
      <c r="X120" s="27"/>
      <c r="Y120" s="27"/>
      <c r="Z120" s="27"/>
      <c r="AA120" s="27"/>
    </row>
    <row r="121">
      <c r="A121" s="28"/>
      <c r="B121" s="28"/>
      <c r="C121" s="28"/>
      <c r="D121" s="28"/>
      <c r="E121" s="28"/>
      <c r="F121" s="28"/>
      <c r="G121" s="28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33">
        <f t="shared" si="1"/>
        <v>0</v>
      </c>
      <c r="W121" s="27"/>
      <c r="X121" s="27"/>
      <c r="Y121" s="27"/>
      <c r="Z121" s="27"/>
      <c r="AA121" s="27"/>
    </row>
    <row r="122">
      <c r="A122" s="28"/>
      <c r="B122" s="28"/>
      <c r="C122" s="28"/>
      <c r="D122" s="28"/>
      <c r="E122" s="28"/>
      <c r="F122" s="28"/>
      <c r="G122" s="28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33">
        <f t="shared" si="1"/>
        <v>0</v>
      </c>
      <c r="W122" s="27"/>
      <c r="X122" s="27"/>
      <c r="Y122" s="27"/>
      <c r="Z122" s="27"/>
      <c r="AA122" s="27"/>
    </row>
    <row r="123">
      <c r="A123" s="28"/>
      <c r="B123" s="28"/>
      <c r="C123" s="28"/>
      <c r="D123" s="28"/>
      <c r="E123" s="28"/>
      <c r="F123" s="28"/>
      <c r="G123" s="28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33">
        <f t="shared" si="1"/>
        <v>0</v>
      </c>
      <c r="W123" s="27"/>
      <c r="X123" s="27"/>
      <c r="Y123" s="27"/>
      <c r="Z123" s="27"/>
      <c r="AA123" s="27"/>
    </row>
    <row r="124">
      <c r="A124" s="28"/>
      <c r="B124" s="28"/>
      <c r="C124" s="28"/>
      <c r="D124" s="28"/>
      <c r="E124" s="28"/>
      <c r="F124" s="28"/>
      <c r="G124" s="28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33">
        <f t="shared" si="1"/>
        <v>0</v>
      </c>
      <c r="W124" s="27"/>
      <c r="X124" s="27"/>
      <c r="Y124" s="27"/>
      <c r="Z124" s="27"/>
      <c r="AA124" s="27"/>
    </row>
    <row r="125">
      <c r="A125" s="28"/>
      <c r="B125" s="28"/>
      <c r="C125" s="28"/>
      <c r="D125" s="28"/>
      <c r="E125" s="28"/>
      <c r="F125" s="28"/>
      <c r="G125" s="28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33">
        <f t="shared" si="1"/>
        <v>0</v>
      </c>
      <c r="W125" s="27"/>
      <c r="X125" s="27"/>
      <c r="Y125" s="27"/>
      <c r="Z125" s="27"/>
      <c r="AA125" s="27"/>
    </row>
    <row r="126">
      <c r="A126" s="28"/>
      <c r="B126" s="28"/>
      <c r="C126" s="28"/>
      <c r="D126" s="28"/>
      <c r="E126" s="28"/>
      <c r="F126" s="28"/>
      <c r="G126" s="28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33">
        <f t="shared" si="1"/>
        <v>0</v>
      </c>
      <c r="W126" s="27"/>
      <c r="X126" s="27"/>
      <c r="Y126" s="27"/>
      <c r="Z126" s="27"/>
      <c r="AA126" s="27"/>
    </row>
    <row r="127">
      <c r="A127" s="28"/>
      <c r="B127" s="28"/>
      <c r="C127" s="28"/>
      <c r="D127" s="28"/>
      <c r="E127" s="28"/>
      <c r="F127" s="28"/>
      <c r="G127" s="28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33">
        <f t="shared" si="1"/>
        <v>0</v>
      </c>
      <c r="W127" s="27"/>
      <c r="X127" s="27"/>
      <c r="Y127" s="27"/>
      <c r="Z127" s="27"/>
      <c r="AA127" s="27"/>
    </row>
    <row r="128">
      <c r="A128" s="28"/>
      <c r="B128" s="28"/>
      <c r="C128" s="28"/>
      <c r="D128" s="28"/>
      <c r="E128" s="28"/>
      <c r="F128" s="28"/>
      <c r="G128" s="28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33">
        <f t="shared" si="1"/>
        <v>0</v>
      </c>
      <c r="W128" s="27"/>
      <c r="X128" s="27"/>
      <c r="Y128" s="27"/>
      <c r="Z128" s="27"/>
      <c r="AA128" s="27"/>
    </row>
    <row r="129">
      <c r="A129" s="28"/>
      <c r="B129" s="28"/>
      <c r="C129" s="28"/>
      <c r="D129" s="28"/>
      <c r="E129" s="28"/>
      <c r="F129" s="28"/>
      <c r="G129" s="28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33">
        <f t="shared" si="1"/>
        <v>0</v>
      </c>
      <c r="W129" s="27"/>
      <c r="X129" s="27"/>
      <c r="Y129" s="27"/>
      <c r="Z129" s="27"/>
      <c r="AA129" s="27"/>
    </row>
    <row r="130">
      <c r="A130" s="28"/>
      <c r="B130" s="28"/>
      <c r="C130" s="28"/>
      <c r="D130" s="28"/>
      <c r="E130" s="28"/>
      <c r="F130" s="28"/>
      <c r="G130" s="28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33">
        <f t="shared" si="1"/>
        <v>0</v>
      </c>
      <c r="W130" s="27"/>
      <c r="X130" s="27"/>
      <c r="Y130" s="27"/>
      <c r="Z130" s="27"/>
      <c r="AA130" s="27"/>
    </row>
    <row r="131">
      <c r="A131" s="28"/>
      <c r="B131" s="28"/>
      <c r="C131" s="28"/>
      <c r="D131" s="28"/>
      <c r="E131" s="28"/>
      <c r="F131" s="28"/>
      <c r="G131" s="28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33">
        <f t="shared" si="1"/>
        <v>0</v>
      </c>
      <c r="W131" s="27"/>
      <c r="X131" s="27"/>
      <c r="Y131" s="27"/>
      <c r="Z131" s="27"/>
      <c r="AA131" s="27"/>
    </row>
    <row r="132">
      <c r="A132" s="28"/>
      <c r="B132" s="28"/>
      <c r="C132" s="28"/>
      <c r="D132" s="28"/>
      <c r="E132" s="28"/>
      <c r="F132" s="28"/>
      <c r="G132" s="28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33">
        <f t="shared" si="1"/>
        <v>0</v>
      </c>
      <c r="W132" s="27"/>
      <c r="X132" s="27"/>
      <c r="Y132" s="27"/>
      <c r="Z132" s="27"/>
      <c r="AA132" s="27"/>
    </row>
    <row r="133">
      <c r="A133" s="28"/>
      <c r="B133" s="28"/>
      <c r="C133" s="28"/>
      <c r="D133" s="28"/>
      <c r="E133" s="28"/>
      <c r="F133" s="28"/>
      <c r="G133" s="28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33">
        <f t="shared" si="1"/>
        <v>0</v>
      </c>
      <c r="W133" s="27"/>
      <c r="X133" s="27"/>
      <c r="Y133" s="27"/>
      <c r="Z133" s="27"/>
      <c r="AA133" s="27"/>
    </row>
    <row r="134">
      <c r="A134" s="28"/>
      <c r="B134" s="28"/>
      <c r="C134" s="28"/>
      <c r="D134" s="28"/>
      <c r="E134" s="28"/>
      <c r="F134" s="28"/>
      <c r="G134" s="28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33">
        <f t="shared" si="1"/>
        <v>0</v>
      </c>
      <c r="W134" s="27"/>
      <c r="X134" s="27"/>
      <c r="Y134" s="27"/>
      <c r="Z134" s="27"/>
      <c r="AA134" s="27"/>
    </row>
    <row r="135">
      <c r="A135" s="28"/>
      <c r="B135" s="28"/>
      <c r="C135" s="28"/>
      <c r="D135" s="28"/>
      <c r="E135" s="28"/>
      <c r="F135" s="28"/>
      <c r="G135" s="28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33">
        <f t="shared" si="1"/>
        <v>0</v>
      </c>
      <c r="W135" s="27"/>
      <c r="X135" s="27"/>
      <c r="Y135" s="27"/>
      <c r="Z135" s="27"/>
      <c r="AA135" s="27"/>
    </row>
    <row r="136">
      <c r="A136" s="28"/>
      <c r="B136" s="28"/>
      <c r="C136" s="28"/>
      <c r="D136" s="28"/>
      <c r="E136" s="28"/>
      <c r="F136" s="28"/>
      <c r="G136" s="28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33">
        <f t="shared" si="1"/>
        <v>0</v>
      </c>
      <c r="W136" s="27"/>
      <c r="X136" s="27"/>
      <c r="Y136" s="27"/>
      <c r="Z136" s="27"/>
      <c r="AA136" s="27"/>
    </row>
    <row r="137">
      <c r="A137" s="28"/>
      <c r="B137" s="28"/>
      <c r="C137" s="28"/>
      <c r="D137" s="28"/>
      <c r="E137" s="28"/>
      <c r="F137" s="28"/>
      <c r="G137" s="28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33">
        <f t="shared" si="1"/>
        <v>0</v>
      </c>
      <c r="W137" s="27"/>
      <c r="X137" s="27"/>
      <c r="Y137" s="27"/>
      <c r="Z137" s="27"/>
      <c r="AA137" s="27"/>
    </row>
    <row r="138">
      <c r="A138" s="28"/>
      <c r="B138" s="28"/>
      <c r="C138" s="28"/>
      <c r="D138" s="28"/>
      <c r="E138" s="28"/>
      <c r="F138" s="28"/>
      <c r="G138" s="28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33">
        <f t="shared" si="1"/>
        <v>0</v>
      </c>
      <c r="W138" s="27"/>
      <c r="X138" s="27"/>
      <c r="Y138" s="27"/>
      <c r="Z138" s="27"/>
      <c r="AA138" s="27"/>
    </row>
    <row r="139">
      <c r="A139" s="28"/>
      <c r="B139" s="28"/>
      <c r="C139" s="28"/>
      <c r="D139" s="28"/>
      <c r="E139" s="28"/>
      <c r="F139" s="28"/>
      <c r="G139" s="28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33">
        <f t="shared" si="1"/>
        <v>0</v>
      </c>
      <c r="W139" s="27"/>
      <c r="X139" s="27"/>
      <c r="Y139" s="27"/>
      <c r="Z139" s="27"/>
      <c r="AA139" s="27"/>
    </row>
    <row r="140">
      <c r="A140" s="28"/>
      <c r="B140" s="28"/>
      <c r="C140" s="28"/>
      <c r="D140" s="28"/>
      <c r="E140" s="28"/>
      <c r="F140" s="28"/>
      <c r="G140" s="28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33">
        <f t="shared" si="1"/>
        <v>0</v>
      </c>
      <c r="W140" s="27"/>
      <c r="X140" s="27"/>
      <c r="Y140" s="27"/>
      <c r="Z140" s="27"/>
      <c r="AA140" s="27"/>
    </row>
    <row r="141">
      <c r="A141" s="28"/>
      <c r="B141" s="28"/>
      <c r="C141" s="28"/>
      <c r="D141" s="28"/>
      <c r="E141" s="28"/>
      <c r="F141" s="28"/>
      <c r="G141" s="28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33">
        <f t="shared" si="1"/>
        <v>0</v>
      </c>
      <c r="W141" s="27"/>
      <c r="X141" s="27"/>
      <c r="Y141" s="27"/>
      <c r="Z141" s="27"/>
      <c r="AA141" s="27"/>
    </row>
    <row r="142">
      <c r="A142" s="28"/>
      <c r="B142" s="28"/>
      <c r="C142" s="28"/>
      <c r="D142" s="28"/>
      <c r="E142" s="28"/>
      <c r="F142" s="28"/>
      <c r="G142" s="28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33">
        <f t="shared" si="1"/>
        <v>0</v>
      </c>
      <c r="W142" s="27"/>
      <c r="X142" s="27"/>
      <c r="Y142" s="27"/>
      <c r="Z142" s="27"/>
      <c r="AA142" s="27"/>
    </row>
    <row r="143">
      <c r="A143" s="28"/>
      <c r="B143" s="28"/>
      <c r="C143" s="28"/>
      <c r="D143" s="28"/>
      <c r="E143" s="28"/>
      <c r="F143" s="28"/>
      <c r="G143" s="28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33">
        <f t="shared" si="1"/>
        <v>0</v>
      </c>
      <c r="W143" s="27"/>
      <c r="X143" s="27"/>
      <c r="Y143" s="27"/>
      <c r="Z143" s="27"/>
      <c r="AA143" s="27"/>
    </row>
    <row r="144">
      <c r="A144" s="28"/>
      <c r="B144" s="28"/>
      <c r="C144" s="28"/>
      <c r="D144" s="28"/>
      <c r="E144" s="28"/>
      <c r="F144" s="28"/>
      <c r="G144" s="28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33">
        <f t="shared" si="1"/>
        <v>0</v>
      </c>
      <c r="W144" s="27"/>
      <c r="X144" s="27"/>
      <c r="Y144" s="27"/>
      <c r="Z144" s="27"/>
      <c r="AA144" s="27"/>
    </row>
    <row r="145">
      <c r="A145" s="28"/>
      <c r="B145" s="28"/>
      <c r="C145" s="28"/>
      <c r="D145" s="28"/>
      <c r="E145" s="28"/>
      <c r="F145" s="28"/>
      <c r="G145" s="28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33">
        <f t="shared" si="1"/>
        <v>0</v>
      </c>
      <c r="W145" s="27"/>
      <c r="X145" s="27"/>
      <c r="Y145" s="27"/>
      <c r="Z145" s="27"/>
      <c r="AA145" s="27"/>
    </row>
    <row r="146">
      <c r="A146" s="28"/>
      <c r="B146" s="28"/>
      <c r="C146" s="28"/>
      <c r="D146" s="28"/>
      <c r="E146" s="28"/>
      <c r="F146" s="28"/>
      <c r="G146" s="28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33">
        <f t="shared" si="1"/>
        <v>0</v>
      </c>
      <c r="W146" s="27"/>
      <c r="X146" s="27"/>
      <c r="Y146" s="27"/>
      <c r="Z146" s="27"/>
      <c r="AA146" s="27"/>
    </row>
    <row r="147">
      <c r="A147" s="28"/>
      <c r="B147" s="28"/>
      <c r="C147" s="28"/>
      <c r="D147" s="28"/>
      <c r="E147" s="28"/>
      <c r="F147" s="28"/>
      <c r="G147" s="28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33">
        <f t="shared" si="1"/>
        <v>0</v>
      </c>
      <c r="W147" s="27"/>
      <c r="X147" s="27"/>
      <c r="Y147" s="27"/>
      <c r="Z147" s="27"/>
      <c r="AA147" s="27"/>
    </row>
    <row r="148">
      <c r="A148" s="28"/>
      <c r="B148" s="28"/>
      <c r="C148" s="28"/>
      <c r="D148" s="28"/>
      <c r="E148" s="28"/>
      <c r="F148" s="28"/>
      <c r="G148" s="28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33">
        <f t="shared" si="1"/>
        <v>0</v>
      </c>
      <c r="W148" s="27"/>
      <c r="X148" s="27"/>
      <c r="Y148" s="27"/>
      <c r="Z148" s="27"/>
      <c r="AA148" s="27"/>
    </row>
    <row r="149">
      <c r="A149" s="28"/>
      <c r="B149" s="28"/>
      <c r="C149" s="28"/>
      <c r="D149" s="28"/>
      <c r="E149" s="28"/>
      <c r="F149" s="28"/>
      <c r="G149" s="28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33">
        <f t="shared" si="1"/>
        <v>0</v>
      </c>
      <c r="W149" s="27"/>
      <c r="X149" s="27"/>
      <c r="Y149" s="27"/>
      <c r="Z149" s="27"/>
      <c r="AA149" s="27"/>
    </row>
    <row r="150">
      <c r="A150" s="28"/>
      <c r="B150" s="28"/>
      <c r="C150" s="28"/>
      <c r="D150" s="28"/>
      <c r="E150" s="28"/>
      <c r="F150" s="28"/>
      <c r="G150" s="28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33">
        <f t="shared" si="1"/>
        <v>0</v>
      </c>
      <c r="W150" s="27"/>
      <c r="X150" s="27"/>
      <c r="Y150" s="27"/>
      <c r="Z150" s="27"/>
      <c r="AA150" s="27"/>
    </row>
    <row r="151">
      <c r="A151" s="28"/>
      <c r="B151" s="28"/>
      <c r="C151" s="28"/>
      <c r="D151" s="28"/>
      <c r="E151" s="28"/>
      <c r="F151" s="28"/>
      <c r="G151" s="28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33">
        <f t="shared" si="1"/>
        <v>0</v>
      </c>
      <c r="W151" s="27"/>
      <c r="X151" s="27"/>
      <c r="Y151" s="27"/>
      <c r="Z151" s="27"/>
      <c r="AA151" s="27"/>
    </row>
    <row r="152">
      <c r="A152" s="28"/>
      <c r="B152" s="28"/>
      <c r="C152" s="28"/>
      <c r="D152" s="28"/>
      <c r="E152" s="28"/>
      <c r="F152" s="28"/>
      <c r="G152" s="28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33">
        <f t="shared" si="1"/>
        <v>0</v>
      </c>
      <c r="W152" s="27"/>
      <c r="X152" s="27"/>
      <c r="Y152" s="27"/>
      <c r="Z152" s="27"/>
      <c r="AA152" s="27"/>
    </row>
    <row r="153">
      <c r="A153" s="28"/>
      <c r="B153" s="28"/>
      <c r="C153" s="28"/>
      <c r="D153" s="28"/>
      <c r="E153" s="28"/>
      <c r="F153" s="28"/>
      <c r="G153" s="28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33">
        <f t="shared" si="1"/>
        <v>0</v>
      </c>
      <c r="W153" s="27"/>
      <c r="X153" s="27"/>
      <c r="Y153" s="27"/>
      <c r="Z153" s="27"/>
      <c r="AA153" s="27"/>
    </row>
    <row r="154">
      <c r="A154" s="28"/>
      <c r="B154" s="28"/>
      <c r="C154" s="28"/>
      <c r="D154" s="28"/>
      <c r="E154" s="28"/>
      <c r="F154" s="28"/>
      <c r="G154" s="28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33">
        <f t="shared" si="1"/>
        <v>0</v>
      </c>
      <c r="W154" s="27"/>
      <c r="X154" s="27"/>
      <c r="Y154" s="27"/>
      <c r="Z154" s="27"/>
      <c r="AA154" s="27"/>
    </row>
    <row r="155">
      <c r="A155" s="28"/>
      <c r="B155" s="28"/>
      <c r="C155" s="28"/>
      <c r="D155" s="28"/>
      <c r="E155" s="28"/>
      <c r="F155" s="28"/>
      <c r="G155" s="28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33">
        <f t="shared" si="1"/>
        <v>0</v>
      </c>
      <c r="W155" s="27"/>
      <c r="X155" s="27"/>
      <c r="Y155" s="27"/>
      <c r="Z155" s="27"/>
      <c r="AA155" s="27"/>
    </row>
    <row r="156">
      <c r="A156" s="28"/>
      <c r="B156" s="28"/>
      <c r="C156" s="28"/>
      <c r="D156" s="28"/>
      <c r="E156" s="28"/>
      <c r="F156" s="28"/>
      <c r="G156" s="28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33">
        <f t="shared" si="1"/>
        <v>0</v>
      </c>
      <c r="W156" s="27"/>
      <c r="X156" s="27"/>
      <c r="Y156" s="27"/>
      <c r="Z156" s="27"/>
      <c r="AA156" s="27"/>
    </row>
    <row r="157">
      <c r="A157" s="28"/>
      <c r="B157" s="28"/>
      <c r="C157" s="28"/>
      <c r="D157" s="28"/>
      <c r="E157" s="28"/>
      <c r="F157" s="28"/>
      <c r="G157" s="28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33">
        <f t="shared" si="1"/>
        <v>0</v>
      </c>
      <c r="W157" s="27"/>
      <c r="X157" s="27"/>
      <c r="Y157" s="27"/>
      <c r="Z157" s="27"/>
      <c r="AA157" s="27"/>
    </row>
    <row r="158">
      <c r="A158" s="28"/>
      <c r="B158" s="28"/>
      <c r="C158" s="28"/>
      <c r="D158" s="28"/>
      <c r="E158" s="28"/>
      <c r="F158" s="28"/>
      <c r="G158" s="28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33">
        <f t="shared" si="1"/>
        <v>0</v>
      </c>
      <c r="W158" s="27"/>
      <c r="X158" s="27"/>
      <c r="Y158" s="27"/>
      <c r="Z158" s="27"/>
      <c r="AA158" s="27"/>
    </row>
    <row r="159">
      <c r="A159" s="28"/>
      <c r="B159" s="28"/>
      <c r="C159" s="28"/>
      <c r="D159" s="28"/>
      <c r="E159" s="28"/>
      <c r="F159" s="28"/>
      <c r="G159" s="28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33">
        <f t="shared" si="1"/>
        <v>0</v>
      </c>
      <c r="W159" s="27"/>
      <c r="X159" s="27"/>
      <c r="Y159" s="27"/>
      <c r="Z159" s="27"/>
      <c r="AA159" s="27"/>
    </row>
    <row r="160">
      <c r="A160" s="28"/>
      <c r="B160" s="28"/>
      <c r="C160" s="28"/>
      <c r="D160" s="28"/>
      <c r="E160" s="28"/>
      <c r="F160" s="28"/>
      <c r="G160" s="28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33">
        <f t="shared" si="1"/>
        <v>0</v>
      </c>
      <c r="W160" s="27"/>
      <c r="X160" s="27"/>
      <c r="Y160" s="27"/>
      <c r="Z160" s="27"/>
      <c r="AA160" s="27"/>
    </row>
    <row r="161">
      <c r="A161" s="28"/>
      <c r="B161" s="28"/>
      <c r="C161" s="28"/>
      <c r="D161" s="28"/>
      <c r="E161" s="28"/>
      <c r="F161" s="28"/>
      <c r="G161" s="28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33">
        <f t="shared" si="1"/>
        <v>0</v>
      </c>
      <c r="W161" s="27"/>
      <c r="X161" s="27"/>
      <c r="Y161" s="27"/>
      <c r="Z161" s="27"/>
      <c r="AA161" s="27"/>
    </row>
    <row r="162">
      <c r="A162" s="28"/>
      <c r="B162" s="28"/>
      <c r="C162" s="28"/>
      <c r="D162" s="28"/>
      <c r="E162" s="28"/>
      <c r="F162" s="28"/>
      <c r="G162" s="28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33">
        <f t="shared" si="1"/>
        <v>0</v>
      </c>
      <c r="W162" s="27"/>
      <c r="X162" s="27"/>
      <c r="Y162" s="27"/>
      <c r="Z162" s="27"/>
      <c r="AA162" s="27"/>
    </row>
    <row r="163">
      <c r="A163" s="28"/>
      <c r="B163" s="28"/>
      <c r="C163" s="28"/>
      <c r="D163" s="28"/>
      <c r="E163" s="28"/>
      <c r="F163" s="28"/>
      <c r="G163" s="28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33">
        <f t="shared" si="1"/>
        <v>0</v>
      </c>
      <c r="W163" s="27"/>
      <c r="X163" s="27"/>
      <c r="Y163" s="27"/>
      <c r="Z163" s="27"/>
      <c r="AA163" s="27"/>
    </row>
    <row r="164">
      <c r="A164" s="28"/>
      <c r="B164" s="28"/>
      <c r="C164" s="28"/>
      <c r="D164" s="28"/>
      <c r="E164" s="28"/>
      <c r="F164" s="28"/>
      <c r="G164" s="28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33">
        <f t="shared" si="1"/>
        <v>0</v>
      </c>
      <c r="W164" s="27"/>
      <c r="X164" s="27"/>
      <c r="Y164" s="27"/>
      <c r="Z164" s="27"/>
      <c r="AA164" s="27"/>
    </row>
    <row r="165">
      <c r="A165" s="28"/>
      <c r="B165" s="28"/>
      <c r="C165" s="28"/>
      <c r="D165" s="28"/>
      <c r="E165" s="28"/>
      <c r="F165" s="28"/>
      <c r="G165" s="28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33">
        <f t="shared" si="1"/>
        <v>0</v>
      </c>
      <c r="W165" s="27"/>
      <c r="X165" s="27"/>
      <c r="Y165" s="27"/>
      <c r="Z165" s="27"/>
      <c r="AA165" s="27"/>
    </row>
    <row r="166">
      <c r="A166" s="28"/>
      <c r="B166" s="28"/>
      <c r="C166" s="28"/>
      <c r="D166" s="28"/>
      <c r="E166" s="28"/>
      <c r="F166" s="28"/>
      <c r="G166" s="28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33">
        <f t="shared" si="1"/>
        <v>0</v>
      </c>
      <c r="W166" s="27"/>
      <c r="X166" s="27"/>
      <c r="Y166" s="27"/>
      <c r="Z166" s="27"/>
      <c r="AA166" s="27"/>
    </row>
    <row r="167">
      <c r="A167" s="28"/>
      <c r="B167" s="28"/>
      <c r="C167" s="28"/>
      <c r="D167" s="28"/>
      <c r="E167" s="28"/>
      <c r="F167" s="28"/>
      <c r="G167" s="28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33">
        <f t="shared" si="1"/>
        <v>0</v>
      </c>
      <c r="W167" s="27"/>
      <c r="X167" s="27"/>
      <c r="Y167" s="27"/>
      <c r="Z167" s="27"/>
      <c r="AA167" s="27"/>
    </row>
    <row r="168">
      <c r="A168" s="28"/>
      <c r="B168" s="28"/>
      <c r="C168" s="28"/>
      <c r="D168" s="28"/>
      <c r="E168" s="28"/>
      <c r="F168" s="28"/>
      <c r="G168" s="28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33">
        <f t="shared" si="1"/>
        <v>0</v>
      </c>
      <c r="W168" s="27"/>
      <c r="X168" s="27"/>
      <c r="Y168" s="27"/>
      <c r="Z168" s="27"/>
      <c r="AA168" s="27"/>
    </row>
    <row r="169">
      <c r="A169" s="28"/>
      <c r="B169" s="28"/>
      <c r="C169" s="28"/>
      <c r="D169" s="28"/>
      <c r="E169" s="28"/>
      <c r="F169" s="28"/>
      <c r="G169" s="28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33">
        <f t="shared" si="1"/>
        <v>0</v>
      </c>
      <c r="W169" s="27"/>
      <c r="X169" s="27"/>
      <c r="Y169" s="27"/>
      <c r="Z169" s="27"/>
      <c r="AA169" s="27"/>
    </row>
    <row r="170">
      <c r="A170" s="28"/>
      <c r="B170" s="28"/>
      <c r="C170" s="28"/>
      <c r="D170" s="28"/>
      <c r="E170" s="28"/>
      <c r="F170" s="28"/>
      <c r="G170" s="28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33">
        <f t="shared" si="1"/>
        <v>0</v>
      </c>
      <c r="W170" s="27"/>
      <c r="X170" s="27"/>
      <c r="Y170" s="27"/>
      <c r="Z170" s="27"/>
      <c r="AA170" s="27"/>
    </row>
    <row r="171">
      <c r="A171" s="28"/>
      <c r="B171" s="28"/>
      <c r="C171" s="28"/>
      <c r="D171" s="28"/>
      <c r="E171" s="28"/>
      <c r="F171" s="28"/>
      <c r="G171" s="28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33">
        <f t="shared" si="1"/>
        <v>0</v>
      </c>
      <c r="W171" s="27"/>
      <c r="X171" s="27"/>
      <c r="Y171" s="27"/>
      <c r="Z171" s="27"/>
      <c r="AA171" s="27"/>
    </row>
    <row r="172">
      <c r="A172" s="28"/>
      <c r="B172" s="28"/>
      <c r="C172" s="28"/>
      <c r="D172" s="28"/>
      <c r="E172" s="28"/>
      <c r="F172" s="28"/>
      <c r="G172" s="28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33">
        <f t="shared" si="1"/>
        <v>0</v>
      </c>
      <c r="W172" s="27"/>
      <c r="X172" s="27"/>
      <c r="Y172" s="27"/>
      <c r="Z172" s="27"/>
      <c r="AA172" s="27"/>
    </row>
    <row r="173">
      <c r="A173" s="28"/>
      <c r="B173" s="28"/>
      <c r="C173" s="28"/>
      <c r="D173" s="28"/>
      <c r="E173" s="28"/>
      <c r="F173" s="28"/>
      <c r="G173" s="28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33">
        <f t="shared" si="1"/>
        <v>0</v>
      </c>
      <c r="W173" s="27"/>
      <c r="X173" s="27"/>
      <c r="Y173" s="27"/>
      <c r="Z173" s="27"/>
      <c r="AA173" s="27"/>
    </row>
    <row r="174">
      <c r="A174" s="28"/>
      <c r="B174" s="28"/>
      <c r="C174" s="28"/>
      <c r="D174" s="28"/>
      <c r="E174" s="28"/>
      <c r="F174" s="28"/>
      <c r="G174" s="28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33">
        <f t="shared" si="1"/>
        <v>0</v>
      </c>
      <c r="W174" s="27"/>
      <c r="X174" s="27"/>
      <c r="Y174" s="27"/>
      <c r="Z174" s="27"/>
      <c r="AA174" s="27"/>
    </row>
    <row r="175">
      <c r="A175" s="28"/>
      <c r="B175" s="28"/>
      <c r="C175" s="28"/>
      <c r="D175" s="28"/>
      <c r="E175" s="28"/>
      <c r="F175" s="28"/>
      <c r="G175" s="28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33">
        <f t="shared" si="1"/>
        <v>0</v>
      </c>
      <c r="W175" s="27"/>
      <c r="X175" s="27"/>
      <c r="Y175" s="27"/>
      <c r="Z175" s="27"/>
      <c r="AA175" s="27"/>
    </row>
    <row r="176">
      <c r="A176" s="28"/>
      <c r="B176" s="28"/>
      <c r="C176" s="28"/>
      <c r="D176" s="28"/>
      <c r="E176" s="28"/>
      <c r="F176" s="28"/>
      <c r="G176" s="28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33">
        <f t="shared" si="1"/>
        <v>0</v>
      </c>
      <c r="W176" s="27"/>
      <c r="X176" s="27"/>
      <c r="Y176" s="27"/>
      <c r="Z176" s="27"/>
      <c r="AA176" s="27"/>
    </row>
    <row r="177">
      <c r="A177" s="28"/>
      <c r="B177" s="28"/>
      <c r="C177" s="28"/>
      <c r="D177" s="28"/>
      <c r="E177" s="28"/>
      <c r="F177" s="28"/>
      <c r="G177" s="28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33">
        <f t="shared" si="1"/>
        <v>0</v>
      </c>
      <c r="W177" s="27"/>
      <c r="X177" s="27"/>
      <c r="Y177" s="27"/>
      <c r="Z177" s="27"/>
      <c r="AA177" s="27"/>
    </row>
    <row r="178">
      <c r="A178" s="28"/>
      <c r="B178" s="28"/>
      <c r="C178" s="28"/>
      <c r="D178" s="28"/>
      <c r="E178" s="28"/>
      <c r="F178" s="28"/>
      <c r="G178" s="28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33">
        <f t="shared" si="1"/>
        <v>0</v>
      </c>
      <c r="W178" s="27"/>
      <c r="X178" s="27"/>
      <c r="Y178" s="27"/>
      <c r="Z178" s="27"/>
      <c r="AA178" s="27"/>
    </row>
    <row r="179">
      <c r="A179" s="28"/>
      <c r="B179" s="28"/>
      <c r="C179" s="28"/>
      <c r="D179" s="28"/>
      <c r="E179" s="28"/>
      <c r="F179" s="28"/>
      <c r="G179" s="28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33">
        <f t="shared" si="1"/>
        <v>0</v>
      </c>
      <c r="W179" s="27"/>
      <c r="X179" s="27"/>
      <c r="Y179" s="27"/>
      <c r="Z179" s="27"/>
      <c r="AA179" s="27"/>
    </row>
    <row r="180">
      <c r="A180" s="28"/>
      <c r="B180" s="28"/>
      <c r="C180" s="28"/>
      <c r="D180" s="28"/>
      <c r="E180" s="28"/>
      <c r="F180" s="28"/>
      <c r="G180" s="28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33">
        <f t="shared" si="1"/>
        <v>0</v>
      </c>
      <c r="W180" s="27"/>
      <c r="X180" s="27"/>
      <c r="Y180" s="27"/>
      <c r="Z180" s="27"/>
      <c r="AA180" s="27"/>
    </row>
    <row r="181">
      <c r="A181" s="28"/>
      <c r="B181" s="28"/>
      <c r="C181" s="28"/>
      <c r="D181" s="28"/>
      <c r="E181" s="28"/>
      <c r="F181" s="28"/>
      <c r="G181" s="28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33">
        <f t="shared" si="1"/>
        <v>0</v>
      </c>
      <c r="W181" s="27"/>
      <c r="X181" s="27"/>
      <c r="Y181" s="27"/>
      <c r="Z181" s="27"/>
      <c r="AA181" s="27"/>
    </row>
    <row r="182">
      <c r="A182" s="28"/>
      <c r="B182" s="28"/>
      <c r="C182" s="28"/>
      <c r="D182" s="28"/>
      <c r="E182" s="28"/>
      <c r="F182" s="28"/>
      <c r="G182" s="28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33">
        <f t="shared" si="1"/>
        <v>0</v>
      </c>
      <c r="W182" s="27"/>
      <c r="X182" s="27"/>
      <c r="Y182" s="27"/>
      <c r="Z182" s="27"/>
      <c r="AA182" s="27"/>
    </row>
    <row r="183">
      <c r="A183" s="28"/>
      <c r="B183" s="28"/>
      <c r="C183" s="28"/>
      <c r="D183" s="28"/>
      <c r="E183" s="28"/>
      <c r="F183" s="28"/>
      <c r="G183" s="28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33">
        <f t="shared" si="1"/>
        <v>0</v>
      </c>
      <c r="W183" s="27"/>
      <c r="X183" s="27"/>
      <c r="Y183" s="27"/>
      <c r="Z183" s="27"/>
      <c r="AA183" s="27"/>
    </row>
    <row r="184">
      <c r="A184" s="28"/>
      <c r="B184" s="28"/>
      <c r="C184" s="28"/>
      <c r="D184" s="28"/>
      <c r="E184" s="28"/>
      <c r="F184" s="28"/>
      <c r="G184" s="28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33">
        <f t="shared" si="1"/>
        <v>0</v>
      </c>
      <c r="W184" s="27"/>
      <c r="X184" s="27"/>
      <c r="Y184" s="27"/>
      <c r="Z184" s="27"/>
      <c r="AA184" s="27"/>
    </row>
    <row r="185">
      <c r="A185" s="28"/>
      <c r="B185" s="28"/>
      <c r="C185" s="28"/>
      <c r="D185" s="28"/>
      <c r="E185" s="28"/>
      <c r="F185" s="28"/>
      <c r="G185" s="28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33">
        <f t="shared" si="1"/>
        <v>0</v>
      </c>
      <c r="W185" s="27"/>
      <c r="X185" s="27"/>
      <c r="Y185" s="27"/>
      <c r="Z185" s="27"/>
      <c r="AA185" s="27"/>
    </row>
    <row r="186">
      <c r="A186" s="28"/>
      <c r="B186" s="28"/>
      <c r="C186" s="28"/>
      <c r="D186" s="28"/>
      <c r="E186" s="28"/>
      <c r="F186" s="28"/>
      <c r="G186" s="28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33">
        <f t="shared" si="1"/>
        <v>0</v>
      </c>
      <c r="W186" s="27"/>
      <c r="X186" s="27"/>
      <c r="Y186" s="27"/>
      <c r="Z186" s="27"/>
      <c r="AA186" s="27"/>
    </row>
    <row r="187">
      <c r="A187" s="28"/>
      <c r="B187" s="28"/>
      <c r="C187" s="28"/>
      <c r="D187" s="28"/>
      <c r="E187" s="28"/>
      <c r="F187" s="28"/>
      <c r="G187" s="28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33">
        <f t="shared" si="1"/>
        <v>0</v>
      </c>
      <c r="W187" s="27"/>
      <c r="X187" s="27"/>
      <c r="Y187" s="27"/>
      <c r="Z187" s="27"/>
      <c r="AA187" s="27"/>
    </row>
    <row r="188">
      <c r="A188" s="28"/>
      <c r="B188" s="28"/>
      <c r="C188" s="28"/>
      <c r="D188" s="28"/>
      <c r="E188" s="28"/>
      <c r="F188" s="28"/>
      <c r="G188" s="28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33">
        <f t="shared" si="1"/>
        <v>0</v>
      </c>
      <c r="W188" s="27"/>
      <c r="X188" s="27"/>
      <c r="Y188" s="27"/>
      <c r="Z188" s="27"/>
      <c r="AA188" s="27"/>
    </row>
    <row r="189">
      <c r="A189" s="28"/>
      <c r="B189" s="28"/>
      <c r="C189" s="28"/>
      <c r="D189" s="28"/>
      <c r="E189" s="28"/>
      <c r="F189" s="28"/>
      <c r="G189" s="28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33">
        <f t="shared" si="1"/>
        <v>0</v>
      </c>
      <c r="W189" s="27"/>
      <c r="X189" s="27"/>
      <c r="Y189" s="27"/>
      <c r="Z189" s="27"/>
      <c r="AA189" s="27"/>
    </row>
    <row r="190">
      <c r="A190" s="28"/>
      <c r="B190" s="28"/>
      <c r="C190" s="28"/>
      <c r="D190" s="28"/>
      <c r="E190" s="28"/>
      <c r="F190" s="28"/>
      <c r="G190" s="28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33">
        <f t="shared" si="1"/>
        <v>0</v>
      </c>
      <c r="W190" s="27"/>
      <c r="X190" s="27"/>
      <c r="Y190" s="27"/>
      <c r="Z190" s="27"/>
      <c r="AA190" s="27"/>
    </row>
    <row r="191">
      <c r="A191" s="28"/>
      <c r="B191" s="28"/>
      <c r="C191" s="28"/>
      <c r="D191" s="28"/>
      <c r="E191" s="28"/>
      <c r="F191" s="28"/>
      <c r="G191" s="28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33">
        <f t="shared" si="1"/>
        <v>0</v>
      </c>
      <c r="W191" s="27"/>
      <c r="X191" s="27"/>
      <c r="Y191" s="27"/>
      <c r="Z191" s="27"/>
      <c r="AA191" s="27"/>
    </row>
    <row r="192">
      <c r="A192" s="28"/>
      <c r="B192" s="28"/>
      <c r="C192" s="28"/>
      <c r="D192" s="28"/>
      <c r="E192" s="28"/>
      <c r="F192" s="28"/>
      <c r="G192" s="28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33">
        <f t="shared" si="1"/>
        <v>0</v>
      </c>
      <c r="W192" s="27"/>
      <c r="X192" s="27"/>
      <c r="Y192" s="27"/>
      <c r="Z192" s="27"/>
      <c r="AA192" s="27"/>
    </row>
    <row r="193">
      <c r="A193" s="28"/>
      <c r="B193" s="28"/>
      <c r="C193" s="28"/>
      <c r="D193" s="28"/>
      <c r="E193" s="28"/>
      <c r="F193" s="28"/>
      <c r="G193" s="28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33">
        <f t="shared" si="1"/>
        <v>0</v>
      </c>
      <c r="W193" s="27"/>
      <c r="X193" s="27"/>
      <c r="Y193" s="27"/>
      <c r="Z193" s="27"/>
      <c r="AA193" s="27"/>
    </row>
    <row r="194">
      <c r="A194" s="28"/>
      <c r="B194" s="28"/>
      <c r="C194" s="28"/>
      <c r="D194" s="28"/>
      <c r="E194" s="28"/>
      <c r="F194" s="28"/>
      <c r="G194" s="28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33">
        <f t="shared" si="1"/>
        <v>0</v>
      </c>
      <c r="W194" s="27"/>
      <c r="X194" s="27"/>
      <c r="Y194" s="27"/>
      <c r="Z194" s="27"/>
      <c r="AA194" s="27"/>
    </row>
    <row r="195">
      <c r="A195" s="28"/>
      <c r="B195" s="28"/>
      <c r="C195" s="28"/>
      <c r="D195" s="28"/>
      <c r="E195" s="28"/>
      <c r="F195" s="28"/>
      <c r="G195" s="28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33">
        <f t="shared" si="1"/>
        <v>0</v>
      </c>
      <c r="W195" s="27"/>
      <c r="X195" s="27"/>
      <c r="Y195" s="27"/>
      <c r="Z195" s="27"/>
      <c r="AA195" s="27"/>
    </row>
    <row r="196">
      <c r="A196" s="28"/>
      <c r="B196" s="28"/>
      <c r="C196" s="28"/>
      <c r="D196" s="28"/>
      <c r="E196" s="28"/>
      <c r="F196" s="28"/>
      <c r="G196" s="28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33">
        <f t="shared" si="1"/>
        <v>0</v>
      </c>
      <c r="W196" s="27"/>
      <c r="X196" s="27"/>
      <c r="Y196" s="27"/>
      <c r="Z196" s="27"/>
      <c r="AA196" s="27"/>
    </row>
    <row r="197">
      <c r="A197" s="28"/>
      <c r="B197" s="28"/>
      <c r="C197" s="28"/>
      <c r="D197" s="28"/>
      <c r="E197" s="28"/>
      <c r="F197" s="28"/>
      <c r="G197" s="28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33">
        <f t="shared" si="1"/>
        <v>0</v>
      </c>
      <c r="W197" s="27"/>
      <c r="X197" s="27"/>
      <c r="Y197" s="27"/>
      <c r="Z197" s="27"/>
      <c r="AA197" s="27"/>
    </row>
    <row r="198">
      <c r="A198" s="28"/>
      <c r="B198" s="28"/>
      <c r="C198" s="28"/>
      <c r="D198" s="28"/>
      <c r="E198" s="28"/>
      <c r="F198" s="28"/>
      <c r="G198" s="28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33">
        <f t="shared" si="1"/>
        <v>0</v>
      </c>
      <c r="W198" s="27"/>
      <c r="X198" s="27"/>
      <c r="Y198" s="27"/>
      <c r="Z198" s="27"/>
      <c r="AA198" s="27"/>
    </row>
    <row r="199">
      <c r="A199" s="28"/>
      <c r="B199" s="28"/>
      <c r="C199" s="28"/>
      <c r="D199" s="28"/>
      <c r="E199" s="28"/>
      <c r="F199" s="28"/>
      <c r="G199" s="28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33">
        <f t="shared" si="1"/>
        <v>0</v>
      </c>
      <c r="W199" s="27"/>
      <c r="X199" s="27"/>
      <c r="Y199" s="27"/>
      <c r="Z199" s="27"/>
      <c r="AA199" s="27"/>
    </row>
    <row r="200">
      <c r="A200" s="28"/>
      <c r="B200" s="28"/>
      <c r="C200" s="28"/>
      <c r="D200" s="28"/>
      <c r="E200" s="28"/>
      <c r="F200" s="28"/>
      <c r="G200" s="28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33">
        <f t="shared" si="1"/>
        <v>0</v>
      </c>
      <c r="W200" s="27"/>
      <c r="X200" s="27"/>
      <c r="Y200" s="27"/>
      <c r="Z200" s="27"/>
      <c r="AA200" s="27"/>
    </row>
    <row r="201">
      <c r="A201" s="28"/>
      <c r="B201" s="28"/>
      <c r="C201" s="28"/>
      <c r="D201" s="28"/>
      <c r="E201" s="28"/>
      <c r="F201" s="28"/>
      <c r="G201" s="28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33">
        <f t="shared" si="1"/>
        <v>0</v>
      </c>
      <c r="W201" s="27"/>
      <c r="X201" s="27"/>
      <c r="Y201" s="27"/>
      <c r="Z201" s="27"/>
      <c r="AA201" s="27"/>
    </row>
    <row r="202">
      <c r="A202" s="28"/>
      <c r="B202" s="28"/>
      <c r="C202" s="28"/>
      <c r="D202" s="28"/>
      <c r="E202" s="28"/>
      <c r="F202" s="28"/>
      <c r="G202" s="28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33">
        <f t="shared" si="1"/>
        <v>0</v>
      </c>
      <c r="W202" s="27"/>
      <c r="X202" s="27"/>
      <c r="Y202" s="27"/>
      <c r="Z202" s="27"/>
      <c r="AA202" s="27"/>
    </row>
    <row r="203">
      <c r="A203" s="28"/>
      <c r="B203" s="28"/>
      <c r="C203" s="28"/>
      <c r="D203" s="28"/>
      <c r="E203" s="28"/>
      <c r="F203" s="28"/>
      <c r="G203" s="28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33">
        <f t="shared" si="1"/>
        <v>0</v>
      </c>
      <c r="W203" s="27"/>
      <c r="X203" s="27"/>
      <c r="Y203" s="27"/>
      <c r="Z203" s="27"/>
      <c r="AA203" s="27"/>
    </row>
    <row r="204">
      <c r="A204" s="28"/>
      <c r="B204" s="28"/>
      <c r="C204" s="28"/>
      <c r="D204" s="28"/>
      <c r="E204" s="28"/>
      <c r="F204" s="28"/>
      <c r="G204" s="28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33">
        <f t="shared" si="1"/>
        <v>0</v>
      </c>
      <c r="W204" s="27"/>
      <c r="X204" s="27"/>
      <c r="Y204" s="27"/>
      <c r="Z204" s="27"/>
      <c r="AA204" s="27"/>
    </row>
    <row r="205">
      <c r="A205" s="28"/>
      <c r="B205" s="28"/>
      <c r="C205" s="28"/>
      <c r="D205" s="28"/>
      <c r="E205" s="28"/>
      <c r="F205" s="28"/>
      <c r="G205" s="28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33">
        <f t="shared" si="1"/>
        <v>0</v>
      </c>
      <c r="W205" s="27"/>
      <c r="X205" s="27"/>
      <c r="Y205" s="27"/>
      <c r="Z205" s="27"/>
      <c r="AA205" s="27"/>
    </row>
    <row r="206">
      <c r="A206" s="28"/>
      <c r="B206" s="28"/>
      <c r="C206" s="28"/>
      <c r="D206" s="28"/>
      <c r="E206" s="28"/>
      <c r="F206" s="28"/>
      <c r="G206" s="28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33">
        <f t="shared" si="1"/>
        <v>0</v>
      </c>
      <c r="W206" s="27"/>
      <c r="X206" s="27"/>
      <c r="Y206" s="27"/>
      <c r="Z206" s="27"/>
      <c r="AA206" s="27"/>
    </row>
    <row r="207">
      <c r="A207" s="28"/>
      <c r="B207" s="28"/>
      <c r="C207" s="28"/>
      <c r="D207" s="28"/>
      <c r="E207" s="28"/>
      <c r="F207" s="28"/>
      <c r="G207" s="28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33">
        <f t="shared" si="1"/>
        <v>0</v>
      </c>
      <c r="W207" s="27"/>
      <c r="X207" s="27"/>
      <c r="Y207" s="27"/>
      <c r="Z207" s="27"/>
      <c r="AA207" s="27"/>
    </row>
    <row r="208">
      <c r="A208" s="28"/>
      <c r="B208" s="28"/>
      <c r="C208" s="28"/>
      <c r="D208" s="28"/>
      <c r="E208" s="28"/>
      <c r="F208" s="28"/>
      <c r="G208" s="28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33">
        <f t="shared" si="1"/>
        <v>0</v>
      </c>
      <c r="W208" s="27"/>
      <c r="X208" s="27"/>
      <c r="Y208" s="27"/>
      <c r="Z208" s="27"/>
      <c r="AA208" s="27"/>
    </row>
    <row r="209">
      <c r="A209" s="28"/>
      <c r="B209" s="28"/>
      <c r="C209" s="28"/>
      <c r="D209" s="28"/>
      <c r="E209" s="28"/>
      <c r="F209" s="28"/>
      <c r="G209" s="28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33">
        <f t="shared" si="1"/>
        <v>0</v>
      </c>
      <c r="W209" s="27"/>
      <c r="X209" s="27"/>
      <c r="Y209" s="27"/>
      <c r="Z209" s="27"/>
      <c r="AA209" s="27"/>
    </row>
    <row r="210">
      <c r="A210" s="28"/>
      <c r="B210" s="28"/>
      <c r="C210" s="28"/>
      <c r="D210" s="28"/>
      <c r="E210" s="28"/>
      <c r="F210" s="28"/>
      <c r="G210" s="28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33">
        <f t="shared" si="1"/>
        <v>0</v>
      </c>
      <c r="W210" s="27"/>
      <c r="X210" s="27"/>
      <c r="Y210" s="27"/>
      <c r="Z210" s="27"/>
      <c r="AA210" s="27"/>
    </row>
    <row r="211">
      <c r="A211" s="28"/>
      <c r="B211" s="28"/>
      <c r="C211" s="28"/>
      <c r="D211" s="28"/>
      <c r="E211" s="28"/>
      <c r="F211" s="28"/>
      <c r="G211" s="28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33">
        <f t="shared" si="1"/>
        <v>0</v>
      </c>
      <c r="W211" s="27"/>
      <c r="X211" s="27"/>
      <c r="Y211" s="27"/>
      <c r="Z211" s="27"/>
      <c r="AA211" s="27"/>
    </row>
    <row r="212">
      <c r="A212" s="28"/>
      <c r="B212" s="28"/>
      <c r="C212" s="28"/>
      <c r="D212" s="28"/>
      <c r="E212" s="28"/>
      <c r="F212" s="28"/>
      <c r="G212" s="28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33">
        <f t="shared" si="1"/>
        <v>0</v>
      </c>
      <c r="W212" s="27"/>
      <c r="X212" s="27"/>
      <c r="Y212" s="27"/>
      <c r="Z212" s="27"/>
      <c r="AA212" s="27"/>
    </row>
    <row r="213">
      <c r="A213" s="28"/>
      <c r="B213" s="28"/>
      <c r="C213" s="28"/>
      <c r="D213" s="28"/>
      <c r="E213" s="28"/>
      <c r="F213" s="28"/>
      <c r="G213" s="28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33">
        <f t="shared" si="1"/>
        <v>0</v>
      </c>
      <c r="W213" s="27"/>
      <c r="X213" s="27"/>
      <c r="Y213" s="27"/>
      <c r="Z213" s="27"/>
      <c r="AA213" s="27"/>
    </row>
    <row r="214">
      <c r="A214" s="28"/>
      <c r="B214" s="28"/>
      <c r="C214" s="28"/>
      <c r="D214" s="28"/>
      <c r="E214" s="28"/>
      <c r="F214" s="28"/>
      <c r="G214" s="28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33">
        <f t="shared" si="1"/>
        <v>0</v>
      </c>
      <c r="W214" s="27"/>
      <c r="X214" s="27"/>
      <c r="Y214" s="27"/>
      <c r="Z214" s="27"/>
      <c r="AA214" s="27"/>
    </row>
    <row r="215">
      <c r="A215" s="28"/>
      <c r="B215" s="28"/>
      <c r="C215" s="28"/>
      <c r="D215" s="28"/>
      <c r="E215" s="28"/>
      <c r="F215" s="28"/>
      <c r="G215" s="28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33">
        <f t="shared" si="1"/>
        <v>0</v>
      </c>
      <c r="W215" s="27"/>
      <c r="X215" s="27"/>
      <c r="Y215" s="27"/>
      <c r="Z215" s="27"/>
      <c r="AA215" s="27"/>
    </row>
    <row r="216">
      <c r="A216" s="28"/>
      <c r="B216" s="28"/>
      <c r="C216" s="28"/>
      <c r="D216" s="28"/>
      <c r="E216" s="28"/>
      <c r="F216" s="28"/>
      <c r="G216" s="28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33">
        <f t="shared" si="1"/>
        <v>0</v>
      </c>
      <c r="W216" s="27"/>
      <c r="X216" s="27"/>
      <c r="Y216" s="27"/>
      <c r="Z216" s="27"/>
      <c r="AA216" s="27"/>
    </row>
    <row r="217">
      <c r="A217" s="28"/>
      <c r="B217" s="28"/>
      <c r="C217" s="28"/>
      <c r="D217" s="28"/>
      <c r="E217" s="28"/>
      <c r="F217" s="28"/>
      <c r="G217" s="28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33">
        <f t="shared" si="1"/>
        <v>0</v>
      </c>
      <c r="W217" s="27"/>
      <c r="X217" s="27"/>
      <c r="Y217" s="27"/>
      <c r="Z217" s="27"/>
      <c r="AA217" s="27"/>
    </row>
    <row r="218">
      <c r="A218" s="28"/>
      <c r="B218" s="28"/>
      <c r="C218" s="28"/>
      <c r="D218" s="28"/>
      <c r="E218" s="28"/>
      <c r="F218" s="28"/>
      <c r="G218" s="28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33">
        <f t="shared" si="1"/>
        <v>0</v>
      </c>
      <c r="W218" s="27"/>
      <c r="X218" s="27"/>
      <c r="Y218" s="27"/>
      <c r="Z218" s="27"/>
      <c r="AA218" s="27"/>
    </row>
    <row r="219">
      <c r="A219" s="28"/>
      <c r="B219" s="28"/>
      <c r="C219" s="28"/>
      <c r="D219" s="28"/>
      <c r="E219" s="28"/>
      <c r="F219" s="28"/>
      <c r="G219" s="28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33">
        <f t="shared" si="1"/>
        <v>0</v>
      </c>
      <c r="W219" s="27"/>
      <c r="X219" s="27"/>
      <c r="Y219" s="27"/>
      <c r="Z219" s="27"/>
      <c r="AA219" s="27"/>
    </row>
    <row r="220">
      <c r="A220" s="28"/>
      <c r="B220" s="28"/>
      <c r="C220" s="28"/>
      <c r="D220" s="28"/>
      <c r="E220" s="28"/>
      <c r="F220" s="28"/>
      <c r="G220" s="28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33">
        <f t="shared" si="1"/>
        <v>0</v>
      </c>
      <c r="W220" s="27"/>
      <c r="X220" s="27"/>
      <c r="Y220" s="27"/>
      <c r="Z220" s="27"/>
      <c r="AA220" s="27"/>
    </row>
    <row r="221">
      <c r="A221" s="28"/>
      <c r="B221" s="28"/>
      <c r="C221" s="28"/>
      <c r="D221" s="28"/>
      <c r="E221" s="28"/>
      <c r="F221" s="28"/>
      <c r="G221" s="28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33">
        <f t="shared" si="1"/>
        <v>0</v>
      </c>
      <c r="W221" s="27"/>
      <c r="X221" s="27"/>
      <c r="Y221" s="27"/>
      <c r="Z221" s="27"/>
      <c r="AA221" s="27"/>
    </row>
    <row r="222">
      <c r="A222" s="28"/>
      <c r="B222" s="28"/>
      <c r="C222" s="28"/>
      <c r="D222" s="28"/>
      <c r="E222" s="28"/>
      <c r="F222" s="28"/>
      <c r="G222" s="28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33">
        <f t="shared" si="1"/>
        <v>0</v>
      </c>
      <c r="W222" s="27"/>
      <c r="X222" s="27"/>
      <c r="Y222" s="27"/>
      <c r="Z222" s="27"/>
      <c r="AA222" s="27"/>
    </row>
    <row r="223">
      <c r="A223" s="28"/>
      <c r="B223" s="28"/>
      <c r="C223" s="28"/>
      <c r="D223" s="28"/>
      <c r="E223" s="28"/>
      <c r="F223" s="28"/>
      <c r="G223" s="28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33">
        <f t="shared" si="1"/>
        <v>0</v>
      </c>
      <c r="W223" s="27"/>
      <c r="X223" s="27"/>
      <c r="Y223" s="27"/>
      <c r="Z223" s="27"/>
      <c r="AA223" s="27"/>
    </row>
    <row r="224">
      <c r="A224" s="28"/>
      <c r="B224" s="28"/>
      <c r="C224" s="28"/>
      <c r="D224" s="28"/>
      <c r="E224" s="28"/>
      <c r="F224" s="28"/>
      <c r="G224" s="28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33">
        <f t="shared" si="1"/>
        <v>0</v>
      </c>
      <c r="W224" s="27"/>
      <c r="X224" s="27"/>
      <c r="Y224" s="27"/>
      <c r="Z224" s="27"/>
      <c r="AA224" s="27"/>
    </row>
    <row r="225">
      <c r="A225" s="28"/>
      <c r="B225" s="28"/>
      <c r="C225" s="28"/>
      <c r="D225" s="28"/>
      <c r="E225" s="28"/>
      <c r="F225" s="28"/>
      <c r="G225" s="28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33">
        <f t="shared" si="1"/>
        <v>0</v>
      </c>
      <c r="W225" s="27"/>
      <c r="X225" s="27"/>
      <c r="Y225" s="27"/>
      <c r="Z225" s="27"/>
      <c r="AA225" s="27"/>
    </row>
    <row r="226">
      <c r="A226" s="28"/>
      <c r="B226" s="28"/>
      <c r="C226" s="28"/>
      <c r="D226" s="28"/>
      <c r="E226" s="28"/>
      <c r="F226" s="28"/>
      <c r="G226" s="28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33">
        <f t="shared" si="1"/>
        <v>0</v>
      </c>
      <c r="W226" s="27"/>
      <c r="X226" s="27"/>
      <c r="Y226" s="27"/>
      <c r="Z226" s="27"/>
      <c r="AA226" s="27"/>
    </row>
    <row r="227">
      <c r="A227" s="28"/>
      <c r="B227" s="28"/>
      <c r="C227" s="28"/>
      <c r="D227" s="28"/>
      <c r="E227" s="28"/>
      <c r="F227" s="28"/>
      <c r="G227" s="28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33">
        <f t="shared" si="1"/>
        <v>0</v>
      </c>
      <c r="W227" s="27"/>
      <c r="X227" s="27"/>
      <c r="Y227" s="27"/>
      <c r="Z227" s="27"/>
      <c r="AA227" s="27"/>
    </row>
    <row r="228">
      <c r="A228" s="28"/>
      <c r="B228" s="28"/>
      <c r="C228" s="28"/>
      <c r="D228" s="28"/>
      <c r="E228" s="28"/>
      <c r="F228" s="28"/>
      <c r="G228" s="28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33">
        <f t="shared" si="1"/>
        <v>0</v>
      </c>
      <c r="W228" s="27"/>
      <c r="X228" s="27"/>
      <c r="Y228" s="27"/>
      <c r="Z228" s="27"/>
      <c r="AA228" s="27"/>
    </row>
    <row r="229">
      <c r="A229" s="28"/>
      <c r="B229" s="28"/>
      <c r="C229" s="28"/>
      <c r="D229" s="28"/>
      <c r="E229" s="28"/>
      <c r="F229" s="28"/>
      <c r="G229" s="28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33">
        <f t="shared" si="1"/>
        <v>0</v>
      </c>
      <c r="W229" s="27"/>
      <c r="X229" s="27"/>
      <c r="Y229" s="27"/>
      <c r="Z229" s="27"/>
      <c r="AA229" s="27"/>
    </row>
    <row r="230">
      <c r="A230" s="28"/>
      <c r="B230" s="28"/>
      <c r="C230" s="28"/>
      <c r="D230" s="28"/>
      <c r="E230" s="28"/>
      <c r="F230" s="28"/>
      <c r="G230" s="28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33">
        <f t="shared" si="1"/>
        <v>0</v>
      </c>
      <c r="W230" s="27"/>
      <c r="X230" s="27"/>
      <c r="Y230" s="27"/>
      <c r="Z230" s="27"/>
      <c r="AA230" s="27"/>
    </row>
    <row r="231">
      <c r="A231" s="28"/>
      <c r="B231" s="28"/>
      <c r="C231" s="28"/>
      <c r="D231" s="28"/>
      <c r="E231" s="28"/>
      <c r="F231" s="28"/>
      <c r="G231" s="28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33">
        <f t="shared" si="1"/>
        <v>0</v>
      </c>
      <c r="W231" s="27"/>
      <c r="X231" s="27"/>
      <c r="Y231" s="27"/>
      <c r="Z231" s="27"/>
      <c r="AA231" s="27"/>
    </row>
    <row r="232">
      <c r="A232" s="28"/>
      <c r="B232" s="28"/>
      <c r="C232" s="28"/>
      <c r="D232" s="28"/>
      <c r="E232" s="28"/>
      <c r="F232" s="28"/>
      <c r="G232" s="28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33">
        <f t="shared" si="1"/>
        <v>0</v>
      </c>
      <c r="W232" s="27"/>
      <c r="X232" s="27"/>
      <c r="Y232" s="27"/>
      <c r="Z232" s="27"/>
      <c r="AA232" s="27"/>
    </row>
    <row r="233">
      <c r="A233" s="28"/>
      <c r="B233" s="28"/>
      <c r="C233" s="28"/>
      <c r="D233" s="28"/>
      <c r="E233" s="28"/>
      <c r="F233" s="28"/>
      <c r="G233" s="28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33">
        <f t="shared" si="1"/>
        <v>0</v>
      </c>
      <c r="W233" s="27"/>
      <c r="X233" s="27"/>
      <c r="Y233" s="27"/>
      <c r="Z233" s="27"/>
      <c r="AA233" s="27"/>
    </row>
    <row r="234">
      <c r="A234" s="28"/>
      <c r="B234" s="28"/>
      <c r="C234" s="28"/>
      <c r="D234" s="28"/>
      <c r="E234" s="28"/>
      <c r="F234" s="28"/>
      <c r="G234" s="28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33">
        <f t="shared" si="1"/>
        <v>0</v>
      </c>
      <c r="W234" s="27"/>
      <c r="X234" s="27"/>
      <c r="Y234" s="27"/>
      <c r="Z234" s="27"/>
      <c r="AA234" s="27"/>
    </row>
    <row r="235">
      <c r="A235" s="28"/>
      <c r="B235" s="28"/>
      <c r="C235" s="28"/>
      <c r="D235" s="28"/>
      <c r="E235" s="28"/>
      <c r="F235" s="28"/>
      <c r="G235" s="28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33">
        <f t="shared" si="1"/>
        <v>0</v>
      </c>
      <c r="W235" s="27"/>
      <c r="X235" s="27"/>
      <c r="Y235" s="27"/>
      <c r="Z235" s="27"/>
      <c r="AA235" s="27"/>
    </row>
    <row r="236">
      <c r="A236" s="28"/>
      <c r="B236" s="28"/>
      <c r="C236" s="28"/>
      <c r="D236" s="28"/>
      <c r="E236" s="28"/>
      <c r="F236" s="28"/>
      <c r="G236" s="28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33">
        <f t="shared" si="1"/>
        <v>0</v>
      </c>
      <c r="W236" s="27"/>
      <c r="X236" s="27"/>
      <c r="Y236" s="27"/>
      <c r="Z236" s="27"/>
      <c r="AA236" s="27"/>
    </row>
    <row r="237">
      <c r="A237" s="28"/>
      <c r="B237" s="28"/>
      <c r="C237" s="28"/>
      <c r="D237" s="28"/>
      <c r="E237" s="28"/>
      <c r="F237" s="28"/>
      <c r="G237" s="28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33">
        <f t="shared" si="1"/>
        <v>0</v>
      </c>
      <c r="W237" s="27"/>
      <c r="X237" s="27"/>
      <c r="Y237" s="27"/>
      <c r="Z237" s="27"/>
      <c r="AA237" s="27"/>
    </row>
    <row r="238">
      <c r="A238" s="28"/>
      <c r="B238" s="28"/>
      <c r="C238" s="28"/>
      <c r="D238" s="28"/>
      <c r="E238" s="28"/>
      <c r="F238" s="28"/>
      <c r="G238" s="28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33">
        <f t="shared" si="1"/>
        <v>0</v>
      </c>
      <c r="W238" s="27"/>
      <c r="X238" s="27"/>
      <c r="Y238" s="27"/>
      <c r="Z238" s="27"/>
      <c r="AA238" s="27"/>
    </row>
    <row r="239">
      <c r="A239" s="28"/>
      <c r="B239" s="28"/>
      <c r="C239" s="28"/>
      <c r="D239" s="28"/>
      <c r="E239" s="28"/>
      <c r="F239" s="28"/>
      <c r="G239" s="28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33">
        <f t="shared" si="1"/>
        <v>0</v>
      </c>
      <c r="W239" s="27"/>
      <c r="X239" s="27"/>
      <c r="Y239" s="27"/>
      <c r="Z239" s="27"/>
      <c r="AA239" s="27"/>
    </row>
    <row r="240">
      <c r="A240" s="28"/>
      <c r="B240" s="28"/>
      <c r="C240" s="28"/>
      <c r="D240" s="28"/>
      <c r="E240" s="28"/>
      <c r="F240" s="28"/>
      <c r="G240" s="28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33">
        <f t="shared" si="1"/>
        <v>0</v>
      </c>
      <c r="W240" s="27"/>
      <c r="X240" s="27"/>
      <c r="Y240" s="27"/>
      <c r="Z240" s="27"/>
      <c r="AA240" s="27"/>
    </row>
    <row r="241">
      <c r="A241" s="28"/>
      <c r="B241" s="28"/>
      <c r="C241" s="28"/>
      <c r="D241" s="28"/>
      <c r="E241" s="28"/>
      <c r="F241" s="28"/>
      <c r="G241" s="28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33">
        <f t="shared" si="1"/>
        <v>0</v>
      </c>
      <c r="W241" s="27"/>
      <c r="X241" s="27"/>
      <c r="Y241" s="27"/>
      <c r="Z241" s="27"/>
      <c r="AA241" s="27"/>
    </row>
    <row r="242">
      <c r="A242" s="28"/>
      <c r="B242" s="28"/>
      <c r="C242" s="28"/>
      <c r="D242" s="28"/>
      <c r="E242" s="28"/>
      <c r="F242" s="28"/>
      <c r="G242" s="28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33">
        <f t="shared" si="1"/>
        <v>0</v>
      </c>
      <c r="W242" s="27"/>
      <c r="X242" s="27"/>
      <c r="Y242" s="27"/>
      <c r="Z242" s="27"/>
      <c r="AA242" s="27"/>
    </row>
    <row r="243">
      <c r="A243" s="28"/>
      <c r="B243" s="28"/>
      <c r="C243" s="28"/>
      <c r="D243" s="28"/>
      <c r="E243" s="28"/>
      <c r="F243" s="28"/>
      <c r="G243" s="28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33">
        <f t="shared" si="1"/>
        <v>0</v>
      </c>
      <c r="W243" s="27"/>
      <c r="X243" s="27"/>
      <c r="Y243" s="27"/>
      <c r="Z243" s="27"/>
      <c r="AA243" s="27"/>
    </row>
    <row r="244">
      <c r="A244" s="28"/>
      <c r="B244" s="28"/>
      <c r="C244" s="28"/>
      <c r="D244" s="28"/>
      <c r="E244" s="28"/>
      <c r="F244" s="28"/>
      <c r="G244" s="28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33">
        <f t="shared" si="1"/>
        <v>0</v>
      </c>
      <c r="W244" s="27"/>
      <c r="X244" s="27"/>
      <c r="Y244" s="27"/>
      <c r="Z244" s="27"/>
      <c r="AA244" s="27"/>
    </row>
    <row r="245">
      <c r="A245" s="28"/>
      <c r="B245" s="28"/>
      <c r="C245" s="28"/>
      <c r="D245" s="28"/>
      <c r="E245" s="28"/>
      <c r="F245" s="28"/>
      <c r="G245" s="28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33">
        <f t="shared" si="1"/>
        <v>0</v>
      </c>
      <c r="W245" s="27"/>
      <c r="X245" s="27"/>
      <c r="Y245" s="27"/>
      <c r="Z245" s="27"/>
      <c r="AA245" s="27"/>
    </row>
    <row r="246">
      <c r="A246" s="28"/>
      <c r="B246" s="28"/>
      <c r="C246" s="28"/>
      <c r="D246" s="28"/>
      <c r="E246" s="28"/>
      <c r="F246" s="28"/>
      <c r="G246" s="28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33">
        <f t="shared" si="1"/>
        <v>0</v>
      </c>
      <c r="W246" s="27"/>
      <c r="X246" s="27"/>
      <c r="Y246" s="27"/>
      <c r="Z246" s="27"/>
      <c r="AA246" s="27"/>
    </row>
    <row r="247">
      <c r="A247" s="28"/>
      <c r="B247" s="28"/>
      <c r="C247" s="28"/>
      <c r="D247" s="28"/>
      <c r="E247" s="28"/>
      <c r="F247" s="28"/>
      <c r="G247" s="28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33">
        <f t="shared" si="1"/>
        <v>0</v>
      </c>
      <c r="W247" s="27"/>
      <c r="X247" s="27"/>
      <c r="Y247" s="27"/>
      <c r="Z247" s="27"/>
      <c r="AA247" s="27"/>
    </row>
    <row r="248">
      <c r="A248" s="28"/>
      <c r="B248" s="28"/>
      <c r="C248" s="28"/>
      <c r="D248" s="28"/>
      <c r="E248" s="28"/>
      <c r="F248" s="28"/>
      <c r="G248" s="28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33">
        <f t="shared" si="1"/>
        <v>0</v>
      </c>
      <c r="W248" s="27"/>
      <c r="X248" s="27"/>
      <c r="Y248" s="27"/>
      <c r="Z248" s="27"/>
      <c r="AA248" s="27"/>
    </row>
    <row r="249">
      <c r="A249" s="28"/>
      <c r="B249" s="28"/>
      <c r="C249" s="28"/>
      <c r="D249" s="28"/>
      <c r="E249" s="28"/>
      <c r="F249" s="28"/>
      <c r="G249" s="28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33">
        <f t="shared" si="1"/>
        <v>0</v>
      </c>
      <c r="W249" s="27"/>
      <c r="X249" s="27"/>
      <c r="Y249" s="27"/>
      <c r="Z249" s="27"/>
      <c r="AA249" s="27"/>
    </row>
    <row r="250">
      <c r="A250" s="28"/>
      <c r="B250" s="28"/>
      <c r="C250" s="28"/>
      <c r="D250" s="28"/>
      <c r="E250" s="28"/>
      <c r="F250" s="28"/>
      <c r="G250" s="28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33">
        <f t="shared" si="1"/>
        <v>0</v>
      </c>
      <c r="W250" s="27"/>
      <c r="X250" s="27"/>
      <c r="Y250" s="27"/>
      <c r="Z250" s="27"/>
      <c r="AA250" s="27"/>
    </row>
    <row r="251">
      <c r="A251" s="28"/>
      <c r="B251" s="28"/>
      <c r="C251" s="28"/>
      <c r="D251" s="28"/>
      <c r="E251" s="28"/>
      <c r="F251" s="28"/>
      <c r="G251" s="28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33">
        <f t="shared" si="1"/>
        <v>0</v>
      </c>
      <c r="W251" s="27"/>
      <c r="X251" s="27"/>
      <c r="Y251" s="27"/>
      <c r="Z251" s="27"/>
      <c r="AA251" s="27"/>
    </row>
    <row r="252">
      <c r="A252" s="28"/>
      <c r="B252" s="28"/>
      <c r="C252" s="28"/>
      <c r="D252" s="28"/>
      <c r="E252" s="28"/>
      <c r="F252" s="28"/>
      <c r="G252" s="28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33">
        <f t="shared" si="1"/>
        <v>0</v>
      </c>
      <c r="W252" s="27"/>
      <c r="X252" s="27"/>
      <c r="Y252" s="27"/>
      <c r="Z252" s="27"/>
      <c r="AA252" s="27"/>
    </row>
    <row r="253">
      <c r="A253" s="28"/>
      <c r="B253" s="28"/>
      <c r="C253" s="28"/>
      <c r="D253" s="28"/>
      <c r="E253" s="28"/>
      <c r="F253" s="28"/>
      <c r="G253" s="28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33">
        <f t="shared" si="1"/>
        <v>0</v>
      </c>
      <c r="W253" s="27"/>
      <c r="X253" s="27"/>
      <c r="Y253" s="27"/>
      <c r="Z253" s="27"/>
      <c r="AA253" s="27"/>
    </row>
    <row r="254">
      <c r="A254" s="28"/>
      <c r="B254" s="28"/>
      <c r="C254" s="28"/>
      <c r="D254" s="28"/>
      <c r="E254" s="28"/>
      <c r="F254" s="28"/>
      <c r="G254" s="28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33">
        <f t="shared" si="1"/>
        <v>0</v>
      </c>
      <c r="W254" s="27"/>
      <c r="X254" s="27"/>
      <c r="Y254" s="27"/>
      <c r="Z254" s="27"/>
      <c r="AA254" s="27"/>
    </row>
    <row r="255">
      <c r="A255" s="28"/>
      <c r="B255" s="28"/>
      <c r="C255" s="28"/>
      <c r="D255" s="28"/>
      <c r="E255" s="28"/>
      <c r="F255" s="28"/>
      <c r="G255" s="28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33">
        <f t="shared" si="1"/>
        <v>0</v>
      </c>
      <c r="W255" s="27"/>
      <c r="X255" s="27"/>
      <c r="Y255" s="27"/>
      <c r="Z255" s="27"/>
      <c r="AA255" s="27"/>
    </row>
    <row r="256">
      <c r="A256" s="28"/>
      <c r="B256" s="28"/>
      <c r="C256" s="28"/>
      <c r="D256" s="28"/>
      <c r="E256" s="28"/>
      <c r="F256" s="28"/>
      <c r="G256" s="28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33">
        <f t="shared" si="1"/>
        <v>0</v>
      </c>
      <c r="W256" s="27"/>
      <c r="X256" s="27"/>
      <c r="Y256" s="27"/>
      <c r="Z256" s="27"/>
      <c r="AA256" s="27"/>
    </row>
    <row r="257">
      <c r="A257" s="28"/>
      <c r="B257" s="28"/>
      <c r="C257" s="28"/>
      <c r="D257" s="28"/>
      <c r="E257" s="28"/>
      <c r="F257" s="28"/>
      <c r="G257" s="28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33">
        <f t="shared" si="1"/>
        <v>0</v>
      </c>
      <c r="W257" s="27"/>
      <c r="X257" s="27"/>
      <c r="Y257" s="27"/>
      <c r="Z257" s="27"/>
      <c r="AA257" s="27"/>
    </row>
    <row r="258">
      <c r="A258" s="28"/>
      <c r="B258" s="28"/>
      <c r="C258" s="28"/>
      <c r="D258" s="28"/>
      <c r="E258" s="28"/>
      <c r="F258" s="28"/>
      <c r="G258" s="28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33">
        <f t="shared" si="1"/>
        <v>0</v>
      </c>
      <c r="W258" s="27"/>
      <c r="X258" s="27"/>
      <c r="Y258" s="27"/>
      <c r="Z258" s="27"/>
      <c r="AA258" s="27"/>
    </row>
    <row r="259">
      <c r="A259" s="28"/>
      <c r="B259" s="28"/>
      <c r="C259" s="28"/>
      <c r="D259" s="28"/>
      <c r="E259" s="28"/>
      <c r="F259" s="28"/>
      <c r="G259" s="28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33">
        <f t="shared" si="1"/>
        <v>0</v>
      </c>
      <c r="W259" s="27"/>
      <c r="X259" s="27"/>
      <c r="Y259" s="27"/>
      <c r="Z259" s="27"/>
      <c r="AA259" s="27"/>
    </row>
    <row r="260">
      <c r="A260" s="28"/>
      <c r="B260" s="28"/>
      <c r="C260" s="28"/>
      <c r="D260" s="28"/>
      <c r="E260" s="28"/>
      <c r="F260" s="28"/>
      <c r="G260" s="28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33">
        <f t="shared" si="1"/>
        <v>0</v>
      </c>
      <c r="W260" s="27"/>
      <c r="X260" s="27"/>
      <c r="Y260" s="27"/>
      <c r="Z260" s="27"/>
      <c r="AA260" s="27"/>
    </row>
    <row r="261">
      <c r="A261" s="28"/>
      <c r="B261" s="28"/>
      <c r="C261" s="28"/>
      <c r="D261" s="28"/>
      <c r="E261" s="28"/>
      <c r="F261" s="28"/>
      <c r="G261" s="28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33">
        <f t="shared" si="1"/>
        <v>0</v>
      </c>
      <c r="W261" s="27"/>
      <c r="X261" s="27"/>
      <c r="Y261" s="27"/>
      <c r="Z261" s="27"/>
      <c r="AA261" s="27"/>
    </row>
    <row r="262">
      <c r="A262" s="28"/>
      <c r="B262" s="28"/>
      <c r="C262" s="28"/>
      <c r="D262" s="28"/>
      <c r="E262" s="28"/>
      <c r="F262" s="28"/>
      <c r="G262" s="28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33">
        <f t="shared" si="1"/>
        <v>0</v>
      </c>
      <c r="W262" s="27"/>
      <c r="X262" s="27"/>
      <c r="Y262" s="27"/>
      <c r="Z262" s="27"/>
      <c r="AA262" s="27"/>
    </row>
    <row r="263">
      <c r="A263" s="28"/>
      <c r="B263" s="28"/>
      <c r="C263" s="28"/>
      <c r="D263" s="28"/>
      <c r="E263" s="28"/>
      <c r="F263" s="28"/>
      <c r="G263" s="28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33">
        <f t="shared" si="1"/>
        <v>0</v>
      </c>
      <c r="W263" s="27"/>
      <c r="X263" s="27"/>
      <c r="Y263" s="27"/>
      <c r="Z263" s="27"/>
      <c r="AA263" s="27"/>
    </row>
    <row r="264">
      <c r="A264" s="28"/>
      <c r="B264" s="28"/>
      <c r="C264" s="28"/>
      <c r="D264" s="28"/>
      <c r="E264" s="28"/>
      <c r="F264" s="28"/>
      <c r="G264" s="28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33">
        <f t="shared" si="1"/>
        <v>0</v>
      </c>
      <c r="W264" s="27"/>
      <c r="X264" s="27"/>
      <c r="Y264" s="27"/>
      <c r="Z264" s="27"/>
      <c r="AA264" s="27"/>
    </row>
    <row r="265">
      <c r="A265" s="28"/>
      <c r="B265" s="28"/>
      <c r="C265" s="28"/>
      <c r="D265" s="28"/>
      <c r="E265" s="28"/>
      <c r="F265" s="28"/>
      <c r="G265" s="28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33">
        <f t="shared" si="1"/>
        <v>0</v>
      </c>
      <c r="W265" s="27"/>
      <c r="X265" s="27"/>
      <c r="Y265" s="27"/>
      <c r="Z265" s="27"/>
      <c r="AA265" s="27"/>
    </row>
    <row r="266">
      <c r="A266" s="28"/>
      <c r="B266" s="28"/>
      <c r="C266" s="28"/>
      <c r="D266" s="28"/>
      <c r="E266" s="28"/>
      <c r="F266" s="28"/>
      <c r="G266" s="28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33">
        <f t="shared" si="1"/>
        <v>0</v>
      </c>
      <c r="W266" s="27"/>
      <c r="X266" s="27"/>
      <c r="Y266" s="27"/>
      <c r="Z266" s="27"/>
      <c r="AA266" s="27"/>
    </row>
    <row r="267">
      <c r="A267" s="28"/>
      <c r="B267" s="28"/>
      <c r="C267" s="28"/>
      <c r="D267" s="28"/>
      <c r="E267" s="28"/>
      <c r="F267" s="28"/>
      <c r="G267" s="28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33">
        <f t="shared" si="1"/>
        <v>0</v>
      </c>
      <c r="W267" s="27"/>
      <c r="X267" s="27"/>
      <c r="Y267" s="27"/>
      <c r="Z267" s="27"/>
      <c r="AA267" s="27"/>
    </row>
    <row r="268">
      <c r="A268" s="28"/>
      <c r="B268" s="28"/>
      <c r="C268" s="28"/>
      <c r="D268" s="28"/>
      <c r="E268" s="28"/>
      <c r="F268" s="28"/>
      <c r="G268" s="28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33">
        <f t="shared" si="1"/>
        <v>0</v>
      </c>
      <c r="W268" s="27"/>
      <c r="X268" s="27"/>
      <c r="Y268" s="27"/>
      <c r="Z268" s="27"/>
      <c r="AA268" s="27"/>
    </row>
    <row r="269">
      <c r="A269" s="28"/>
      <c r="B269" s="28"/>
      <c r="C269" s="28"/>
      <c r="D269" s="28"/>
      <c r="E269" s="28"/>
      <c r="F269" s="28"/>
      <c r="G269" s="28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33">
        <f t="shared" si="1"/>
        <v>0</v>
      </c>
      <c r="W269" s="27"/>
      <c r="X269" s="27"/>
      <c r="Y269" s="27"/>
      <c r="Z269" s="27"/>
      <c r="AA269" s="27"/>
    </row>
    <row r="270">
      <c r="A270" s="28"/>
      <c r="B270" s="28"/>
      <c r="C270" s="28"/>
      <c r="D270" s="28"/>
      <c r="E270" s="28"/>
      <c r="F270" s="28"/>
      <c r="G270" s="28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33">
        <f t="shared" si="1"/>
        <v>0</v>
      </c>
      <c r="W270" s="27"/>
      <c r="X270" s="27"/>
      <c r="Y270" s="27"/>
      <c r="Z270" s="27"/>
      <c r="AA270" s="27"/>
    </row>
    <row r="271">
      <c r="A271" s="28"/>
      <c r="B271" s="28"/>
      <c r="C271" s="28"/>
      <c r="D271" s="28"/>
      <c r="E271" s="28"/>
      <c r="F271" s="28"/>
      <c r="G271" s="28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33">
        <f t="shared" si="1"/>
        <v>0</v>
      </c>
      <c r="W271" s="27"/>
      <c r="X271" s="27"/>
      <c r="Y271" s="27"/>
      <c r="Z271" s="27"/>
      <c r="AA271" s="27"/>
    </row>
    <row r="272">
      <c r="A272" s="28"/>
      <c r="B272" s="28"/>
      <c r="C272" s="28"/>
      <c r="D272" s="28"/>
      <c r="E272" s="28"/>
      <c r="F272" s="28"/>
      <c r="G272" s="28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33">
        <f t="shared" si="1"/>
        <v>0</v>
      </c>
      <c r="W272" s="27"/>
      <c r="X272" s="27"/>
      <c r="Y272" s="27"/>
      <c r="Z272" s="27"/>
      <c r="AA272" s="27"/>
    </row>
    <row r="273">
      <c r="A273" s="28"/>
      <c r="B273" s="28"/>
      <c r="C273" s="28"/>
      <c r="D273" s="28"/>
      <c r="E273" s="28"/>
      <c r="F273" s="28"/>
      <c r="G273" s="28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33">
        <f t="shared" si="1"/>
        <v>0</v>
      </c>
      <c r="W273" s="27"/>
      <c r="X273" s="27"/>
      <c r="Y273" s="27"/>
      <c r="Z273" s="27"/>
      <c r="AA273" s="27"/>
    </row>
    <row r="274">
      <c r="A274" s="28"/>
      <c r="B274" s="28"/>
      <c r="C274" s="28"/>
      <c r="D274" s="28"/>
      <c r="E274" s="28"/>
      <c r="F274" s="28"/>
      <c r="G274" s="28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33">
        <f t="shared" si="1"/>
        <v>0</v>
      </c>
      <c r="W274" s="27"/>
      <c r="X274" s="27"/>
      <c r="Y274" s="27"/>
      <c r="Z274" s="27"/>
      <c r="AA274" s="27"/>
    </row>
    <row r="275">
      <c r="A275" s="28"/>
      <c r="B275" s="28"/>
      <c r="C275" s="28"/>
      <c r="D275" s="28"/>
      <c r="E275" s="28"/>
      <c r="F275" s="28"/>
      <c r="G275" s="28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33">
        <f t="shared" si="1"/>
        <v>0</v>
      </c>
      <c r="W275" s="27"/>
      <c r="X275" s="27"/>
      <c r="Y275" s="27"/>
      <c r="Z275" s="27"/>
      <c r="AA275" s="27"/>
    </row>
    <row r="276">
      <c r="A276" s="28"/>
      <c r="B276" s="28"/>
      <c r="C276" s="28"/>
      <c r="D276" s="28"/>
      <c r="E276" s="28"/>
      <c r="F276" s="28"/>
      <c r="G276" s="28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33">
        <f t="shared" si="1"/>
        <v>0</v>
      </c>
      <c r="W276" s="27"/>
      <c r="X276" s="27"/>
      <c r="Y276" s="27"/>
      <c r="Z276" s="27"/>
      <c r="AA276" s="27"/>
    </row>
    <row r="277">
      <c r="A277" s="28"/>
      <c r="B277" s="28"/>
      <c r="C277" s="28"/>
      <c r="D277" s="28"/>
      <c r="E277" s="28"/>
      <c r="F277" s="28"/>
      <c r="G277" s="28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33">
        <f t="shared" si="1"/>
        <v>0</v>
      </c>
      <c r="W277" s="27"/>
      <c r="X277" s="27"/>
      <c r="Y277" s="27"/>
      <c r="Z277" s="27"/>
      <c r="AA277" s="27"/>
    </row>
    <row r="278">
      <c r="A278" s="28"/>
      <c r="B278" s="28"/>
      <c r="C278" s="28"/>
      <c r="D278" s="28"/>
      <c r="E278" s="28"/>
      <c r="F278" s="28"/>
      <c r="G278" s="28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33">
        <f t="shared" si="1"/>
        <v>0</v>
      </c>
      <c r="W278" s="27"/>
      <c r="X278" s="27"/>
      <c r="Y278" s="27"/>
      <c r="Z278" s="27"/>
      <c r="AA278" s="27"/>
    </row>
    <row r="279">
      <c r="A279" s="28"/>
      <c r="B279" s="28"/>
      <c r="C279" s="28"/>
      <c r="D279" s="28"/>
      <c r="E279" s="28"/>
      <c r="F279" s="28"/>
      <c r="G279" s="28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33">
        <f t="shared" si="1"/>
        <v>0</v>
      </c>
      <c r="W279" s="27"/>
      <c r="X279" s="27"/>
      <c r="Y279" s="27"/>
      <c r="Z279" s="27"/>
      <c r="AA279" s="27"/>
    </row>
    <row r="280">
      <c r="A280" s="28"/>
      <c r="B280" s="28"/>
      <c r="C280" s="28"/>
      <c r="D280" s="28"/>
      <c r="E280" s="28"/>
      <c r="F280" s="28"/>
      <c r="G280" s="28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33">
        <f t="shared" si="1"/>
        <v>0</v>
      </c>
      <c r="W280" s="27"/>
      <c r="X280" s="27"/>
      <c r="Y280" s="27"/>
      <c r="Z280" s="27"/>
      <c r="AA280" s="27"/>
    </row>
    <row r="281">
      <c r="A281" s="28"/>
      <c r="B281" s="28"/>
      <c r="C281" s="28"/>
      <c r="D281" s="28"/>
      <c r="E281" s="28"/>
      <c r="F281" s="28"/>
      <c r="G281" s="28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33">
        <f t="shared" si="1"/>
        <v>0</v>
      </c>
      <c r="W281" s="27"/>
      <c r="X281" s="27"/>
      <c r="Y281" s="27"/>
      <c r="Z281" s="27"/>
      <c r="AA281" s="27"/>
    </row>
    <row r="282">
      <c r="A282" s="28"/>
      <c r="B282" s="28"/>
      <c r="C282" s="28"/>
      <c r="D282" s="28"/>
      <c r="E282" s="28"/>
      <c r="F282" s="28"/>
      <c r="G282" s="28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33">
        <f t="shared" si="1"/>
        <v>0</v>
      </c>
      <c r="W282" s="27"/>
      <c r="X282" s="27"/>
      <c r="Y282" s="27"/>
      <c r="Z282" s="27"/>
      <c r="AA282" s="27"/>
    </row>
    <row r="283">
      <c r="A283" s="28"/>
      <c r="B283" s="28"/>
      <c r="C283" s="28"/>
      <c r="D283" s="28"/>
      <c r="E283" s="28"/>
      <c r="F283" s="28"/>
      <c r="G283" s="28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33">
        <f t="shared" si="1"/>
        <v>0</v>
      </c>
      <c r="W283" s="27"/>
      <c r="X283" s="27"/>
      <c r="Y283" s="27"/>
      <c r="Z283" s="27"/>
      <c r="AA283" s="27"/>
    </row>
    <row r="284">
      <c r="A284" s="28"/>
      <c r="B284" s="28"/>
      <c r="C284" s="28"/>
      <c r="D284" s="28"/>
      <c r="E284" s="28"/>
      <c r="F284" s="28"/>
      <c r="G284" s="28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33">
        <f t="shared" si="1"/>
        <v>0</v>
      </c>
      <c r="W284" s="27"/>
      <c r="X284" s="27"/>
      <c r="Y284" s="27"/>
      <c r="Z284" s="27"/>
      <c r="AA284" s="27"/>
    </row>
    <row r="285">
      <c r="A285" s="28"/>
      <c r="B285" s="28"/>
      <c r="C285" s="28"/>
      <c r="D285" s="28"/>
      <c r="E285" s="28"/>
      <c r="F285" s="28"/>
      <c r="G285" s="28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33">
        <f t="shared" si="1"/>
        <v>0</v>
      </c>
      <c r="W285" s="27"/>
      <c r="X285" s="27"/>
      <c r="Y285" s="27"/>
      <c r="Z285" s="27"/>
      <c r="AA285" s="27"/>
    </row>
    <row r="286">
      <c r="A286" s="28"/>
      <c r="B286" s="28"/>
      <c r="C286" s="28"/>
      <c r="D286" s="28"/>
      <c r="E286" s="28"/>
      <c r="F286" s="28"/>
      <c r="G286" s="28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33">
        <f t="shared" si="1"/>
        <v>0</v>
      </c>
      <c r="W286" s="27"/>
      <c r="X286" s="27"/>
      <c r="Y286" s="27"/>
      <c r="Z286" s="27"/>
      <c r="AA286" s="27"/>
    </row>
    <row r="287">
      <c r="A287" s="28"/>
      <c r="B287" s="28"/>
      <c r="C287" s="28"/>
      <c r="D287" s="28"/>
      <c r="E287" s="28"/>
      <c r="F287" s="28"/>
      <c r="G287" s="28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33">
        <f t="shared" si="1"/>
        <v>0</v>
      </c>
      <c r="W287" s="27"/>
      <c r="X287" s="27"/>
      <c r="Y287" s="27"/>
      <c r="Z287" s="27"/>
      <c r="AA287" s="27"/>
    </row>
    <row r="288">
      <c r="A288" s="28"/>
      <c r="B288" s="28"/>
      <c r="C288" s="28"/>
      <c r="D288" s="28"/>
      <c r="E288" s="28"/>
      <c r="F288" s="28"/>
      <c r="G288" s="28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33">
        <f t="shared" si="1"/>
        <v>0</v>
      </c>
      <c r="W288" s="27"/>
      <c r="X288" s="27"/>
      <c r="Y288" s="27"/>
      <c r="Z288" s="27"/>
      <c r="AA288" s="27"/>
    </row>
    <row r="289">
      <c r="A289" s="28"/>
      <c r="B289" s="28"/>
      <c r="C289" s="28"/>
      <c r="D289" s="28"/>
      <c r="E289" s="28"/>
      <c r="F289" s="28"/>
      <c r="G289" s="28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33">
        <f t="shared" si="1"/>
        <v>0</v>
      </c>
      <c r="W289" s="27"/>
      <c r="X289" s="27"/>
      <c r="Y289" s="27"/>
      <c r="Z289" s="27"/>
      <c r="AA289" s="27"/>
    </row>
    <row r="290">
      <c r="A290" s="28"/>
      <c r="B290" s="28"/>
      <c r="C290" s="28"/>
      <c r="D290" s="28"/>
      <c r="E290" s="28"/>
      <c r="F290" s="28"/>
      <c r="G290" s="28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33">
        <f t="shared" si="1"/>
        <v>0</v>
      </c>
      <c r="W290" s="27"/>
      <c r="X290" s="27"/>
      <c r="Y290" s="27"/>
      <c r="Z290" s="27"/>
      <c r="AA290" s="27"/>
    </row>
    <row r="291">
      <c r="A291" s="28"/>
      <c r="B291" s="28"/>
      <c r="C291" s="28"/>
      <c r="D291" s="28"/>
      <c r="E291" s="28"/>
      <c r="F291" s="28"/>
      <c r="G291" s="28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33">
        <f t="shared" si="1"/>
        <v>0</v>
      </c>
      <c r="W291" s="27"/>
      <c r="X291" s="27"/>
      <c r="Y291" s="27"/>
      <c r="Z291" s="27"/>
      <c r="AA291" s="27"/>
    </row>
    <row r="292">
      <c r="A292" s="28"/>
      <c r="B292" s="28"/>
      <c r="C292" s="28"/>
      <c r="D292" s="28"/>
      <c r="E292" s="28"/>
      <c r="F292" s="28"/>
      <c r="G292" s="28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33">
        <f t="shared" si="1"/>
        <v>0</v>
      </c>
      <c r="W292" s="27"/>
      <c r="X292" s="27"/>
      <c r="Y292" s="27"/>
      <c r="Z292" s="27"/>
      <c r="AA292" s="27"/>
    </row>
    <row r="293">
      <c r="A293" s="28"/>
      <c r="B293" s="28"/>
      <c r="C293" s="28"/>
      <c r="D293" s="28"/>
      <c r="E293" s="28"/>
      <c r="F293" s="28"/>
      <c r="G293" s="28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33">
        <f t="shared" si="1"/>
        <v>0</v>
      </c>
      <c r="W293" s="27"/>
      <c r="X293" s="27"/>
      <c r="Y293" s="27"/>
      <c r="Z293" s="27"/>
      <c r="AA293" s="27"/>
    </row>
    <row r="294">
      <c r="A294" s="28"/>
      <c r="B294" s="28"/>
      <c r="C294" s="28"/>
      <c r="D294" s="28"/>
      <c r="E294" s="28"/>
      <c r="F294" s="28"/>
      <c r="G294" s="28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33">
        <f t="shared" si="1"/>
        <v>0</v>
      </c>
      <c r="W294" s="27"/>
      <c r="X294" s="27"/>
      <c r="Y294" s="27"/>
      <c r="Z294" s="27"/>
      <c r="AA294" s="27"/>
    </row>
    <row r="295">
      <c r="A295" s="28"/>
      <c r="B295" s="28"/>
      <c r="C295" s="28"/>
      <c r="D295" s="28"/>
      <c r="E295" s="28"/>
      <c r="F295" s="28"/>
      <c r="G295" s="28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33">
        <f t="shared" si="1"/>
        <v>0</v>
      </c>
      <c r="W295" s="27"/>
      <c r="X295" s="27"/>
      <c r="Y295" s="27"/>
      <c r="Z295" s="27"/>
      <c r="AA295" s="27"/>
    </row>
    <row r="296">
      <c r="A296" s="28"/>
      <c r="B296" s="28"/>
      <c r="C296" s="28"/>
      <c r="D296" s="28"/>
      <c r="E296" s="28"/>
      <c r="F296" s="28"/>
      <c r="G296" s="28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33">
        <f t="shared" si="1"/>
        <v>0</v>
      </c>
      <c r="W296" s="27"/>
      <c r="X296" s="27"/>
      <c r="Y296" s="27"/>
      <c r="Z296" s="27"/>
      <c r="AA296" s="27"/>
    </row>
    <row r="297">
      <c r="A297" s="28"/>
      <c r="B297" s="28"/>
      <c r="C297" s="28"/>
      <c r="D297" s="28"/>
      <c r="E297" s="28"/>
      <c r="F297" s="28"/>
      <c r="G297" s="28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33">
        <f t="shared" si="1"/>
        <v>0</v>
      </c>
      <c r="W297" s="27"/>
      <c r="X297" s="27"/>
      <c r="Y297" s="27"/>
      <c r="Z297" s="27"/>
      <c r="AA297" s="27"/>
    </row>
    <row r="298">
      <c r="A298" s="28"/>
      <c r="B298" s="28"/>
      <c r="C298" s="28"/>
      <c r="D298" s="28"/>
      <c r="E298" s="28"/>
      <c r="F298" s="28"/>
      <c r="G298" s="28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33">
        <f t="shared" si="1"/>
        <v>0</v>
      </c>
      <c r="W298" s="27"/>
      <c r="X298" s="27"/>
      <c r="Y298" s="27"/>
      <c r="Z298" s="27"/>
      <c r="AA298" s="27"/>
    </row>
    <row r="299">
      <c r="A299" s="28"/>
      <c r="B299" s="28"/>
      <c r="C299" s="28"/>
      <c r="D299" s="28"/>
      <c r="E299" s="28"/>
      <c r="F299" s="28"/>
      <c r="G299" s="28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33">
        <f t="shared" si="1"/>
        <v>0</v>
      </c>
      <c r="W299" s="27"/>
      <c r="X299" s="27"/>
      <c r="Y299" s="27"/>
      <c r="Z299" s="27"/>
      <c r="AA299" s="27"/>
    </row>
    <row r="300">
      <c r="A300" s="28"/>
      <c r="B300" s="28"/>
      <c r="C300" s="28"/>
      <c r="D300" s="28"/>
      <c r="E300" s="28"/>
      <c r="F300" s="28"/>
      <c r="G300" s="28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33">
        <f t="shared" si="1"/>
        <v>0</v>
      </c>
      <c r="W300" s="27"/>
      <c r="X300" s="27"/>
      <c r="Y300" s="27"/>
      <c r="Z300" s="27"/>
      <c r="AA300" s="27"/>
    </row>
    <row r="301">
      <c r="A301" s="28"/>
      <c r="B301" s="28"/>
      <c r="C301" s="28"/>
      <c r="D301" s="28"/>
      <c r="E301" s="28"/>
      <c r="F301" s="28"/>
      <c r="G301" s="28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33">
        <f t="shared" si="1"/>
        <v>0</v>
      </c>
      <c r="W301" s="27"/>
      <c r="X301" s="27"/>
      <c r="Y301" s="27"/>
      <c r="Z301" s="27"/>
      <c r="AA301" s="27"/>
    </row>
    <row r="302">
      <c r="A302" s="28"/>
      <c r="B302" s="28"/>
      <c r="C302" s="28"/>
      <c r="D302" s="28"/>
      <c r="E302" s="28"/>
      <c r="F302" s="28"/>
      <c r="G302" s="28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33">
        <f t="shared" si="1"/>
        <v>0</v>
      </c>
      <c r="W302" s="27"/>
      <c r="X302" s="27"/>
      <c r="Y302" s="27"/>
      <c r="Z302" s="27"/>
      <c r="AA302" s="27"/>
    </row>
    <row r="303">
      <c r="A303" s="28"/>
      <c r="B303" s="28"/>
      <c r="C303" s="28"/>
      <c r="D303" s="28"/>
      <c r="E303" s="28"/>
      <c r="F303" s="28"/>
      <c r="G303" s="28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33">
        <f t="shared" si="1"/>
        <v>0</v>
      </c>
      <c r="W303" s="27"/>
      <c r="X303" s="27"/>
      <c r="Y303" s="27"/>
      <c r="Z303" s="27"/>
      <c r="AA303" s="27"/>
    </row>
    <row r="304">
      <c r="A304" s="28"/>
      <c r="B304" s="28"/>
      <c r="C304" s="28"/>
      <c r="D304" s="28"/>
      <c r="E304" s="28"/>
      <c r="F304" s="28"/>
      <c r="G304" s="28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33">
        <f t="shared" si="1"/>
        <v>0</v>
      </c>
      <c r="W304" s="27"/>
      <c r="X304" s="27"/>
      <c r="Y304" s="27"/>
      <c r="Z304" s="27"/>
      <c r="AA304" s="27"/>
    </row>
    <row r="305">
      <c r="A305" s="28"/>
      <c r="B305" s="28"/>
      <c r="C305" s="28"/>
      <c r="D305" s="28"/>
      <c r="E305" s="28"/>
      <c r="F305" s="28"/>
      <c r="G305" s="28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33">
        <f t="shared" si="1"/>
        <v>0</v>
      </c>
      <c r="W305" s="27"/>
      <c r="X305" s="27"/>
      <c r="Y305" s="27"/>
      <c r="Z305" s="27"/>
      <c r="AA305" s="27"/>
    </row>
    <row r="306">
      <c r="A306" s="28"/>
      <c r="B306" s="28"/>
      <c r="C306" s="28"/>
      <c r="D306" s="28"/>
      <c r="E306" s="28"/>
      <c r="F306" s="28"/>
      <c r="G306" s="28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33">
        <f t="shared" si="1"/>
        <v>0</v>
      </c>
      <c r="W306" s="27"/>
      <c r="X306" s="27"/>
      <c r="Y306" s="27"/>
      <c r="Z306" s="27"/>
      <c r="AA306" s="27"/>
    </row>
    <row r="307">
      <c r="A307" s="28"/>
      <c r="B307" s="28"/>
      <c r="C307" s="28"/>
      <c r="D307" s="28"/>
      <c r="E307" s="28"/>
      <c r="F307" s="28"/>
      <c r="G307" s="28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33">
        <f t="shared" si="1"/>
        <v>0</v>
      </c>
      <c r="W307" s="27"/>
      <c r="X307" s="27"/>
      <c r="Y307" s="27"/>
      <c r="Z307" s="27"/>
      <c r="AA307" s="27"/>
    </row>
    <row r="308">
      <c r="A308" s="28"/>
      <c r="B308" s="28"/>
      <c r="C308" s="28"/>
      <c r="D308" s="28"/>
      <c r="E308" s="28"/>
      <c r="F308" s="28"/>
      <c r="G308" s="28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33">
        <f t="shared" si="1"/>
        <v>0</v>
      </c>
      <c r="W308" s="27"/>
      <c r="X308" s="27"/>
      <c r="Y308" s="27"/>
      <c r="Z308" s="27"/>
      <c r="AA308" s="27"/>
    </row>
    <row r="309">
      <c r="A309" s="28"/>
      <c r="B309" s="28"/>
      <c r="C309" s="28"/>
      <c r="D309" s="28"/>
      <c r="E309" s="28"/>
      <c r="F309" s="28"/>
      <c r="G309" s="28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33">
        <f t="shared" si="1"/>
        <v>0</v>
      </c>
      <c r="W309" s="27"/>
      <c r="X309" s="27"/>
      <c r="Y309" s="27"/>
      <c r="Z309" s="27"/>
      <c r="AA309" s="27"/>
    </row>
    <row r="310">
      <c r="A310" s="28"/>
      <c r="B310" s="28"/>
      <c r="C310" s="28"/>
      <c r="D310" s="28"/>
      <c r="E310" s="28"/>
      <c r="F310" s="28"/>
      <c r="G310" s="28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33">
        <f t="shared" si="1"/>
        <v>0</v>
      </c>
      <c r="W310" s="27"/>
      <c r="X310" s="27"/>
      <c r="Y310" s="27"/>
      <c r="Z310" s="27"/>
      <c r="AA310" s="27"/>
    </row>
    <row r="311">
      <c r="A311" s="28"/>
      <c r="B311" s="28"/>
      <c r="C311" s="28"/>
      <c r="D311" s="28"/>
      <c r="E311" s="28"/>
      <c r="F311" s="28"/>
      <c r="G311" s="28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33">
        <f t="shared" si="1"/>
        <v>0</v>
      </c>
      <c r="W311" s="27"/>
      <c r="X311" s="27"/>
      <c r="Y311" s="27"/>
      <c r="Z311" s="27"/>
      <c r="AA311" s="27"/>
    </row>
    <row r="312">
      <c r="A312" s="28"/>
      <c r="B312" s="28"/>
      <c r="C312" s="28"/>
      <c r="D312" s="28"/>
      <c r="E312" s="28"/>
      <c r="F312" s="28"/>
      <c r="G312" s="28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33">
        <f t="shared" si="1"/>
        <v>0</v>
      </c>
      <c r="W312" s="27"/>
      <c r="X312" s="27"/>
      <c r="Y312" s="27"/>
      <c r="Z312" s="27"/>
      <c r="AA312" s="27"/>
    </row>
    <row r="313">
      <c r="A313" s="28"/>
      <c r="B313" s="28"/>
      <c r="C313" s="28"/>
      <c r="D313" s="28"/>
      <c r="E313" s="28"/>
      <c r="F313" s="28"/>
      <c r="G313" s="28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33">
        <f t="shared" si="1"/>
        <v>0</v>
      </c>
      <c r="W313" s="27"/>
      <c r="X313" s="27"/>
      <c r="Y313" s="27"/>
      <c r="Z313" s="27"/>
      <c r="AA313" s="27"/>
    </row>
    <row r="314">
      <c r="A314" s="28"/>
      <c r="B314" s="28"/>
      <c r="C314" s="28"/>
      <c r="D314" s="28"/>
      <c r="E314" s="28"/>
      <c r="F314" s="28"/>
      <c r="G314" s="28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33">
        <f t="shared" si="1"/>
        <v>0</v>
      </c>
      <c r="W314" s="27"/>
      <c r="X314" s="27"/>
      <c r="Y314" s="27"/>
      <c r="Z314" s="27"/>
      <c r="AA314" s="27"/>
    </row>
    <row r="315">
      <c r="A315" s="28"/>
      <c r="B315" s="28"/>
      <c r="C315" s="28"/>
      <c r="D315" s="28"/>
      <c r="E315" s="28"/>
      <c r="F315" s="28"/>
      <c r="G315" s="28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33">
        <f t="shared" si="1"/>
        <v>0</v>
      </c>
      <c r="W315" s="27"/>
      <c r="X315" s="27"/>
      <c r="Y315" s="27"/>
      <c r="Z315" s="27"/>
      <c r="AA315" s="27"/>
    </row>
    <row r="316">
      <c r="A316" s="28"/>
      <c r="B316" s="28"/>
      <c r="C316" s="28"/>
      <c r="D316" s="28"/>
      <c r="E316" s="28"/>
      <c r="F316" s="28"/>
      <c r="G316" s="28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33">
        <f t="shared" si="1"/>
        <v>0</v>
      </c>
      <c r="W316" s="27"/>
      <c r="X316" s="27"/>
      <c r="Y316" s="27"/>
      <c r="Z316" s="27"/>
      <c r="AA316" s="27"/>
    </row>
    <row r="317">
      <c r="A317" s="28"/>
      <c r="B317" s="28"/>
      <c r="C317" s="28"/>
      <c r="D317" s="28"/>
      <c r="E317" s="28"/>
      <c r="F317" s="28"/>
      <c r="G317" s="28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33">
        <f t="shared" si="1"/>
        <v>0</v>
      </c>
      <c r="W317" s="27"/>
      <c r="X317" s="27"/>
      <c r="Y317" s="27"/>
      <c r="Z317" s="27"/>
      <c r="AA317" s="27"/>
    </row>
    <row r="318">
      <c r="A318" s="28"/>
      <c r="B318" s="28"/>
      <c r="C318" s="28"/>
      <c r="D318" s="28"/>
      <c r="E318" s="28"/>
      <c r="F318" s="28"/>
      <c r="G318" s="28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33">
        <f t="shared" si="1"/>
        <v>0</v>
      </c>
      <c r="W318" s="27"/>
      <c r="X318" s="27"/>
      <c r="Y318" s="27"/>
      <c r="Z318" s="27"/>
      <c r="AA318" s="27"/>
    </row>
    <row r="319">
      <c r="A319" s="28"/>
      <c r="B319" s="28"/>
      <c r="C319" s="28"/>
      <c r="D319" s="28"/>
      <c r="E319" s="28"/>
      <c r="F319" s="28"/>
      <c r="G319" s="28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33">
        <f t="shared" si="1"/>
        <v>0</v>
      </c>
      <c r="W319" s="27"/>
      <c r="X319" s="27"/>
      <c r="Y319" s="27"/>
      <c r="Z319" s="27"/>
      <c r="AA319" s="27"/>
    </row>
    <row r="320">
      <c r="A320" s="28"/>
      <c r="B320" s="28"/>
      <c r="C320" s="28"/>
      <c r="D320" s="28"/>
      <c r="E320" s="28"/>
      <c r="F320" s="28"/>
      <c r="G320" s="28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33">
        <f t="shared" si="1"/>
        <v>0</v>
      </c>
      <c r="W320" s="27"/>
      <c r="X320" s="27"/>
      <c r="Y320" s="27"/>
      <c r="Z320" s="27"/>
      <c r="AA320" s="27"/>
    </row>
    <row r="321">
      <c r="A321" s="28"/>
      <c r="B321" s="28"/>
      <c r="C321" s="28"/>
      <c r="D321" s="28"/>
      <c r="E321" s="28"/>
      <c r="F321" s="28"/>
      <c r="G321" s="28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33">
        <f t="shared" si="1"/>
        <v>0</v>
      </c>
      <c r="W321" s="27"/>
      <c r="X321" s="27"/>
      <c r="Y321" s="27"/>
      <c r="Z321" s="27"/>
      <c r="AA321" s="27"/>
    </row>
    <row r="322">
      <c r="A322" s="28"/>
      <c r="B322" s="28"/>
      <c r="C322" s="28"/>
      <c r="D322" s="28"/>
      <c r="E322" s="28"/>
      <c r="F322" s="28"/>
      <c r="G322" s="28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33">
        <f t="shared" si="1"/>
        <v>0</v>
      </c>
      <c r="W322" s="27"/>
      <c r="X322" s="27"/>
      <c r="Y322" s="27"/>
      <c r="Z322" s="27"/>
      <c r="AA322" s="27"/>
    </row>
    <row r="323">
      <c r="A323" s="28"/>
      <c r="B323" s="28"/>
      <c r="C323" s="28"/>
      <c r="D323" s="28"/>
      <c r="E323" s="28"/>
      <c r="F323" s="28"/>
      <c r="G323" s="28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33">
        <f t="shared" si="1"/>
        <v>0</v>
      </c>
      <c r="W323" s="27"/>
      <c r="X323" s="27"/>
      <c r="Y323" s="27"/>
      <c r="Z323" s="27"/>
      <c r="AA323" s="27"/>
    </row>
    <row r="324">
      <c r="A324" s="28"/>
      <c r="B324" s="28"/>
      <c r="C324" s="28"/>
      <c r="D324" s="28"/>
      <c r="E324" s="28"/>
      <c r="F324" s="28"/>
      <c r="G324" s="28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33">
        <f t="shared" si="1"/>
        <v>0</v>
      </c>
      <c r="W324" s="27"/>
      <c r="X324" s="27"/>
      <c r="Y324" s="27"/>
      <c r="Z324" s="27"/>
      <c r="AA324" s="27"/>
    </row>
    <row r="325">
      <c r="A325" s="28"/>
      <c r="B325" s="28"/>
      <c r="C325" s="28"/>
      <c r="D325" s="28"/>
      <c r="E325" s="28"/>
      <c r="F325" s="28"/>
      <c r="G325" s="28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33">
        <f t="shared" si="1"/>
        <v>0</v>
      </c>
      <c r="W325" s="27"/>
      <c r="X325" s="27"/>
      <c r="Y325" s="27"/>
      <c r="Z325" s="27"/>
      <c r="AA325" s="27"/>
    </row>
    <row r="326">
      <c r="A326" s="28"/>
      <c r="B326" s="28"/>
      <c r="C326" s="28"/>
      <c r="D326" s="28"/>
      <c r="E326" s="28"/>
      <c r="F326" s="28"/>
      <c r="G326" s="28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33">
        <f t="shared" si="1"/>
        <v>0</v>
      </c>
      <c r="W326" s="27"/>
      <c r="X326" s="27"/>
      <c r="Y326" s="27"/>
      <c r="Z326" s="27"/>
      <c r="AA326" s="27"/>
    </row>
    <row r="327">
      <c r="A327" s="28"/>
      <c r="B327" s="28"/>
      <c r="C327" s="28"/>
      <c r="D327" s="28"/>
      <c r="E327" s="28"/>
      <c r="F327" s="28"/>
      <c r="G327" s="28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33">
        <f t="shared" si="1"/>
        <v>0</v>
      </c>
      <c r="W327" s="27"/>
      <c r="X327" s="27"/>
      <c r="Y327" s="27"/>
      <c r="Z327" s="27"/>
      <c r="AA327" s="27"/>
    </row>
    <row r="328">
      <c r="A328" s="28"/>
      <c r="B328" s="28"/>
      <c r="C328" s="28"/>
      <c r="D328" s="28"/>
      <c r="E328" s="28"/>
      <c r="F328" s="28"/>
      <c r="G328" s="28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33">
        <f t="shared" si="1"/>
        <v>0</v>
      </c>
      <c r="W328" s="27"/>
      <c r="X328" s="27"/>
      <c r="Y328" s="27"/>
      <c r="Z328" s="27"/>
      <c r="AA328" s="27"/>
    </row>
    <row r="329">
      <c r="A329" s="28"/>
      <c r="B329" s="28"/>
      <c r="C329" s="28"/>
      <c r="D329" s="28"/>
      <c r="E329" s="28"/>
      <c r="F329" s="28"/>
      <c r="G329" s="28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33">
        <f t="shared" si="1"/>
        <v>0</v>
      </c>
      <c r="W329" s="27"/>
      <c r="X329" s="27"/>
      <c r="Y329" s="27"/>
      <c r="Z329" s="27"/>
      <c r="AA329" s="27"/>
    </row>
    <row r="330">
      <c r="A330" s="28"/>
      <c r="B330" s="28"/>
      <c r="C330" s="28"/>
      <c r="D330" s="28"/>
      <c r="E330" s="28"/>
      <c r="F330" s="28"/>
      <c r="G330" s="28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33">
        <f t="shared" si="1"/>
        <v>0</v>
      </c>
      <c r="W330" s="27"/>
      <c r="X330" s="27"/>
      <c r="Y330" s="27"/>
      <c r="Z330" s="27"/>
      <c r="AA330" s="27"/>
    </row>
    <row r="331">
      <c r="A331" s="28"/>
      <c r="B331" s="28"/>
      <c r="C331" s="28"/>
      <c r="D331" s="28"/>
      <c r="E331" s="28"/>
      <c r="F331" s="28"/>
      <c r="G331" s="28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33">
        <f t="shared" si="1"/>
        <v>0</v>
      </c>
      <c r="W331" s="27"/>
      <c r="X331" s="27"/>
      <c r="Y331" s="27"/>
      <c r="Z331" s="27"/>
      <c r="AA331" s="27"/>
    </row>
    <row r="332">
      <c r="A332" s="28"/>
      <c r="B332" s="28"/>
      <c r="C332" s="28"/>
      <c r="D332" s="28"/>
      <c r="E332" s="28"/>
      <c r="F332" s="28"/>
      <c r="G332" s="28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33">
        <f t="shared" si="1"/>
        <v>0</v>
      </c>
      <c r="W332" s="27"/>
      <c r="X332" s="27"/>
      <c r="Y332" s="27"/>
      <c r="Z332" s="27"/>
      <c r="AA332" s="27"/>
    </row>
    <row r="333">
      <c r="A333" s="28"/>
      <c r="B333" s="28"/>
      <c r="C333" s="28"/>
      <c r="D333" s="28"/>
      <c r="E333" s="28"/>
      <c r="F333" s="28"/>
      <c r="G333" s="28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33">
        <f t="shared" si="1"/>
        <v>0</v>
      </c>
      <c r="W333" s="27"/>
      <c r="X333" s="27"/>
      <c r="Y333" s="27"/>
      <c r="Z333" s="27"/>
      <c r="AA333" s="27"/>
    </row>
    <row r="334">
      <c r="A334" s="28"/>
      <c r="B334" s="28"/>
      <c r="C334" s="28"/>
      <c r="D334" s="28"/>
      <c r="E334" s="28"/>
      <c r="F334" s="28"/>
      <c r="G334" s="28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33">
        <f t="shared" si="1"/>
        <v>0</v>
      </c>
      <c r="W334" s="27"/>
      <c r="X334" s="27"/>
      <c r="Y334" s="27"/>
      <c r="Z334" s="27"/>
      <c r="AA334" s="27"/>
    </row>
    <row r="335">
      <c r="A335" s="28"/>
      <c r="B335" s="28"/>
      <c r="C335" s="28"/>
      <c r="D335" s="28"/>
      <c r="E335" s="28"/>
      <c r="F335" s="28"/>
      <c r="G335" s="28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33">
        <f t="shared" si="1"/>
        <v>0</v>
      </c>
      <c r="W335" s="27"/>
      <c r="X335" s="27"/>
      <c r="Y335" s="27"/>
      <c r="Z335" s="27"/>
      <c r="AA335" s="27"/>
    </row>
    <row r="336">
      <c r="A336" s="28"/>
      <c r="B336" s="28"/>
      <c r="C336" s="28"/>
      <c r="D336" s="28"/>
      <c r="E336" s="28"/>
      <c r="F336" s="28"/>
      <c r="G336" s="28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33">
        <f t="shared" si="1"/>
        <v>0</v>
      </c>
      <c r="W336" s="27"/>
      <c r="X336" s="27"/>
      <c r="Y336" s="27"/>
      <c r="Z336" s="27"/>
      <c r="AA336" s="27"/>
    </row>
    <row r="337">
      <c r="A337" s="28"/>
      <c r="B337" s="28"/>
      <c r="C337" s="28"/>
      <c r="D337" s="28"/>
      <c r="E337" s="28"/>
      <c r="F337" s="28"/>
      <c r="G337" s="28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33">
        <f t="shared" si="1"/>
        <v>0</v>
      </c>
      <c r="W337" s="27"/>
      <c r="X337" s="27"/>
      <c r="Y337" s="27"/>
      <c r="Z337" s="27"/>
      <c r="AA337" s="27"/>
    </row>
    <row r="338">
      <c r="A338" s="28"/>
      <c r="B338" s="28"/>
      <c r="C338" s="28"/>
      <c r="D338" s="28"/>
      <c r="E338" s="28"/>
      <c r="F338" s="28"/>
      <c r="G338" s="28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33">
        <f t="shared" si="1"/>
        <v>0</v>
      </c>
      <c r="W338" s="27"/>
      <c r="X338" s="27"/>
      <c r="Y338" s="27"/>
      <c r="Z338" s="27"/>
      <c r="AA338" s="27"/>
    </row>
    <row r="339">
      <c r="A339" s="28"/>
      <c r="B339" s="28"/>
      <c r="C339" s="28"/>
      <c r="D339" s="28"/>
      <c r="E339" s="28"/>
      <c r="F339" s="28"/>
      <c r="G339" s="28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33">
        <f t="shared" si="1"/>
        <v>0</v>
      </c>
      <c r="W339" s="27"/>
      <c r="X339" s="27"/>
      <c r="Y339" s="27"/>
      <c r="Z339" s="27"/>
      <c r="AA339" s="27"/>
    </row>
    <row r="340">
      <c r="A340" s="28"/>
      <c r="B340" s="28"/>
      <c r="C340" s="28"/>
      <c r="D340" s="28"/>
      <c r="E340" s="28"/>
      <c r="F340" s="28"/>
      <c r="G340" s="28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33">
        <f t="shared" si="1"/>
        <v>0</v>
      </c>
      <c r="W340" s="27"/>
      <c r="X340" s="27"/>
      <c r="Y340" s="27"/>
      <c r="Z340" s="27"/>
      <c r="AA340" s="27"/>
    </row>
    <row r="341">
      <c r="A341" s="28"/>
      <c r="B341" s="28"/>
      <c r="C341" s="28"/>
      <c r="D341" s="28"/>
      <c r="E341" s="28"/>
      <c r="F341" s="28"/>
      <c r="G341" s="28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33">
        <f t="shared" si="1"/>
        <v>0</v>
      </c>
      <c r="W341" s="27"/>
      <c r="X341" s="27"/>
      <c r="Y341" s="27"/>
      <c r="Z341" s="27"/>
      <c r="AA341" s="27"/>
    </row>
    <row r="342">
      <c r="A342" s="28"/>
      <c r="B342" s="28"/>
      <c r="C342" s="28"/>
      <c r="D342" s="28"/>
      <c r="E342" s="28"/>
      <c r="F342" s="28"/>
      <c r="G342" s="28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33">
        <f t="shared" si="1"/>
        <v>0</v>
      </c>
      <c r="W342" s="27"/>
      <c r="X342" s="27"/>
      <c r="Y342" s="27"/>
      <c r="Z342" s="27"/>
      <c r="AA342" s="27"/>
    </row>
    <row r="343">
      <c r="A343" s="28"/>
      <c r="B343" s="28"/>
      <c r="C343" s="28"/>
      <c r="D343" s="28"/>
      <c r="E343" s="28"/>
      <c r="F343" s="28"/>
      <c r="G343" s="28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33">
        <f t="shared" si="1"/>
        <v>0</v>
      </c>
      <c r="W343" s="27"/>
      <c r="X343" s="27"/>
      <c r="Y343" s="27"/>
      <c r="Z343" s="27"/>
      <c r="AA343" s="27"/>
    </row>
    <row r="344">
      <c r="A344" s="28"/>
      <c r="B344" s="28"/>
      <c r="C344" s="28"/>
      <c r="D344" s="28"/>
      <c r="E344" s="28"/>
      <c r="F344" s="28"/>
      <c r="G344" s="28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33">
        <f t="shared" si="1"/>
        <v>0</v>
      </c>
      <c r="W344" s="27"/>
      <c r="X344" s="27"/>
      <c r="Y344" s="27"/>
      <c r="Z344" s="27"/>
      <c r="AA344" s="27"/>
    </row>
    <row r="345">
      <c r="A345" s="28"/>
      <c r="B345" s="28"/>
      <c r="C345" s="28"/>
      <c r="D345" s="28"/>
      <c r="E345" s="28"/>
      <c r="F345" s="28"/>
      <c r="G345" s="28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33">
        <f t="shared" si="1"/>
        <v>0</v>
      </c>
      <c r="W345" s="27"/>
      <c r="X345" s="27"/>
      <c r="Y345" s="27"/>
      <c r="Z345" s="27"/>
      <c r="AA345" s="27"/>
    </row>
    <row r="346">
      <c r="A346" s="28"/>
      <c r="B346" s="28"/>
      <c r="C346" s="28"/>
      <c r="D346" s="28"/>
      <c r="E346" s="28"/>
      <c r="F346" s="28"/>
      <c r="G346" s="28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33">
        <f t="shared" si="1"/>
        <v>0</v>
      </c>
      <c r="W346" s="27"/>
      <c r="X346" s="27"/>
      <c r="Y346" s="27"/>
      <c r="Z346" s="27"/>
      <c r="AA346" s="27"/>
    </row>
    <row r="347">
      <c r="A347" s="28"/>
      <c r="B347" s="28"/>
      <c r="C347" s="28"/>
      <c r="D347" s="28"/>
      <c r="E347" s="28"/>
      <c r="F347" s="28"/>
      <c r="G347" s="28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33">
        <f t="shared" si="1"/>
        <v>0</v>
      </c>
      <c r="W347" s="27"/>
      <c r="X347" s="27"/>
      <c r="Y347" s="27"/>
      <c r="Z347" s="27"/>
      <c r="AA347" s="27"/>
    </row>
    <row r="348">
      <c r="A348" s="28"/>
      <c r="B348" s="28"/>
      <c r="C348" s="28"/>
      <c r="D348" s="28"/>
      <c r="E348" s="28"/>
      <c r="F348" s="28"/>
      <c r="G348" s="28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33">
        <f t="shared" si="1"/>
        <v>0</v>
      </c>
      <c r="W348" s="27"/>
      <c r="X348" s="27"/>
      <c r="Y348" s="27"/>
      <c r="Z348" s="27"/>
      <c r="AA348" s="27"/>
    </row>
    <row r="349">
      <c r="A349" s="28"/>
      <c r="B349" s="28"/>
      <c r="C349" s="28"/>
      <c r="D349" s="28"/>
      <c r="E349" s="28"/>
      <c r="F349" s="28"/>
      <c r="G349" s="28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33">
        <f t="shared" si="1"/>
        <v>0</v>
      </c>
      <c r="W349" s="27"/>
      <c r="X349" s="27"/>
      <c r="Y349" s="27"/>
      <c r="Z349" s="27"/>
      <c r="AA349" s="27"/>
    </row>
    <row r="350">
      <c r="A350" s="28"/>
      <c r="B350" s="28"/>
      <c r="C350" s="28"/>
      <c r="D350" s="28"/>
      <c r="E350" s="28"/>
      <c r="F350" s="28"/>
      <c r="G350" s="28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33">
        <f t="shared" si="1"/>
        <v>0</v>
      </c>
      <c r="W350" s="27"/>
      <c r="X350" s="27"/>
      <c r="Y350" s="27"/>
      <c r="Z350" s="27"/>
      <c r="AA350" s="27"/>
    </row>
    <row r="351">
      <c r="A351" s="28"/>
      <c r="B351" s="28"/>
      <c r="C351" s="28"/>
      <c r="D351" s="28"/>
      <c r="E351" s="28"/>
      <c r="F351" s="28"/>
      <c r="G351" s="28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33">
        <f t="shared" si="1"/>
        <v>0</v>
      </c>
      <c r="W351" s="27"/>
      <c r="X351" s="27"/>
      <c r="Y351" s="27"/>
      <c r="Z351" s="27"/>
      <c r="AA351" s="27"/>
    </row>
    <row r="352">
      <c r="A352" s="28"/>
      <c r="B352" s="28"/>
      <c r="C352" s="28"/>
      <c r="D352" s="28"/>
      <c r="E352" s="28"/>
      <c r="F352" s="28"/>
      <c r="G352" s="28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33">
        <f t="shared" si="1"/>
        <v>0</v>
      </c>
      <c r="W352" s="27"/>
      <c r="X352" s="27"/>
      <c r="Y352" s="27"/>
      <c r="Z352" s="27"/>
      <c r="AA352" s="27"/>
    </row>
    <row r="353">
      <c r="A353" s="28"/>
      <c r="B353" s="28"/>
      <c r="C353" s="28"/>
      <c r="D353" s="28"/>
      <c r="E353" s="28"/>
      <c r="F353" s="28"/>
      <c r="G353" s="28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33">
        <f t="shared" si="1"/>
        <v>0</v>
      </c>
      <c r="W353" s="27"/>
      <c r="X353" s="27"/>
      <c r="Y353" s="27"/>
      <c r="Z353" s="27"/>
      <c r="AA353" s="27"/>
    </row>
    <row r="354">
      <c r="A354" s="28"/>
      <c r="B354" s="28"/>
      <c r="C354" s="28"/>
      <c r="D354" s="28"/>
      <c r="E354" s="28"/>
      <c r="F354" s="28"/>
      <c r="G354" s="28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33">
        <f t="shared" si="1"/>
        <v>0</v>
      </c>
      <c r="W354" s="27"/>
      <c r="X354" s="27"/>
      <c r="Y354" s="27"/>
      <c r="Z354" s="27"/>
      <c r="AA354" s="27"/>
    </row>
    <row r="355">
      <c r="A355" s="28"/>
      <c r="B355" s="28"/>
      <c r="C355" s="28"/>
      <c r="D355" s="28"/>
      <c r="E355" s="28"/>
      <c r="F355" s="28"/>
      <c r="G355" s="28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33">
        <f t="shared" si="1"/>
        <v>0</v>
      </c>
      <c r="W355" s="27"/>
      <c r="X355" s="27"/>
      <c r="Y355" s="27"/>
      <c r="Z355" s="27"/>
      <c r="AA355" s="27"/>
    </row>
    <row r="356">
      <c r="A356" s="28"/>
      <c r="B356" s="28"/>
      <c r="C356" s="28"/>
      <c r="D356" s="28"/>
      <c r="E356" s="28"/>
      <c r="F356" s="28"/>
      <c r="G356" s="28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33">
        <f t="shared" si="1"/>
        <v>0</v>
      </c>
      <c r="W356" s="27"/>
      <c r="X356" s="27"/>
      <c r="Y356" s="27"/>
      <c r="Z356" s="27"/>
      <c r="AA356" s="27"/>
    </row>
    <row r="357">
      <c r="A357" s="28"/>
      <c r="B357" s="28"/>
      <c r="C357" s="28"/>
      <c r="D357" s="28"/>
      <c r="E357" s="28"/>
      <c r="F357" s="28"/>
      <c r="G357" s="28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33">
        <f t="shared" si="1"/>
        <v>0</v>
      </c>
      <c r="W357" s="27"/>
      <c r="X357" s="27"/>
      <c r="Y357" s="27"/>
      <c r="Z357" s="27"/>
      <c r="AA357" s="27"/>
    </row>
    <row r="358">
      <c r="A358" s="28"/>
      <c r="B358" s="28"/>
      <c r="C358" s="28"/>
      <c r="D358" s="28"/>
      <c r="E358" s="28"/>
      <c r="F358" s="28"/>
      <c r="G358" s="28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33">
        <f t="shared" si="1"/>
        <v>0</v>
      </c>
      <c r="W358" s="27"/>
      <c r="X358" s="27"/>
      <c r="Y358" s="27"/>
      <c r="Z358" s="27"/>
      <c r="AA358" s="27"/>
    </row>
    <row r="359">
      <c r="A359" s="28"/>
      <c r="B359" s="28"/>
      <c r="C359" s="28"/>
      <c r="D359" s="28"/>
      <c r="E359" s="28"/>
      <c r="F359" s="28"/>
      <c r="G359" s="28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33">
        <f t="shared" si="1"/>
        <v>0</v>
      </c>
      <c r="W359" s="27"/>
      <c r="X359" s="27"/>
      <c r="Y359" s="27"/>
      <c r="Z359" s="27"/>
      <c r="AA359" s="27"/>
    </row>
    <row r="360">
      <c r="A360" s="28"/>
      <c r="B360" s="28"/>
      <c r="C360" s="28"/>
      <c r="D360" s="28"/>
      <c r="E360" s="28"/>
      <c r="F360" s="28"/>
      <c r="G360" s="28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33">
        <f t="shared" si="1"/>
        <v>0</v>
      </c>
      <c r="W360" s="27"/>
      <c r="X360" s="27"/>
      <c r="Y360" s="27"/>
      <c r="Z360" s="27"/>
      <c r="AA360" s="27"/>
    </row>
    <row r="361">
      <c r="A361" s="28"/>
      <c r="B361" s="28"/>
      <c r="C361" s="28"/>
      <c r="D361" s="28"/>
      <c r="E361" s="28"/>
      <c r="F361" s="28"/>
      <c r="G361" s="28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33">
        <f t="shared" si="1"/>
        <v>0</v>
      </c>
      <c r="W361" s="27"/>
      <c r="X361" s="27"/>
      <c r="Y361" s="27"/>
      <c r="Z361" s="27"/>
      <c r="AA361" s="27"/>
    </row>
    <row r="362">
      <c r="A362" s="28"/>
      <c r="B362" s="28"/>
      <c r="C362" s="28"/>
      <c r="D362" s="28"/>
      <c r="E362" s="28"/>
      <c r="F362" s="28"/>
      <c r="G362" s="28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33">
        <f t="shared" si="1"/>
        <v>0</v>
      </c>
      <c r="W362" s="27"/>
      <c r="X362" s="27"/>
      <c r="Y362" s="27"/>
      <c r="Z362" s="27"/>
      <c r="AA362" s="27"/>
    </row>
    <row r="363">
      <c r="A363" s="28"/>
      <c r="B363" s="28"/>
      <c r="C363" s="28"/>
      <c r="D363" s="28"/>
      <c r="E363" s="28"/>
      <c r="F363" s="28"/>
      <c r="G363" s="28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33">
        <f t="shared" si="1"/>
        <v>0</v>
      </c>
      <c r="W363" s="27"/>
      <c r="X363" s="27"/>
      <c r="Y363" s="27"/>
      <c r="Z363" s="27"/>
      <c r="AA363" s="27"/>
    </row>
    <row r="364">
      <c r="A364" s="28"/>
      <c r="B364" s="28"/>
      <c r="C364" s="28"/>
      <c r="D364" s="28"/>
      <c r="E364" s="28"/>
      <c r="F364" s="28"/>
      <c r="G364" s="28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33">
        <f t="shared" si="1"/>
        <v>0</v>
      </c>
      <c r="W364" s="27"/>
      <c r="X364" s="27"/>
      <c r="Y364" s="27"/>
      <c r="Z364" s="27"/>
      <c r="AA364" s="27"/>
    </row>
    <row r="365">
      <c r="A365" s="28"/>
      <c r="B365" s="28"/>
      <c r="C365" s="28"/>
      <c r="D365" s="28"/>
      <c r="E365" s="28"/>
      <c r="F365" s="28"/>
      <c r="G365" s="28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33">
        <f t="shared" si="1"/>
        <v>0</v>
      </c>
      <c r="W365" s="27"/>
      <c r="X365" s="27"/>
      <c r="Y365" s="27"/>
      <c r="Z365" s="27"/>
      <c r="AA365" s="27"/>
    </row>
    <row r="366">
      <c r="A366" s="28"/>
      <c r="B366" s="28"/>
      <c r="C366" s="28"/>
      <c r="D366" s="28"/>
      <c r="E366" s="28"/>
      <c r="F366" s="28"/>
      <c r="G366" s="28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33">
        <f t="shared" si="1"/>
        <v>0</v>
      </c>
      <c r="W366" s="27"/>
      <c r="X366" s="27"/>
      <c r="Y366" s="27"/>
      <c r="Z366" s="27"/>
      <c r="AA366" s="27"/>
    </row>
    <row r="367">
      <c r="A367" s="28"/>
      <c r="B367" s="28"/>
      <c r="C367" s="28"/>
      <c r="D367" s="28"/>
      <c r="E367" s="28"/>
      <c r="F367" s="28"/>
      <c r="G367" s="28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33">
        <f t="shared" si="1"/>
        <v>0</v>
      </c>
      <c r="W367" s="27"/>
      <c r="X367" s="27"/>
      <c r="Y367" s="27"/>
      <c r="Z367" s="27"/>
      <c r="AA367" s="27"/>
    </row>
    <row r="368">
      <c r="A368" s="28"/>
      <c r="B368" s="28"/>
      <c r="C368" s="28"/>
      <c r="D368" s="28"/>
      <c r="E368" s="28"/>
      <c r="F368" s="28"/>
      <c r="G368" s="28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33">
        <f t="shared" si="1"/>
        <v>0</v>
      </c>
      <c r="W368" s="27"/>
      <c r="X368" s="27"/>
      <c r="Y368" s="27"/>
      <c r="Z368" s="27"/>
      <c r="AA368" s="27"/>
    </row>
    <row r="369">
      <c r="A369" s="28"/>
      <c r="B369" s="28"/>
      <c r="C369" s="28"/>
      <c r="D369" s="28"/>
      <c r="E369" s="28"/>
      <c r="F369" s="28"/>
      <c r="G369" s="28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33">
        <f t="shared" si="1"/>
        <v>0</v>
      </c>
      <c r="W369" s="27"/>
      <c r="X369" s="27"/>
      <c r="Y369" s="27"/>
      <c r="Z369" s="27"/>
      <c r="AA369" s="27"/>
    </row>
    <row r="370">
      <c r="A370" s="28"/>
      <c r="B370" s="28"/>
      <c r="C370" s="28"/>
      <c r="D370" s="28"/>
      <c r="E370" s="28"/>
      <c r="F370" s="28"/>
      <c r="G370" s="28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33">
        <f t="shared" si="1"/>
        <v>0</v>
      </c>
      <c r="W370" s="27"/>
      <c r="X370" s="27"/>
      <c r="Y370" s="27"/>
      <c r="Z370" s="27"/>
      <c r="AA370" s="27"/>
    </row>
    <row r="371">
      <c r="A371" s="28"/>
      <c r="B371" s="28"/>
      <c r="C371" s="28"/>
      <c r="D371" s="28"/>
      <c r="E371" s="28"/>
      <c r="F371" s="28"/>
      <c r="G371" s="28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33">
        <f t="shared" si="1"/>
        <v>0</v>
      </c>
      <c r="W371" s="27"/>
      <c r="X371" s="27"/>
      <c r="Y371" s="27"/>
      <c r="Z371" s="27"/>
      <c r="AA371" s="27"/>
    </row>
    <row r="372">
      <c r="A372" s="28"/>
      <c r="B372" s="28"/>
      <c r="C372" s="28"/>
      <c r="D372" s="28"/>
      <c r="E372" s="28"/>
      <c r="F372" s="28"/>
      <c r="G372" s="28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33">
        <f t="shared" si="1"/>
        <v>0</v>
      </c>
      <c r="W372" s="27"/>
      <c r="X372" s="27"/>
      <c r="Y372" s="27"/>
      <c r="Z372" s="27"/>
      <c r="AA372" s="27"/>
    </row>
    <row r="373">
      <c r="A373" s="28"/>
      <c r="B373" s="28"/>
      <c r="C373" s="28"/>
      <c r="D373" s="28"/>
      <c r="E373" s="28"/>
      <c r="F373" s="28"/>
      <c r="G373" s="28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33">
        <f t="shared" si="1"/>
        <v>0</v>
      </c>
      <c r="W373" s="27"/>
      <c r="X373" s="27"/>
      <c r="Y373" s="27"/>
      <c r="Z373" s="27"/>
      <c r="AA373" s="27"/>
    </row>
    <row r="374">
      <c r="A374" s="28"/>
      <c r="B374" s="28"/>
      <c r="C374" s="28"/>
      <c r="D374" s="28"/>
      <c r="E374" s="28"/>
      <c r="F374" s="28"/>
      <c r="G374" s="28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33">
        <f t="shared" si="1"/>
        <v>0</v>
      </c>
      <c r="W374" s="27"/>
      <c r="X374" s="27"/>
      <c r="Y374" s="27"/>
      <c r="Z374" s="27"/>
      <c r="AA374" s="27"/>
    </row>
    <row r="375">
      <c r="A375" s="28"/>
      <c r="B375" s="28"/>
      <c r="C375" s="28"/>
      <c r="D375" s="28"/>
      <c r="E375" s="28"/>
      <c r="F375" s="28"/>
      <c r="G375" s="28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33">
        <f t="shared" si="1"/>
        <v>0</v>
      </c>
      <c r="W375" s="27"/>
      <c r="X375" s="27"/>
      <c r="Y375" s="27"/>
      <c r="Z375" s="27"/>
      <c r="AA375" s="27"/>
    </row>
    <row r="376">
      <c r="A376" s="28"/>
      <c r="B376" s="28"/>
      <c r="C376" s="28"/>
      <c r="D376" s="28"/>
      <c r="E376" s="28"/>
      <c r="F376" s="28"/>
      <c r="G376" s="28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33">
        <f t="shared" si="1"/>
        <v>0</v>
      </c>
      <c r="W376" s="27"/>
      <c r="X376" s="27"/>
      <c r="Y376" s="27"/>
      <c r="Z376" s="27"/>
      <c r="AA376" s="27"/>
    </row>
    <row r="377">
      <c r="A377" s="28"/>
      <c r="B377" s="28"/>
      <c r="C377" s="28"/>
      <c r="D377" s="28"/>
      <c r="E377" s="28"/>
      <c r="F377" s="28"/>
      <c r="G377" s="28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33">
        <f t="shared" si="1"/>
        <v>0</v>
      </c>
      <c r="W377" s="27"/>
      <c r="X377" s="27"/>
      <c r="Y377" s="27"/>
      <c r="Z377" s="27"/>
      <c r="AA377" s="27"/>
    </row>
    <row r="378">
      <c r="A378" s="28"/>
      <c r="B378" s="28"/>
      <c r="C378" s="28"/>
      <c r="D378" s="28"/>
      <c r="E378" s="28"/>
      <c r="F378" s="28"/>
      <c r="G378" s="28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33">
        <f t="shared" si="1"/>
        <v>0</v>
      </c>
      <c r="W378" s="27"/>
      <c r="X378" s="27"/>
      <c r="Y378" s="27"/>
      <c r="Z378" s="27"/>
      <c r="AA378" s="27"/>
    </row>
    <row r="379">
      <c r="A379" s="28"/>
      <c r="B379" s="28"/>
      <c r="C379" s="28"/>
      <c r="D379" s="28"/>
      <c r="E379" s="28"/>
      <c r="F379" s="28"/>
      <c r="G379" s="28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33">
        <f t="shared" si="1"/>
        <v>0</v>
      </c>
      <c r="W379" s="27"/>
      <c r="X379" s="27"/>
      <c r="Y379" s="27"/>
      <c r="Z379" s="27"/>
      <c r="AA379" s="27"/>
    </row>
    <row r="380">
      <c r="A380" s="28"/>
      <c r="B380" s="28"/>
      <c r="C380" s="28"/>
      <c r="D380" s="28"/>
      <c r="E380" s="28"/>
      <c r="F380" s="28"/>
      <c r="G380" s="28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33">
        <f t="shared" si="1"/>
        <v>0</v>
      </c>
      <c r="W380" s="27"/>
      <c r="X380" s="27"/>
      <c r="Y380" s="27"/>
      <c r="Z380" s="27"/>
      <c r="AA380" s="27"/>
    </row>
    <row r="381">
      <c r="A381" s="28"/>
      <c r="B381" s="28"/>
      <c r="C381" s="28"/>
      <c r="D381" s="28"/>
      <c r="E381" s="28"/>
      <c r="F381" s="28"/>
      <c r="G381" s="28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33">
        <f t="shared" si="1"/>
        <v>0</v>
      </c>
      <c r="W381" s="27"/>
      <c r="X381" s="27"/>
      <c r="Y381" s="27"/>
      <c r="Z381" s="27"/>
      <c r="AA381" s="27"/>
    </row>
    <row r="382">
      <c r="A382" s="28"/>
      <c r="B382" s="28"/>
      <c r="C382" s="28"/>
      <c r="D382" s="28"/>
      <c r="E382" s="28"/>
      <c r="F382" s="28"/>
      <c r="G382" s="28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33">
        <f t="shared" si="1"/>
        <v>0</v>
      </c>
      <c r="W382" s="27"/>
      <c r="X382" s="27"/>
      <c r="Y382" s="27"/>
      <c r="Z382" s="27"/>
      <c r="AA382" s="27"/>
    </row>
    <row r="383">
      <c r="A383" s="28"/>
      <c r="B383" s="28"/>
      <c r="C383" s="28"/>
      <c r="D383" s="28"/>
      <c r="E383" s="28"/>
      <c r="F383" s="28"/>
      <c r="G383" s="28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33">
        <f t="shared" si="1"/>
        <v>0</v>
      </c>
      <c r="W383" s="27"/>
      <c r="X383" s="27"/>
      <c r="Y383" s="27"/>
      <c r="Z383" s="27"/>
      <c r="AA383" s="27"/>
    </row>
    <row r="384">
      <c r="A384" s="28"/>
      <c r="B384" s="28"/>
      <c r="C384" s="28"/>
      <c r="D384" s="28"/>
      <c r="E384" s="28"/>
      <c r="F384" s="28"/>
      <c r="G384" s="28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33">
        <f t="shared" si="1"/>
        <v>0</v>
      </c>
      <c r="W384" s="27"/>
      <c r="X384" s="27"/>
      <c r="Y384" s="27"/>
      <c r="Z384" s="27"/>
      <c r="AA384" s="27"/>
    </row>
    <row r="385">
      <c r="A385" s="28"/>
      <c r="B385" s="28"/>
      <c r="C385" s="28"/>
      <c r="D385" s="28"/>
      <c r="E385" s="28"/>
      <c r="F385" s="28"/>
      <c r="G385" s="28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33">
        <f t="shared" si="1"/>
        <v>0</v>
      </c>
      <c r="W385" s="27"/>
      <c r="X385" s="27"/>
      <c r="Y385" s="27"/>
      <c r="Z385" s="27"/>
      <c r="AA385" s="27"/>
    </row>
    <row r="386">
      <c r="A386" s="28"/>
      <c r="B386" s="28"/>
      <c r="C386" s="28"/>
      <c r="D386" s="28"/>
      <c r="E386" s="28"/>
      <c r="F386" s="28"/>
      <c r="G386" s="28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33">
        <f t="shared" si="1"/>
        <v>0</v>
      </c>
      <c r="W386" s="27"/>
      <c r="X386" s="27"/>
      <c r="Y386" s="27"/>
      <c r="Z386" s="27"/>
      <c r="AA386" s="27"/>
    </row>
    <row r="387">
      <c r="A387" s="28"/>
      <c r="B387" s="28"/>
      <c r="C387" s="28"/>
      <c r="D387" s="28"/>
      <c r="E387" s="28"/>
      <c r="F387" s="28"/>
      <c r="G387" s="28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33">
        <f t="shared" si="1"/>
        <v>0</v>
      </c>
      <c r="W387" s="27"/>
      <c r="X387" s="27"/>
      <c r="Y387" s="27"/>
      <c r="Z387" s="27"/>
      <c r="AA387" s="27"/>
    </row>
    <row r="388">
      <c r="A388" s="28"/>
      <c r="B388" s="28"/>
      <c r="C388" s="28"/>
      <c r="D388" s="28"/>
      <c r="E388" s="28"/>
      <c r="F388" s="28"/>
      <c r="G388" s="28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33">
        <f t="shared" si="1"/>
        <v>0</v>
      </c>
      <c r="W388" s="27"/>
      <c r="X388" s="27"/>
      <c r="Y388" s="27"/>
      <c r="Z388" s="27"/>
      <c r="AA388" s="27"/>
    </row>
    <row r="389">
      <c r="A389" s="28"/>
      <c r="B389" s="28"/>
      <c r="C389" s="28"/>
      <c r="D389" s="28"/>
      <c r="E389" s="28"/>
      <c r="F389" s="28"/>
      <c r="G389" s="28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33">
        <f t="shared" si="1"/>
        <v>0</v>
      </c>
      <c r="W389" s="27"/>
      <c r="X389" s="27"/>
      <c r="Y389" s="27"/>
      <c r="Z389" s="27"/>
      <c r="AA389" s="27"/>
    </row>
    <row r="390">
      <c r="A390" s="28"/>
      <c r="B390" s="28"/>
      <c r="C390" s="28"/>
      <c r="D390" s="28"/>
      <c r="E390" s="28"/>
      <c r="F390" s="28"/>
      <c r="G390" s="28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33">
        <f t="shared" si="1"/>
        <v>0</v>
      </c>
      <c r="W390" s="27"/>
      <c r="X390" s="27"/>
      <c r="Y390" s="27"/>
      <c r="Z390" s="27"/>
      <c r="AA390" s="27"/>
    </row>
    <row r="391">
      <c r="A391" s="28"/>
      <c r="B391" s="28"/>
      <c r="C391" s="28"/>
      <c r="D391" s="28"/>
      <c r="E391" s="28"/>
      <c r="F391" s="28"/>
      <c r="G391" s="28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33">
        <f t="shared" si="1"/>
        <v>0</v>
      </c>
      <c r="W391" s="27"/>
      <c r="X391" s="27"/>
      <c r="Y391" s="27"/>
      <c r="Z391" s="27"/>
      <c r="AA391" s="27"/>
    </row>
    <row r="392">
      <c r="A392" s="28"/>
      <c r="B392" s="28"/>
      <c r="C392" s="28"/>
      <c r="D392" s="28"/>
      <c r="E392" s="28"/>
      <c r="F392" s="28"/>
      <c r="G392" s="28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33">
        <f t="shared" si="1"/>
        <v>0</v>
      </c>
      <c r="W392" s="27"/>
      <c r="X392" s="27"/>
      <c r="Y392" s="27"/>
      <c r="Z392" s="27"/>
      <c r="AA392" s="27"/>
    </row>
    <row r="393">
      <c r="A393" s="28"/>
      <c r="B393" s="28"/>
      <c r="C393" s="28"/>
      <c r="D393" s="28"/>
      <c r="E393" s="28"/>
      <c r="F393" s="28"/>
      <c r="G393" s="28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33">
        <f t="shared" si="1"/>
        <v>0</v>
      </c>
      <c r="W393" s="27"/>
      <c r="X393" s="27"/>
      <c r="Y393" s="27"/>
      <c r="Z393" s="27"/>
      <c r="AA393" s="27"/>
    </row>
    <row r="394">
      <c r="A394" s="28"/>
      <c r="B394" s="28"/>
      <c r="C394" s="28"/>
      <c r="D394" s="28"/>
      <c r="E394" s="28"/>
      <c r="F394" s="28"/>
      <c r="G394" s="28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33">
        <f t="shared" si="1"/>
        <v>0</v>
      </c>
      <c r="W394" s="27"/>
      <c r="X394" s="27"/>
      <c r="Y394" s="27"/>
      <c r="Z394" s="27"/>
      <c r="AA394" s="27"/>
    </row>
    <row r="395">
      <c r="A395" s="28"/>
      <c r="B395" s="28"/>
      <c r="C395" s="28"/>
      <c r="D395" s="28"/>
      <c r="E395" s="28"/>
      <c r="F395" s="28"/>
      <c r="G395" s="28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33">
        <f t="shared" si="1"/>
        <v>0</v>
      </c>
      <c r="W395" s="27"/>
      <c r="X395" s="27"/>
      <c r="Y395" s="27"/>
      <c r="Z395" s="27"/>
      <c r="AA395" s="27"/>
    </row>
    <row r="396">
      <c r="A396" s="28"/>
      <c r="B396" s="28"/>
      <c r="C396" s="28"/>
      <c r="D396" s="28"/>
      <c r="E396" s="28"/>
      <c r="F396" s="28"/>
      <c r="G396" s="28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33">
        <f t="shared" si="1"/>
        <v>0</v>
      </c>
      <c r="W396" s="27"/>
      <c r="X396" s="27"/>
      <c r="Y396" s="27"/>
      <c r="Z396" s="27"/>
      <c r="AA396" s="27"/>
    </row>
    <row r="397">
      <c r="A397" s="28"/>
      <c r="B397" s="28"/>
      <c r="C397" s="28"/>
      <c r="D397" s="28"/>
      <c r="E397" s="28"/>
      <c r="F397" s="28"/>
      <c r="G397" s="28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33">
        <f t="shared" si="1"/>
        <v>0</v>
      </c>
      <c r="W397" s="27"/>
      <c r="X397" s="27"/>
      <c r="Y397" s="27"/>
      <c r="Z397" s="27"/>
      <c r="AA397" s="27"/>
    </row>
    <row r="398">
      <c r="A398" s="28"/>
      <c r="B398" s="28"/>
      <c r="C398" s="28"/>
      <c r="D398" s="28"/>
      <c r="E398" s="28"/>
      <c r="F398" s="28"/>
      <c r="G398" s="28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33">
        <f t="shared" si="1"/>
        <v>0</v>
      </c>
      <c r="W398" s="27"/>
      <c r="X398" s="27"/>
      <c r="Y398" s="27"/>
      <c r="Z398" s="27"/>
      <c r="AA398" s="27"/>
    </row>
    <row r="399">
      <c r="A399" s="28"/>
      <c r="B399" s="28"/>
      <c r="C399" s="28"/>
      <c r="D399" s="28"/>
      <c r="E399" s="28"/>
      <c r="F399" s="28"/>
      <c r="G399" s="28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33">
        <f t="shared" si="1"/>
        <v>0</v>
      </c>
      <c r="W399" s="27"/>
      <c r="X399" s="27"/>
      <c r="Y399" s="27"/>
      <c r="Z399" s="27"/>
      <c r="AA399" s="27"/>
    </row>
    <row r="400">
      <c r="A400" s="28"/>
      <c r="B400" s="28"/>
      <c r="C400" s="28"/>
      <c r="D400" s="28"/>
      <c r="E400" s="28"/>
      <c r="F400" s="28"/>
      <c r="G400" s="28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33">
        <f t="shared" si="1"/>
        <v>0</v>
      </c>
      <c r="W400" s="27"/>
      <c r="X400" s="27"/>
      <c r="Y400" s="27"/>
      <c r="Z400" s="27"/>
      <c r="AA400" s="27"/>
    </row>
    <row r="401">
      <c r="A401" s="28"/>
      <c r="B401" s="28"/>
      <c r="C401" s="28"/>
      <c r="D401" s="28"/>
      <c r="E401" s="28"/>
      <c r="F401" s="28"/>
      <c r="G401" s="28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33">
        <f t="shared" si="1"/>
        <v>0</v>
      </c>
      <c r="W401" s="27"/>
      <c r="X401" s="27"/>
      <c r="Y401" s="27"/>
      <c r="Z401" s="27"/>
      <c r="AA401" s="27"/>
    </row>
    <row r="402">
      <c r="A402" s="28"/>
      <c r="B402" s="28"/>
      <c r="C402" s="28"/>
      <c r="D402" s="28"/>
      <c r="E402" s="28"/>
      <c r="F402" s="28"/>
      <c r="G402" s="28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33">
        <f t="shared" si="1"/>
        <v>0</v>
      </c>
      <c r="W402" s="27"/>
      <c r="X402" s="27"/>
      <c r="Y402" s="27"/>
      <c r="Z402" s="27"/>
      <c r="AA402" s="27"/>
    </row>
    <row r="403">
      <c r="A403" s="28"/>
      <c r="B403" s="28"/>
      <c r="C403" s="28"/>
      <c r="D403" s="28"/>
      <c r="E403" s="28"/>
      <c r="F403" s="28"/>
      <c r="G403" s="28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33">
        <f t="shared" si="1"/>
        <v>0</v>
      </c>
      <c r="W403" s="27"/>
      <c r="X403" s="27"/>
      <c r="Y403" s="27"/>
      <c r="Z403" s="27"/>
      <c r="AA403" s="27"/>
    </row>
    <row r="404">
      <c r="A404" s="28"/>
      <c r="B404" s="28"/>
      <c r="C404" s="28"/>
      <c r="D404" s="28"/>
      <c r="E404" s="28"/>
      <c r="F404" s="28"/>
      <c r="G404" s="28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33">
        <f t="shared" si="1"/>
        <v>0</v>
      </c>
      <c r="W404" s="27"/>
      <c r="X404" s="27"/>
      <c r="Y404" s="27"/>
      <c r="Z404" s="27"/>
      <c r="AA404" s="27"/>
    </row>
    <row r="405">
      <c r="A405" s="28"/>
      <c r="B405" s="28"/>
      <c r="C405" s="28"/>
      <c r="D405" s="28"/>
      <c r="E405" s="28"/>
      <c r="F405" s="28"/>
      <c r="G405" s="28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33">
        <f t="shared" si="1"/>
        <v>0</v>
      </c>
      <c r="W405" s="27"/>
      <c r="X405" s="27"/>
      <c r="Y405" s="27"/>
      <c r="Z405" s="27"/>
      <c r="AA405" s="27"/>
    </row>
    <row r="406">
      <c r="A406" s="28"/>
      <c r="B406" s="28"/>
      <c r="C406" s="28"/>
      <c r="D406" s="28"/>
      <c r="E406" s="28"/>
      <c r="F406" s="28"/>
      <c r="G406" s="28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33">
        <f t="shared" si="1"/>
        <v>0</v>
      </c>
      <c r="W406" s="27"/>
      <c r="X406" s="27"/>
      <c r="Y406" s="27"/>
      <c r="Z406" s="27"/>
      <c r="AA406" s="27"/>
    </row>
    <row r="407">
      <c r="A407" s="28"/>
      <c r="B407" s="28"/>
      <c r="C407" s="28"/>
      <c r="D407" s="28"/>
      <c r="E407" s="28"/>
      <c r="F407" s="28"/>
      <c r="G407" s="28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33">
        <f t="shared" si="1"/>
        <v>0</v>
      </c>
      <c r="W407" s="27"/>
      <c r="X407" s="27"/>
      <c r="Y407" s="27"/>
      <c r="Z407" s="27"/>
      <c r="AA407" s="27"/>
    </row>
    <row r="408">
      <c r="A408" s="28"/>
      <c r="B408" s="28"/>
      <c r="C408" s="28"/>
      <c r="D408" s="28"/>
      <c r="E408" s="28"/>
      <c r="F408" s="28"/>
      <c r="G408" s="28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33">
        <f t="shared" si="1"/>
        <v>0</v>
      </c>
      <c r="W408" s="27"/>
      <c r="X408" s="27"/>
      <c r="Y408" s="27"/>
      <c r="Z408" s="27"/>
      <c r="AA408" s="27"/>
    </row>
    <row r="409">
      <c r="A409" s="28"/>
      <c r="B409" s="28"/>
      <c r="C409" s="28"/>
      <c r="D409" s="28"/>
      <c r="E409" s="28"/>
      <c r="F409" s="28"/>
      <c r="G409" s="28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33">
        <f t="shared" si="1"/>
        <v>0</v>
      </c>
      <c r="W409" s="27"/>
      <c r="X409" s="27"/>
      <c r="Y409" s="27"/>
      <c r="Z409" s="27"/>
      <c r="AA409" s="27"/>
    </row>
    <row r="410">
      <c r="A410" s="28"/>
      <c r="B410" s="28"/>
      <c r="C410" s="28"/>
      <c r="D410" s="28"/>
      <c r="E410" s="28"/>
      <c r="F410" s="28"/>
      <c r="G410" s="28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33">
        <f t="shared" si="1"/>
        <v>0</v>
      </c>
      <c r="W410" s="27"/>
      <c r="X410" s="27"/>
      <c r="Y410" s="27"/>
      <c r="Z410" s="27"/>
      <c r="AA410" s="27"/>
    </row>
    <row r="411">
      <c r="A411" s="28"/>
      <c r="B411" s="28"/>
      <c r="C411" s="28"/>
      <c r="D411" s="28"/>
      <c r="E411" s="28"/>
      <c r="F411" s="28"/>
      <c r="G411" s="28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33">
        <f t="shared" si="1"/>
        <v>0</v>
      </c>
      <c r="W411" s="27"/>
      <c r="X411" s="27"/>
      <c r="Y411" s="27"/>
      <c r="Z411" s="27"/>
      <c r="AA411" s="27"/>
    </row>
    <row r="412">
      <c r="A412" s="28"/>
      <c r="B412" s="28"/>
      <c r="C412" s="28"/>
      <c r="D412" s="28"/>
      <c r="E412" s="28"/>
      <c r="F412" s="28"/>
      <c r="G412" s="28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33">
        <f t="shared" si="1"/>
        <v>0</v>
      </c>
      <c r="W412" s="27"/>
      <c r="X412" s="27"/>
      <c r="Y412" s="27"/>
      <c r="Z412" s="27"/>
      <c r="AA412" s="27"/>
    </row>
    <row r="413">
      <c r="A413" s="28"/>
      <c r="B413" s="28"/>
      <c r="C413" s="28"/>
      <c r="D413" s="28"/>
      <c r="E413" s="28"/>
      <c r="F413" s="28"/>
      <c r="G413" s="28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33">
        <f t="shared" si="1"/>
        <v>0</v>
      </c>
      <c r="W413" s="27"/>
      <c r="X413" s="27"/>
      <c r="Y413" s="27"/>
      <c r="Z413" s="27"/>
      <c r="AA413" s="27"/>
    </row>
    <row r="414">
      <c r="A414" s="28"/>
      <c r="B414" s="28"/>
      <c r="C414" s="28"/>
      <c r="D414" s="28"/>
      <c r="E414" s="28"/>
      <c r="F414" s="28"/>
      <c r="G414" s="28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33">
        <f t="shared" si="1"/>
        <v>0</v>
      </c>
      <c r="W414" s="27"/>
      <c r="X414" s="27"/>
      <c r="Y414" s="27"/>
      <c r="Z414" s="27"/>
      <c r="AA414" s="27"/>
    </row>
    <row r="415">
      <c r="A415" s="28"/>
      <c r="B415" s="28"/>
      <c r="C415" s="28"/>
      <c r="D415" s="28"/>
      <c r="E415" s="28"/>
      <c r="F415" s="28"/>
      <c r="G415" s="28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33">
        <f t="shared" si="1"/>
        <v>0</v>
      </c>
      <c r="W415" s="27"/>
      <c r="X415" s="27"/>
      <c r="Y415" s="27"/>
      <c r="Z415" s="27"/>
      <c r="AA415" s="27"/>
    </row>
    <row r="416">
      <c r="A416" s="28"/>
      <c r="B416" s="28"/>
      <c r="C416" s="28"/>
      <c r="D416" s="28"/>
      <c r="E416" s="28"/>
      <c r="F416" s="28"/>
      <c r="G416" s="28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33">
        <f t="shared" si="1"/>
        <v>0</v>
      </c>
      <c r="W416" s="27"/>
      <c r="X416" s="27"/>
      <c r="Y416" s="27"/>
      <c r="Z416" s="27"/>
      <c r="AA416" s="27"/>
    </row>
    <row r="417">
      <c r="A417" s="28"/>
      <c r="B417" s="28"/>
      <c r="C417" s="28"/>
      <c r="D417" s="28"/>
      <c r="E417" s="28"/>
      <c r="F417" s="28"/>
      <c r="G417" s="28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33">
        <f t="shared" si="1"/>
        <v>0</v>
      </c>
      <c r="W417" s="27"/>
      <c r="X417" s="27"/>
      <c r="Y417" s="27"/>
      <c r="Z417" s="27"/>
      <c r="AA417" s="27"/>
    </row>
    <row r="418">
      <c r="A418" s="28"/>
      <c r="B418" s="28"/>
      <c r="C418" s="28"/>
      <c r="D418" s="28"/>
      <c r="E418" s="28"/>
      <c r="F418" s="28"/>
      <c r="G418" s="28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33">
        <f t="shared" si="1"/>
        <v>0</v>
      </c>
      <c r="W418" s="27"/>
      <c r="X418" s="27"/>
      <c r="Y418" s="27"/>
      <c r="Z418" s="27"/>
      <c r="AA418" s="27"/>
    </row>
    <row r="419">
      <c r="A419" s="28"/>
      <c r="B419" s="28"/>
      <c r="C419" s="28"/>
      <c r="D419" s="28"/>
      <c r="E419" s="28"/>
      <c r="F419" s="28"/>
      <c r="G419" s="28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33">
        <f t="shared" si="1"/>
        <v>0</v>
      </c>
      <c r="W419" s="27"/>
      <c r="X419" s="27"/>
      <c r="Y419" s="27"/>
      <c r="Z419" s="27"/>
      <c r="AA419" s="27"/>
    </row>
    <row r="420">
      <c r="A420" s="28"/>
      <c r="B420" s="28"/>
      <c r="C420" s="28"/>
      <c r="D420" s="28"/>
      <c r="E420" s="28"/>
      <c r="F420" s="28"/>
      <c r="G420" s="28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33">
        <f t="shared" si="1"/>
        <v>0</v>
      </c>
      <c r="W420" s="27"/>
      <c r="X420" s="27"/>
      <c r="Y420" s="27"/>
      <c r="Z420" s="27"/>
      <c r="AA420" s="27"/>
    </row>
    <row r="421">
      <c r="A421" s="28"/>
      <c r="B421" s="28"/>
      <c r="C421" s="28"/>
      <c r="D421" s="28"/>
      <c r="E421" s="28"/>
      <c r="F421" s="28"/>
      <c r="G421" s="28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33">
        <f t="shared" si="1"/>
        <v>0</v>
      </c>
      <c r="W421" s="27"/>
      <c r="X421" s="27"/>
      <c r="Y421" s="27"/>
      <c r="Z421" s="27"/>
      <c r="AA421" s="27"/>
    </row>
    <row r="422">
      <c r="A422" s="28"/>
      <c r="B422" s="28"/>
      <c r="C422" s="28"/>
      <c r="D422" s="28"/>
      <c r="E422" s="28"/>
      <c r="F422" s="28"/>
      <c r="G422" s="28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33">
        <f t="shared" si="1"/>
        <v>0</v>
      </c>
      <c r="W422" s="27"/>
      <c r="X422" s="27"/>
      <c r="Y422" s="27"/>
      <c r="Z422" s="27"/>
      <c r="AA422" s="27"/>
    </row>
    <row r="423">
      <c r="A423" s="28"/>
      <c r="B423" s="28"/>
      <c r="C423" s="28"/>
      <c r="D423" s="28"/>
      <c r="E423" s="28"/>
      <c r="F423" s="28"/>
      <c r="G423" s="28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33">
        <f t="shared" si="1"/>
        <v>0</v>
      </c>
      <c r="W423" s="27"/>
      <c r="X423" s="27"/>
      <c r="Y423" s="27"/>
      <c r="Z423" s="27"/>
      <c r="AA423" s="27"/>
    </row>
    <row r="424">
      <c r="A424" s="28"/>
      <c r="B424" s="28"/>
      <c r="C424" s="28"/>
      <c r="D424" s="28"/>
      <c r="E424" s="28"/>
      <c r="F424" s="28"/>
      <c r="G424" s="28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33">
        <f t="shared" si="1"/>
        <v>0</v>
      </c>
      <c r="W424" s="27"/>
      <c r="X424" s="27"/>
      <c r="Y424" s="27"/>
      <c r="Z424" s="27"/>
      <c r="AA424" s="27"/>
    </row>
    <row r="425">
      <c r="A425" s="28"/>
      <c r="B425" s="28"/>
      <c r="C425" s="28"/>
      <c r="D425" s="28"/>
      <c r="E425" s="28"/>
      <c r="F425" s="28"/>
      <c r="G425" s="28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33">
        <f t="shared" si="1"/>
        <v>0</v>
      </c>
      <c r="W425" s="27"/>
      <c r="X425" s="27"/>
      <c r="Y425" s="27"/>
      <c r="Z425" s="27"/>
      <c r="AA425" s="27"/>
    </row>
    <row r="426">
      <c r="A426" s="28"/>
      <c r="B426" s="28"/>
      <c r="C426" s="28"/>
      <c r="D426" s="28"/>
      <c r="E426" s="28"/>
      <c r="F426" s="28"/>
      <c r="G426" s="28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33">
        <f t="shared" si="1"/>
        <v>0</v>
      </c>
      <c r="W426" s="27"/>
      <c r="X426" s="27"/>
      <c r="Y426" s="27"/>
      <c r="Z426" s="27"/>
      <c r="AA426" s="27"/>
    </row>
    <row r="427">
      <c r="A427" s="28"/>
      <c r="B427" s="28"/>
      <c r="C427" s="28"/>
      <c r="D427" s="28"/>
      <c r="E427" s="28"/>
      <c r="F427" s="28"/>
      <c r="G427" s="28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33">
        <f t="shared" si="1"/>
        <v>0</v>
      </c>
      <c r="W427" s="27"/>
      <c r="X427" s="27"/>
      <c r="Y427" s="27"/>
      <c r="Z427" s="27"/>
      <c r="AA427" s="27"/>
    </row>
    <row r="428">
      <c r="A428" s="28"/>
      <c r="B428" s="28"/>
      <c r="C428" s="28"/>
      <c r="D428" s="28"/>
      <c r="E428" s="28"/>
      <c r="F428" s="28"/>
      <c r="G428" s="28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33">
        <f t="shared" si="1"/>
        <v>0</v>
      </c>
      <c r="W428" s="27"/>
      <c r="X428" s="27"/>
      <c r="Y428" s="27"/>
      <c r="Z428" s="27"/>
      <c r="AA428" s="27"/>
    </row>
    <row r="429">
      <c r="A429" s="28"/>
      <c r="B429" s="28"/>
      <c r="C429" s="28"/>
      <c r="D429" s="28"/>
      <c r="E429" s="28"/>
      <c r="F429" s="28"/>
      <c r="G429" s="28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33">
        <f t="shared" si="1"/>
        <v>0</v>
      </c>
      <c r="W429" s="27"/>
      <c r="X429" s="27"/>
      <c r="Y429" s="27"/>
      <c r="Z429" s="27"/>
      <c r="AA429" s="27"/>
    </row>
    <row r="430">
      <c r="A430" s="28"/>
      <c r="B430" s="28"/>
      <c r="C430" s="28"/>
      <c r="D430" s="28"/>
      <c r="E430" s="28"/>
      <c r="F430" s="28"/>
      <c r="G430" s="28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33">
        <f t="shared" si="1"/>
        <v>0</v>
      </c>
      <c r="W430" s="27"/>
      <c r="X430" s="27"/>
      <c r="Y430" s="27"/>
      <c r="Z430" s="27"/>
      <c r="AA430" s="27"/>
    </row>
    <row r="431">
      <c r="A431" s="28"/>
      <c r="B431" s="28"/>
      <c r="C431" s="28"/>
      <c r="D431" s="28"/>
      <c r="E431" s="28"/>
      <c r="F431" s="28"/>
      <c r="G431" s="28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33">
        <f t="shared" si="1"/>
        <v>0</v>
      </c>
      <c r="W431" s="27"/>
      <c r="X431" s="27"/>
      <c r="Y431" s="27"/>
      <c r="Z431" s="27"/>
      <c r="AA431" s="27"/>
    </row>
    <row r="432">
      <c r="A432" s="28"/>
      <c r="B432" s="28"/>
      <c r="C432" s="28"/>
      <c r="D432" s="28"/>
      <c r="E432" s="28"/>
      <c r="F432" s="28"/>
      <c r="G432" s="28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33">
        <f t="shared" si="1"/>
        <v>0</v>
      </c>
      <c r="W432" s="27"/>
      <c r="X432" s="27"/>
      <c r="Y432" s="27"/>
      <c r="Z432" s="27"/>
      <c r="AA432" s="27"/>
    </row>
    <row r="433">
      <c r="A433" s="28"/>
      <c r="B433" s="28"/>
      <c r="C433" s="28"/>
      <c r="D433" s="28"/>
      <c r="E433" s="28"/>
      <c r="F433" s="28"/>
      <c r="G433" s="28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33">
        <f t="shared" si="1"/>
        <v>0</v>
      </c>
      <c r="W433" s="27"/>
      <c r="X433" s="27"/>
      <c r="Y433" s="27"/>
      <c r="Z433" s="27"/>
      <c r="AA433" s="27"/>
    </row>
    <row r="434">
      <c r="A434" s="28"/>
      <c r="B434" s="28"/>
      <c r="C434" s="28"/>
      <c r="D434" s="28"/>
      <c r="E434" s="28"/>
      <c r="F434" s="28"/>
      <c r="G434" s="28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33">
        <f t="shared" si="1"/>
        <v>0</v>
      </c>
      <c r="W434" s="27"/>
      <c r="X434" s="27"/>
      <c r="Y434" s="27"/>
      <c r="Z434" s="27"/>
      <c r="AA434" s="27"/>
    </row>
    <row r="435">
      <c r="A435" s="28"/>
      <c r="B435" s="28"/>
      <c r="C435" s="28"/>
      <c r="D435" s="28"/>
      <c r="E435" s="28"/>
      <c r="F435" s="28"/>
      <c r="G435" s="28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33">
        <f t="shared" si="1"/>
        <v>0</v>
      </c>
      <c r="W435" s="27"/>
      <c r="X435" s="27"/>
      <c r="Y435" s="27"/>
      <c r="Z435" s="27"/>
      <c r="AA435" s="27"/>
    </row>
    <row r="436">
      <c r="A436" s="28"/>
      <c r="B436" s="28"/>
      <c r="C436" s="28"/>
      <c r="D436" s="28"/>
      <c r="E436" s="28"/>
      <c r="F436" s="28"/>
      <c r="G436" s="28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33">
        <f t="shared" si="1"/>
        <v>0</v>
      </c>
      <c r="W436" s="27"/>
      <c r="X436" s="27"/>
      <c r="Y436" s="27"/>
      <c r="Z436" s="27"/>
      <c r="AA436" s="27"/>
    </row>
    <row r="437">
      <c r="A437" s="28"/>
      <c r="B437" s="28"/>
      <c r="C437" s="28"/>
      <c r="D437" s="28"/>
      <c r="E437" s="28"/>
      <c r="F437" s="28"/>
      <c r="G437" s="28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33">
        <f t="shared" si="1"/>
        <v>0</v>
      </c>
      <c r="W437" s="27"/>
      <c r="X437" s="27"/>
      <c r="Y437" s="27"/>
      <c r="Z437" s="27"/>
      <c r="AA437" s="27"/>
    </row>
    <row r="438">
      <c r="A438" s="28"/>
      <c r="B438" s="28"/>
      <c r="C438" s="28"/>
      <c r="D438" s="28"/>
      <c r="E438" s="28"/>
      <c r="F438" s="28"/>
      <c r="G438" s="28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33">
        <f t="shared" si="1"/>
        <v>0</v>
      </c>
      <c r="W438" s="27"/>
      <c r="X438" s="27"/>
      <c r="Y438" s="27"/>
      <c r="Z438" s="27"/>
      <c r="AA438" s="27"/>
    </row>
    <row r="439">
      <c r="A439" s="28"/>
      <c r="B439" s="28"/>
      <c r="C439" s="28"/>
      <c r="D439" s="28"/>
      <c r="E439" s="28"/>
      <c r="F439" s="28"/>
      <c r="G439" s="28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33">
        <f t="shared" si="1"/>
        <v>0</v>
      </c>
      <c r="W439" s="27"/>
      <c r="X439" s="27"/>
      <c r="Y439" s="27"/>
      <c r="Z439" s="27"/>
      <c r="AA439" s="27"/>
    </row>
    <row r="440">
      <c r="A440" s="28"/>
      <c r="B440" s="28"/>
      <c r="C440" s="28"/>
      <c r="D440" s="28"/>
      <c r="E440" s="28"/>
      <c r="F440" s="28"/>
      <c r="G440" s="28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33">
        <f t="shared" si="1"/>
        <v>0</v>
      </c>
      <c r="W440" s="27"/>
      <c r="X440" s="27"/>
      <c r="Y440" s="27"/>
      <c r="Z440" s="27"/>
      <c r="AA440" s="27"/>
    </row>
    <row r="441">
      <c r="A441" s="28"/>
      <c r="B441" s="28"/>
      <c r="C441" s="28"/>
      <c r="D441" s="28"/>
      <c r="E441" s="28"/>
      <c r="F441" s="28"/>
      <c r="G441" s="28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33">
        <f t="shared" si="1"/>
        <v>0</v>
      </c>
      <c r="W441" s="27"/>
      <c r="X441" s="27"/>
      <c r="Y441" s="27"/>
      <c r="Z441" s="27"/>
      <c r="AA441" s="27"/>
    </row>
    <row r="442">
      <c r="A442" s="28"/>
      <c r="B442" s="28"/>
      <c r="C442" s="28"/>
      <c r="D442" s="28"/>
      <c r="E442" s="28"/>
      <c r="F442" s="28"/>
      <c r="G442" s="28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33">
        <f t="shared" si="1"/>
        <v>0</v>
      </c>
      <c r="W442" s="27"/>
      <c r="X442" s="27"/>
      <c r="Y442" s="27"/>
      <c r="Z442" s="27"/>
      <c r="AA442" s="27"/>
    </row>
    <row r="443">
      <c r="A443" s="28"/>
      <c r="B443" s="28"/>
      <c r="C443" s="28"/>
      <c r="D443" s="28"/>
      <c r="E443" s="28"/>
      <c r="F443" s="28"/>
      <c r="G443" s="28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33">
        <f t="shared" si="1"/>
        <v>0</v>
      </c>
      <c r="W443" s="27"/>
      <c r="X443" s="27"/>
      <c r="Y443" s="27"/>
      <c r="Z443" s="27"/>
      <c r="AA443" s="27"/>
    </row>
    <row r="444">
      <c r="A444" s="28"/>
      <c r="B444" s="28"/>
      <c r="C444" s="28"/>
      <c r="D444" s="28"/>
      <c r="E444" s="28"/>
      <c r="F444" s="28"/>
      <c r="G444" s="28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33">
        <f t="shared" si="1"/>
        <v>0</v>
      </c>
      <c r="W444" s="27"/>
      <c r="X444" s="27"/>
      <c r="Y444" s="27"/>
      <c r="Z444" s="27"/>
      <c r="AA444" s="27"/>
    </row>
    <row r="445">
      <c r="A445" s="28"/>
      <c r="B445" s="28"/>
      <c r="C445" s="28"/>
      <c r="D445" s="28"/>
      <c r="E445" s="28"/>
      <c r="F445" s="28"/>
      <c r="G445" s="28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33">
        <f t="shared" si="1"/>
        <v>0</v>
      </c>
      <c r="W445" s="27"/>
      <c r="X445" s="27"/>
      <c r="Y445" s="27"/>
      <c r="Z445" s="27"/>
      <c r="AA445" s="27"/>
    </row>
    <row r="446">
      <c r="A446" s="28"/>
      <c r="B446" s="28"/>
      <c r="C446" s="28"/>
      <c r="D446" s="28"/>
      <c r="E446" s="28"/>
      <c r="F446" s="28"/>
      <c r="G446" s="28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33">
        <f t="shared" si="1"/>
        <v>0</v>
      </c>
      <c r="W446" s="27"/>
      <c r="X446" s="27"/>
      <c r="Y446" s="27"/>
      <c r="Z446" s="27"/>
      <c r="AA446" s="27"/>
    </row>
    <row r="447">
      <c r="A447" s="28"/>
      <c r="B447" s="28"/>
      <c r="C447" s="28"/>
      <c r="D447" s="28"/>
      <c r="E447" s="28"/>
      <c r="F447" s="28"/>
      <c r="G447" s="28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33">
        <f t="shared" si="1"/>
        <v>0</v>
      </c>
      <c r="W447" s="27"/>
      <c r="X447" s="27"/>
      <c r="Y447" s="27"/>
      <c r="Z447" s="27"/>
      <c r="AA447" s="27"/>
    </row>
    <row r="448">
      <c r="A448" s="28"/>
      <c r="B448" s="28"/>
      <c r="C448" s="28"/>
      <c r="D448" s="28"/>
      <c r="E448" s="28"/>
      <c r="F448" s="28"/>
      <c r="G448" s="28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33">
        <f t="shared" si="1"/>
        <v>0</v>
      </c>
      <c r="W448" s="27"/>
      <c r="X448" s="27"/>
      <c r="Y448" s="27"/>
      <c r="Z448" s="27"/>
      <c r="AA448" s="27"/>
    </row>
    <row r="449">
      <c r="A449" s="28"/>
      <c r="B449" s="28"/>
      <c r="C449" s="28"/>
      <c r="D449" s="28"/>
      <c r="E449" s="28"/>
      <c r="F449" s="28"/>
      <c r="G449" s="28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33">
        <f t="shared" si="1"/>
        <v>0</v>
      </c>
      <c r="W449" s="27"/>
      <c r="X449" s="27"/>
      <c r="Y449" s="27"/>
      <c r="Z449" s="27"/>
      <c r="AA449" s="27"/>
    </row>
    <row r="450">
      <c r="A450" s="28"/>
      <c r="B450" s="28"/>
      <c r="C450" s="28"/>
      <c r="D450" s="28"/>
      <c r="E450" s="28"/>
      <c r="F450" s="28"/>
      <c r="G450" s="28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33">
        <f t="shared" si="1"/>
        <v>0</v>
      </c>
      <c r="W450" s="27"/>
      <c r="X450" s="27"/>
      <c r="Y450" s="27"/>
      <c r="Z450" s="27"/>
      <c r="AA450" s="27"/>
    </row>
    <row r="451">
      <c r="A451" s="28"/>
      <c r="B451" s="28"/>
      <c r="C451" s="28"/>
      <c r="D451" s="28"/>
      <c r="E451" s="28"/>
      <c r="F451" s="28"/>
      <c r="G451" s="28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33">
        <f t="shared" si="1"/>
        <v>0</v>
      </c>
      <c r="W451" s="27"/>
      <c r="X451" s="27"/>
      <c r="Y451" s="27"/>
      <c r="Z451" s="27"/>
      <c r="AA451" s="27"/>
    </row>
    <row r="452">
      <c r="A452" s="28"/>
      <c r="B452" s="28"/>
      <c r="C452" s="28"/>
      <c r="D452" s="28"/>
      <c r="E452" s="28"/>
      <c r="F452" s="28"/>
      <c r="G452" s="28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33">
        <f t="shared" si="1"/>
        <v>0</v>
      </c>
      <c r="W452" s="27"/>
      <c r="X452" s="27"/>
      <c r="Y452" s="27"/>
      <c r="Z452" s="27"/>
      <c r="AA452" s="27"/>
    </row>
    <row r="453">
      <c r="A453" s="28"/>
      <c r="B453" s="28"/>
      <c r="C453" s="28"/>
      <c r="D453" s="28"/>
      <c r="E453" s="28"/>
      <c r="F453" s="28"/>
      <c r="G453" s="28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33">
        <f t="shared" si="1"/>
        <v>0</v>
      </c>
      <c r="W453" s="27"/>
      <c r="X453" s="27"/>
      <c r="Y453" s="27"/>
      <c r="Z453" s="27"/>
      <c r="AA453" s="27"/>
    </row>
    <row r="454">
      <c r="A454" s="28"/>
      <c r="B454" s="28"/>
      <c r="C454" s="28"/>
      <c r="D454" s="28"/>
      <c r="E454" s="28"/>
      <c r="F454" s="28"/>
      <c r="G454" s="28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33">
        <f t="shared" si="1"/>
        <v>0</v>
      </c>
      <c r="W454" s="27"/>
      <c r="X454" s="27"/>
      <c r="Y454" s="27"/>
      <c r="Z454" s="27"/>
      <c r="AA454" s="27"/>
    </row>
    <row r="455">
      <c r="A455" s="28"/>
      <c r="B455" s="28"/>
      <c r="C455" s="28"/>
      <c r="D455" s="28"/>
      <c r="E455" s="28"/>
      <c r="F455" s="28"/>
      <c r="G455" s="28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33">
        <f t="shared" si="1"/>
        <v>0</v>
      </c>
      <c r="W455" s="27"/>
      <c r="X455" s="27"/>
      <c r="Y455" s="27"/>
      <c r="Z455" s="27"/>
      <c r="AA455" s="27"/>
    </row>
    <row r="456">
      <c r="A456" s="28"/>
      <c r="B456" s="28"/>
      <c r="C456" s="28"/>
      <c r="D456" s="28"/>
      <c r="E456" s="28"/>
      <c r="F456" s="28"/>
      <c r="G456" s="28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33">
        <f t="shared" si="1"/>
        <v>0</v>
      </c>
      <c r="W456" s="27"/>
      <c r="X456" s="27"/>
      <c r="Y456" s="27"/>
      <c r="Z456" s="27"/>
      <c r="AA456" s="27"/>
    </row>
    <row r="457">
      <c r="A457" s="28"/>
      <c r="B457" s="28"/>
      <c r="C457" s="28"/>
      <c r="D457" s="28"/>
      <c r="E457" s="28"/>
      <c r="F457" s="28"/>
      <c r="G457" s="28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33">
        <f t="shared" si="1"/>
        <v>0</v>
      </c>
      <c r="W457" s="27"/>
      <c r="X457" s="27"/>
      <c r="Y457" s="27"/>
      <c r="Z457" s="27"/>
      <c r="AA457" s="27"/>
    </row>
    <row r="458">
      <c r="A458" s="28"/>
      <c r="B458" s="28"/>
      <c r="C458" s="28"/>
      <c r="D458" s="28"/>
      <c r="E458" s="28"/>
      <c r="F458" s="28"/>
      <c r="G458" s="28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33">
        <f t="shared" si="1"/>
        <v>0</v>
      </c>
      <c r="W458" s="27"/>
      <c r="X458" s="27"/>
      <c r="Y458" s="27"/>
      <c r="Z458" s="27"/>
      <c r="AA458" s="27"/>
    </row>
    <row r="459">
      <c r="A459" s="28"/>
      <c r="B459" s="28"/>
      <c r="C459" s="28"/>
      <c r="D459" s="28"/>
      <c r="E459" s="28"/>
      <c r="F459" s="28"/>
      <c r="G459" s="28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33">
        <f t="shared" si="1"/>
        <v>0</v>
      </c>
      <c r="W459" s="27"/>
      <c r="X459" s="27"/>
      <c r="Y459" s="27"/>
      <c r="Z459" s="27"/>
      <c r="AA459" s="27"/>
    </row>
    <row r="460">
      <c r="A460" s="28"/>
      <c r="B460" s="28"/>
      <c r="C460" s="28"/>
      <c r="D460" s="28"/>
      <c r="E460" s="28"/>
      <c r="F460" s="28"/>
      <c r="G460" s="28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33">
        <f t="shared" si="1"/>
        <v>0</v>
      </c>
      <c r="W460" s="27"/>
      <c r="X460" s="27"/>
      <c r="Y460" s="27"/>
      <c r="Z460" s="27"/>
      <c r="AA460" s="27"/>
    </row>
    <row r="461">
      <c r="A461" s="28"/>
      <c r="B461" s="28"/>
      <c r="C461" s="28"/>
      <c r="D461" s="28"/>
      <c r="E461" s="28"/>
      <c r="F461" s="28"/>
      <c r="G461" s="28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33">
        <f t="shared" si="1"/>
        <v>0</v>
      </c>
      <c r="W461" s="27"/>
      <c r="X461" s="27"/>
      <c r="Y461" s="27"/>
      <c r="Z461" s="27"/>
      <c r="AA461" s="27"/>
    </row>
    <row r="462">
      <c r="A462" s="28"/>
      <c r="B462" s="28"/>
      <c r="C462" s="28"/>
      <c r="D462" s="28"/>
      <c r="E462" s="28"/>
      <c r="F462" s="28"/>
      <c r="G462" s="28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33">
        <f t="shared" si="1"/>
        <v>0</v>
      </c>
      <c r="W462" s="27"/>
      <c r="X462" s="27"/>
      <c r="Y462" s="27"/>
      <c r="Z462" s="27"/>
      <c r="AA462" s="27"/>
    </row>
    <row r="463">
      <c r="A463" s="28"/>
      <c r="B463" s="28"/>
      <c r="C463" s="28"/>
      <c r="D463" s="28"/>
      <c r="E463" s="28"/>
      <c r="F463" s="28"/>
      <c r="G463" s="28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33">
        <f t="shared" si="1"/>
        <v>0</v>
      </c>
      <c r="W463" s="27"/>
      <c r="X463" s="27"/>
      <c r="Y463" s="27"/>
      <c r="Z463" s="27"/>
      <c r="AA463" s="27"/>
    </row>
    <row r="464">
      <c r="A464" s="28"/>
      <c r="B464" s="28"/>
      <c r="C464" s="28"/>
      <c r="D464" s="28"/>
      <c r="E464" s="28"/>
      <c r="F464" s="28"/>
      <c r="G464" s="28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33">
        <f t="shared" si="1"/>
        <v>0</v>
      </c>
      <c r="W464" s="27"/>
      <c r="X464" s="27"/>
      <c r="Y464" s="27"/>
      <c r="Z464" s="27"/>
      <c r="AA464" s="27"/>
    </row>
    <row r="465">
      <c r="A465" s="28"/>
      <c r="B465" s="28"/>
      <c r="C465" s="28"/>
      <c r="D465" s="28"/>
      <c r="E465" s="28"/>
      <c r="F465" s="28"/>
      <c r="G465" s="28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33">
        <f t="shared" si="1"/>
        <v>0</v>
      </c>
      <c r="W465" s="27"/>
      <c r="X465" s="27"/>
      <c r="Y465" s="27"/>
      <c r="Z465" s="27"/>
      <c r="AA465" s="27"/>
    </row>
    <row r="466">
      <c r="A466" s="28"/>
      <c r="B466" s="28"/>
      <c r="C466" s="28"/>
      <c r="D466" s="28"/>
      <c r="E466" s="28"/>
      <c r="F466" s="28"/>
      <c r="G466" s="28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33">
        <f t="shared" si="1"/>
        <v>0</v>
      </c>
      <c r="W466" s="27"/>
      <c r="X466" s="27"/>
      <c r="Y466" s="27"/>
      <c r="Z466" s="27"/>
      <c r="AA466" s="27"/>
    </row>
    <row r="467">
      <c r="A467" s="28"/>
      <c r="B467" s="28"/>
      <c r="C467" s="28"/>
      <c r="D467" s="28"/>
      <c r="E467" s="28"/>
      <c r="F467" s="28"/>
      <c r="G467" s="28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33">
        <f t="shared" si="1"/>
        <v>0</v>
      </c>
      <c r="W467" s="27"/>
      <c r="X467" s="27"/>
      <c r="Y467" s="27"/>
      <c r="Z467" s="27"/>
      <c r="AA467" s="27"/>
    </row>
    <row r="468">
      <c r="A468" s="28"/>
      <c r="B468" s="28"/>
      <c r="C468" s="28"/>
      <c r="D468" s="28"/>
      <c r="E468" s="28"/>
      <c r="F468" s="28"/>
      <c r="G468" s="28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33">
        <f t="shared" si="1"/>
        <v>0</v>
      </c>
      <c r="W468" s="27"/>
      <c r="X468" s="27"/>
      <c r="Y468" s="27"/>
      <c r="Z468" s="27"/>
      <c r="AA468" s="27"/>
    </row>
    <row r="469">
      <c r="A469" s="28"/>
      <c r="B469" s="28"/>
      <c r="C469" s="28"/>
      <c r="D469" s="28"/>
      <c r="E469" s="28"/>
      <c r="F469" s="28"/>
      <c r="G469" s="28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33">
        <f t="shared" si="1"/>
        <v>0</v>
      </c>
      <c r="W469" s="27"/>
      <c r="X469" s="27"/>
      <c r="Y469" s="27"/>
      <c r="Z469" s="27"/>
      <c r="AA469" s="27"/>
    </row>
    <row r="470">
      <c r="A470" s="28"/>
      <c r="B470" s="28"/>
      <c r="C470" s="28"/>
      <c r="D470" s="28"/>
      <c r="E470" s="28"/>
      <c r="F470" s="28"/>
      <c r="G470" s="28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33">
        <f t="shared" si="1"/>
        <v>0</v>
      </c>
      <c r="W470" s="27"/>
      <c r="X470" s="27"/>
      <c r="Y470" s="27"/>
      <c r="Z470" s="27"/>
      <c r="AA470" s="27"/>
    </row>
    <row r="471">
      <c r="A471" s="28"/>
      <c r="B471" s="28"/>
      <c r="C471" s="28"/>
      <c r="D471" s="28"/>
      <c r="E471" s="28"/>
      <c r="F471" s="28"/>
      <c r="G471" s="28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33">
        <f t="shared" si="1"/>
        <v>0</v>
      </c>
      <c r="W471" s="27"/>
      <c r="X471" s="27"/>
      <c r="Y471" s="27"/>
      <c r="Z471" s="27"/>
      <c r="AA471" s="27"/>
    </row>
    <row r="472">
      <c r="A472" s="28"/>
      <c r="B472" s="28"/>
      <c r="C472" s="28"/>
      <c r="D472" s="28"/>
      <c r="E472" s="28"/>
      <c r="F472" s="28"/>
      <c r="G472" s="28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33">
        <f t="shared" si="1"/>
        <v>0</v>
      </c>
      <c r="W472" s="27"/>
      <c r="X472" s="27"/>
      <c r="Y472" s="27"/>
      <c r="Z472" s="27"/>
      <c r="AA472" s="27"/>
    </row>
    <row r="473">
      <c r="A473" s="28"/>
      <c r="B473" s="28"/>
      <c r="C473" s="28"/>
      <c r="D473" s="28"/>
      <c r="E473" s="28"/>
      <c r="F473" s="28"/>
      <c r="G473" s="28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33">
        <f t="shared" si="1"/>
        <v>0</v>
      </c>
      <c r="W473" s="27"/>
      <c r="X473" s="27"/>
      <c r="Y473" s="27"/>
      <c r="Z473" s="27"/>
      <c r="AA473" s="27"/>
    </row>
    <row r="474">
      <c r="A474" s="28"/>
      <c r="B474" s="28"/>
      <c r="C474" s="28"/>
      <c r="D474" s="28"/>
      <c r="E474" s="28"/>
      <c r="F474" s="28"/>
      <c r="G474" s="28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33">
        <f t="shared" si="1"/>
        <v>0</v>
      </c>
      <c r="W474" s="27"/>
      <c r="X474" s="27"/>
      <c r="Y474" s="27"/>
      <c r="Z474" s="27"/>
      <c r="AA474" s="27"/>
    </row>
    <row r="475">
      <c r="A475" s="28"/>
      <c r="B475" s="28"/>
      <c r="C475" s="28"/>
      <c r="D475" s="28"/>
      <c r="E475" s="28"/>
      <c r="F475" s="28"/>
      <c r="G475" s="28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33">
        <f t="shared" si="1"/>
        <v>0</v>
      </c>
      <c r="W475" s="27"/>
      <c r="X475" s="27"/>
      <c r="Y475" s="27"/>
      <c r="Z475" s="27"/>
      <c r="AA475" s="27"/>
    </row>
    <row r="476">
      <c r="A476" s="28"/>
      <c r="B476" s="28"/>
      <c r="C476" s="28"/>
      <c r="D476" s="28"/>
      <c r="E476" s="28"/>
      <c r="F476" s="28"/>
      <c r="G476" s="28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33">
        <f t="shared" si="1"/>
        <v>0</v>
      </c>
      <c r="W476" s="27"/>
      <c r="X476" s="27"/>
      <c r="Y476" s="27"/>
      <c r="Z476" s="27"/>
      <c r="AA476" s="27"/>
    </row>
    <row r="477">
      <c r="A477" s="28"/>
      <c r="B477" s="28"/>
      <c r="C477" s="28"/>
      <c r="D477" s="28"/>
      <c r="E477" s="28"/>
      <c r="F477" s="28"/>
      <c r="G477" s="28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33">
        <f t="shared" si="1"/>
        <v>0</v>
      </c>
      <c r="W477" s="27"/>
      <c r="X477" s="27"/>
      <c r="Y477" s="27"/>
      <c r="Z477" s="27"/>
      <c r="AA477" s="27"/>
    </row>
    <row r="478">
      <c r="A478" s="28"/>
      <c r="B478" s="28"/>
      <c r="C478" s="28"/>
      <c r="D478" s="28"/>
      <c r="E478" s="28"/>
      <c r="F478" s="28"/>
      <c r="G478" s="28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33">
        <f t="shared" si="1"/>
        <v>0</v>
      </c>
      <c r="W478" s="27"/>
      <c r="X478" s="27"/>
      <c r="Y478" s="27"/>
      <c r="Z478" s="27"/>
      <c r="AA478" s="27"/>
    </row>
    <row r="479">
      <c r="A479" s="28"/>
      <c r="B479" s="28"/>
      <c r="C479" s="28"/>
      <c r="D479" s="28"/>
      <c r="E479" s="28"/>
      <c r="F479" s="28"/>
      <c r="G479" s="28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33">
        <f t="shared" si="1"/>
        <v>0</v>
      </c>
      <c r="W479" s="27"/>
      <c r="X479" s="27"/>
      <c r="Y479" s="27"/>
      <c r="Z479" s="27"/>
      <c r="AA479" s="27"/>
    </row>
    <row r="480">
      <c r="A480" s="28"/>
      <c r="B480" s="28"/>
      <c r="C480" s="28"/>
      <c r="D480" s="28"/>
      <c r="E480" s="28"/>
      <c r="F480" s="28"/>
      <c r="G480" s="28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33">
        <f t="shared" si="1"/>
        <v>0</v>
      </c>
      <c r="W480" s="27"/>
      <c r="X480" s="27"/>
      <c r="Y480" s="27"/>
      <c r="Z480" s="27"/>
      <c r="AA480" s="27"/>
    </row>
    <row r="481">
      <c r="A481" s="28"/>
      <c r="B481" s="28"/>
      <c r="C481" s="28"/>
      <c r="D481" s="28"/>
      <c r="E481" s="28"/>
      <c r="F481" s="28"/>
      <c r="G481" s="28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33">
        <f t="shared" si="1"/>
        <v>0</v>
      </c>
      <c r="W481" s="27"/>
      <c r="X481" s="27"/>
      <c r="Y481" s="27"/>
      <c r="Z481" s="27"/>
      <c r="AA481" s="27"/>
    </row>
    <row r="482">
      <c r="A482" s="28"/>
      <c r="B482" s="28"/>
      <c r="C482" s="28"/>
      <c r="D482" s="28"/>
      <c r="E482" s="28"/>
      <c r="F482" s="28"/>
      <c r="G482" s="28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33">
        <f t="shared" si="1"/>
        <v>0</v>
      </c>
      <c r="W482" s="27"/>
      <c r="X482" s="27"/>
      <c r="Y482" s="27"/>
      <c r="Z482" s="27"/>
      <c r="AA482" s="27"/>
    </row>
    <row r="483">
      <c r="A483" s="28"/>
      <c r="B483" s="28"/>
      <c r="C483" s="28"/>
      <c r="D483" s="28"/>
      <c r="E483" s="28"/>
      <c r="F483" s="28"/>
      <c r="G483" s="28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33">
        <f t="shared" si="1"/>
        <v>0</v>
      </c>
      <c r="W483" s="27"/>
      <c r="X483" s="27"/>
      <c r="Y483" s="27"/>
      <c r="Z483" s="27"/>
      <c r="AA483" s="27"/>
    </row>
    <row r="484">
      <c r="A484" s="28"/>
      <c r="B484" s="28"/>
      <c r="C484" s="28"/>
      <c r="D484" s="28"/>
      <c r="E484" s="28"/>
      <c r="F484" s="28"/>
      <c r="G484" s="28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33">
        <f t="shared" si="1"/>
        <v>0</v>
      </c>
      <c r="W484" s="27"/>
      <c r="X484" s="27"/>
      <c r="Y484" s="27"/>
      <c r="Z484" s="27"/>
      <c r="AA484" s="27"/>
    </row>
    <row r="485">
      <c r="A485" s="28"/>
      <c r="B485" s="28"/>
      <c r="C485" s="28"/>
      <c r="D485" s="28"/>
      <c r="E485" s="28"/>
      <c r="F485" s="28"/>
      <c r="G485" s="28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33">
        <f t="shared" si="1"/>
        <v>0</v>
      </c>
      <c r="W485" s="27"/>
      <c r="X485" s="27"/>
      <c r="Y485" s="27"/>
      <c r="Z485" s="27"/>
      <c r="AA485" s="27"/>
    </row>
    <row r="486">
      <c r="A486" s="28"/>
      <c r="B486" s="28"/>
      <c r="C486" s="28"/>
      <c r="D486" s="28"/>
      <c r="E486" s="28"/>
      <c r="F486" s="28"/>
      <c r="G486" s="28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33">
        <f t="shared" si="1"/>
        <v>0</v>
      </c>
      <c r="W486" s="27"/>
      <c r="X486" s="27"/>
      <c r="Y486" s="27"/>
      <c r="Z486" s="27"/>
      <c r="AA486" s="27"/>
    </row>
    <row r="487">
      <c r="A487" s="28"/>
      <c r="B487" s="28"/>
      <c r="C487" s="28"/>
      <c r="D487" s="28"/>
      <c r="E487" s="28"/>
      <c r="F487" s="28"/>
      <c r="G487" s="28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33">
        <f t="shared" si="1"/>
        <v>0</v>
      </c>
      <c r="W487" s="27"/>
      <c r="X487" s="27"/>
      <c r="Y487" s="27"/>
      <c r="Z487" s="27"/>
      <c r="AA487" s="27"/>
    </row>
    <row r="488">
      <c r="A488" s="28"/>
      <c r="B488" s="28"/>
      <c r="C488" s="28"/>
      <c r="D488" s="28"/>
      <c r="E488" s="28"/>
      <c r="F488" s="28"/>
      <c r="G488" s="28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33">
        <f t="shared" si="1"/>
        <v>0</v>
      </c>
      <c r="W488" s="27"/>
      <c r="X488" s="27"/>
      <c r="Y488" s="27"/>
      <c r="Z488" s="27"/>
      <c r="AA488" s="27"/>
    </row>
    <row r="489">
      <c r="A489" s="28"/>
      <c r="B489" s="28"/>
      <c r="C489" s="28"/>
      <c r="D489" s="28"/>
      <c r="E489" s="28"/>
      <c r="F489" s="28"/>
      <c r="G489" s="28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33">
        <f t="shared" si="1"/>
        <v>0</v>
      </c>
      <c r="W489" s="27"/>
      <c r="X489" s="27"/>
      <c r="Y489" s="27"/>
      <c r="Z489" s="27"/>
      <c r="AA489" s="27"/>
    </row>
    <row r="490">
      <c r="A490" s="28"/>
      <c r="B490" s="28"/>
      <c r="C490" s="28"/>
      <c r="D490" s="28"/>
      <c r="E490" s="28"/>
      <c r="F490" s="28"/>
      <c r="G490" s="28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33">
        <f t="shared" si="1"/>
        <v>0</v>
      </c>
      <c r="W490" s="27"/>
      <c r="X490" s="27"/>
      <c r="Y490" s="27"/>
      <c r="Z490" s="27"/>
      <c r="AA490" s="27"/>
    </row>
    <row r="491">
      <c r="A491" s="28"/>
      <c r="B491" s="28"/>
      <c r="C491" s="28"/>
      <c r="D491" s="28"/>
      <c r="E491" s="28"/>
      <c r="F491" s="28"/>
      <c r="G491" s="28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33">
        <f t="shared" si="1"/>
        <v>0</v>
      </c>
      <c r="W491" s="27"/>
      <c r="X491" s="27"/>
      <c r="Y491" s="27"/>
      <c r="Z491" s="27"/>
      <c r="AA491" s="27"/>
    </row>
    <row r="492">
      <c r="A492" s="28"/>
      <c r="B492" s="28"/>
      <c r="C492" s="28"/>
      <c r="D492" s="28"/>
      <c r="E492" s="28"/>
      <c r="F492" s="28"/>
      <c r="G492" s="28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33">
        <f t="shared" si="1"/>
        <v>0</v>
      </c>
      <c r="W492" s="27"/>
      <c r="X492" s="27"/>
      <c r="Y492" s="27"/>
      <c r="Z492" s="27"/>
      <c r="AA492" s="27"/>
    </row>
    <row r="493">
      <c r="A493" s="28"/>
      <c r="B493" s="28"/>
      <c r="C493" s="28"/>
      <c r="D493" s="28"/>
      <c r="E493" s="28"/>
      <c r="F493" s="28"/>
      <c r="G493" s="28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33">
        <f t="shared" si="1"/>
        <v>0</v>
      </c>
      <c r="W493" s="27"/>
      <c r="X493" s="27"/>
      <c r="Y493" s="27"/>
      <c r="Z493" s="27"/>
      <c r="AA493" s="27"/>
    </row>
    <row r="494">
      <c r="A494" s="28"/>
      <c r="B494" s="28"/>
      <c r="C494" s="28"/>
      <c r="D494" s="28"/>
      <c r="E494" s="28"/>
      <c r="F494" s="28"/>
      <c r="G494" s="28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33">
        <f t="shared" si="1"/>
        <v>0</v>
      </c>
      <c r="W494" s="27"/>
      <c r="X494" s="27"/>
      <c r="Y494" s="27"/>
      <c r="Z494" s="27"/>
      <c r="AA494" s="27"/>
    </row>
    <row r="495">
      <c r="A495" s="28"/>
      <c r="B495" s="28"/>
      <c r="C495" s="28"/>
      <c r="D495" s="28"/>
      <c r="E495" s="28"/>
      <c r="F495" s="28"/>
      <c r="G495" s="28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33">
        <f t="shared" si="1"/>
        <v>0</v>
      </c>
      <c r="W495" s="27"/>
      <c r="X495" s="27"/>
      <c r="Y495" s="27"/>
      <c r="Z495" s="27"/>
      <c r="AA495" s="27"/>
    </row>
    <row r="496">
      <c r="A496" s="28"/>
      <c r="B496" s="28"/>
      <c r="C496" s="28"/>
      <c r="D496" s="28"/>
      <c r="E496" s="28"/>
      <c r="F496" s="28"/>
      <c r="G496" s="28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33">
        <f t="shared" si="1"/>
        <v>0</v>
      </c>
      <c r="W496" s="27"/>
      <c r="X496" s="27"/>
      <c r="Y496" s="27"/>
      <c r="Z496" s="27"/>
      <c r="AA496" s="27"/>
    </row>
    <row r="497">
      <c r="A497" s="28"/>
      <c r="B497" s="28"/>
      <c r="C497" s="28"/>
      <c r="D497" s="28"/>
      <c r="E497" s="28"/>
      <c r="F497" s="28"/>
      <c r="G497" s="28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33">
        <f t="shared" si="1"/>
        <v>0</v>
      </c>
      <c r="W497" s="27"/>
      <c r="X497" s="27"/>
      <c r="Y497" s="27"/>
      <c r="Z497" s="27"/>
      <c r="AA497" s="27"/>
    </row>
    <row r="498">
      <c r="A498" s="28"/>
      <c r="B498" s="28"/>
      <c r="C498" s="28"/>
      <c r="D498" s="28"/>
      <c r="E498" s="28"/>
      <c r="F498" s="28"/>
      <c r="G498" s="28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33">
        <f t="shared" si="1"/>
        <v>0</v>
      </c>
      <c r="W498" s="27"/>
      <c r="X498" s="27"/>
      <c r="Y498" s="27"/>
      <c r="Z498" s="27"/>
      <c r="AA498" s="27"/>
    </row>
    <row r="499">
      <c r="A499" s="28"/>
      <c r="B499" s="28"/>
      <c r="C499" s="28"/>
      <c r="D499" s="28"/>
      <c r="E499" s="28"/>
      <c r="F499" s="28"/>
      <c r="G499" s="28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33">
        <f t="shared" si="1"/>
        <v>0</v>
      </c>
      <c r="W499" s="27"/>
      <c r="X499" s="27"/>
      <c r="Y499" s="27"/>
      <c r="Z499" s="27"/>
      <c r="AA499" s="27"/>
    </row>
    <row r="500">
      <c r="A500" s="28"/>
      <c r="B500" s="28"/>
      <c r="C500" s="28"/>
      <c r="D500" s="28"/>
      <c r="E500" s="28"/>
      <c r="F500" s="28"/>
      <c r="G500" s="28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33">
        <f t="shared" si="1"/>
        <v>0</v>
      </c>
      <c r="W500" s="27"/>
      <c r="X500" s="27"/>
      <c r="Y500" s="27"/>
      <c r="Z500" s="27"/>
      <c r="AA500" s="27"/>
    </row>
    <row r="501">
      <c r="A501" s="28"/>
      <c r="B501" s="28"/>
      <c r="C501" s="28"/>
      <c r="D501" s="28"/>
      <c r="E501" s="28"/>
      <c r="F501" s="28"/>
      <c r="G501" s="28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33">
        <f t="shared" si="1"/>
        <v>0</v>
      </c>
      <c r="W501" s="27"/>
      <c r="X501" s="27"/>
      <c r="Y501" s="27"/>
      <c r="Z501" s="27"/>
      <c r="AA501" s="27"/>
    </row>
    <row r="502">
      <c r="A502" s="28"/>
      <c r="B502" s="28"/>
      <c r="C502" s="28"/>
      <c r="D502" s="28"/>
      <c r="E502" s="28"/>
      <c r="F502" s="28"/>
      <c r="G502" s="28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33">
        <f t="shared" si="1"/>
        <v>0</v>
      </c>
      <c r="W502" s="27"/>
      <c r="X502" s="27"/>
      <c r="Y502" s="27"/>
      <c r="Z502" s="27"/>
      <c r="AA502" s="27"/>
    </row>
    <row r="503">
      <c r="A503" s="28"/>
      <c r="B503" s="28"/>
      <c r="C503" s="28"/>
      <c r="D503" s="28"/>
      <c r="E503" s="28"/>
      <c r="F503" s="28"/>
      <c r="G503" s="28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33">
        <f t="shared" si="1"/>
        <v>0</v>
      </c>
      <c r="W503" s="27"/>
      <c r="X503" s="27"/>
      <c r="Y503" s="27"/>
      <c r="Z503" s="27"/>
      <c r="AA503" s="27"/>
    </row>
    <row r="504">
      <c r="A504" s="28"/>
      <c r="B504" s="28"/>
      <c r="C504" s="28"/>
      <c r="D504" s="28"/>
      <c r="E504" s="28"/>
      <c r="F504" s="28"/>
      <c r="G504" s="28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33">
        <f t="shared" si="1"/>
        <v>0</v>
      </c>
      <c r="W504" s="27"/>
      <c r="X504" s="27"/>
      <c r="Y504" s="27"/>
      <c r="Z504" s="27"/>
      <c r="AA504" s="27"/>
    </row>
    <row r="505">
      <c r="A505" s="28"/>
      <c r="B505" s="28"/>
      <c r="C505" s="28"/>
      <c r="D505" s="28"/>
      <c r="E505" s="28"/>
      <c r="F505" s="28"/>
      <c r="G505" s="28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33">
        <f t="shared" si="1"/>
        <v>0</v>
      </c>
      <c r="W505" s="27"/>
      <c r="X505" s="27"/>
      <c r="Y505" s="27"/>
      <c r="Z505" s="27"/>
      <c r="AA505" s="27"/>
    </row>
    <row r="506">
      <c r="A506" s="28"/>
      <c r="B506" s="28"/>
      <c r="C506" s="28"/>
      <c r="D506" s="28"/>
      <c r="E506" s="28"/>
      <c r="F506" s="28"/>
      <c r="G506" s="28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33">
        <f t="shared" si="1"/>
        <v>0</v>
      </c>
      <c r="W506" s="27"/>
      <c r="X506" s="27"/>
      <c r="Y506" s="27"/>
      <c r="Z506" s="27"/>
      <c r="AA506" s="27"/>
    </row>
    <row r="507">
      <c r="A507" s="28"/>
      <c r="B507" s="28"/>
      <c r="C507" s="28"/>
      <c r="D507" s="28"/>
      <c r="E507" s="28"/>
      <c r="F507" s="28"/>
      <c r="G507" s="28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33">
        <f t="shared" si="1"/>
        <v>0</v>
      </c>
      <c r="W507" s="27"/>
      <c r="X507" s="27"/>
      <c r="Y507" s="27"/>
      <c r="Z507" s="27"/>
      <c r="AA507" s="27"/>
    </row>
    <row r="508">
      <c r="A508" s="28"/>
      <c r="B508" s="28"/>
      <c r="C508" s="28"/>
      <c r="D508" s="28"/>
      <c r="E508" s="28"/>
      <c r="F508" s="28"/>
      <c r="G508" s="28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33">
        <f t="shared" si="1"/>
        <v>0</v>
      </c>
      <c r="W508" s="27"/>
      <c r="X508" s="27"/>
      <c r="Y508" s="27"/>
      <c r="Z508" s="27"/>
      <c r="AA508" s="27"/>
    </row>
    <row r="509">
      <c r="A509" s="28"/>
      <c r="B509" s="28"/>
      <c r="C509" s="28"/>
      <c r="D509" s="28"/>
      <c r="E509" s="28"/>
      <c r="F509" s="28"/>
      <c r="G509" s="28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33">
        <f t="shared" si="1"/>
        <v>0</v>
      </c>
      <c r="W509" s="27"/>
      <c r="X509" s="27"/>
      <c r="Y509" s="27"/>
      <c r="Z509" s="27"/>
      <c r="AA509" s="27"/>
    </row>
    <row r="510">
      <c r="A510" s="28"/>
      <c r="B510" s="28"/>
      <c r="C510" s="28"/>
      <c r="D510" s="28"/>
      <c r="E510" s="28"/>
      <c r="F510" s="28"/>
      <c r="G510" s="28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33">
        <f t="shared" si="1"/>
        <v>0</v>
      </c>
      <c r="W510" s="27"/>
      <c r="X510" s="27"/>
      <c r="Y510" s="27"/>
      <c r="Z510" s="27"/>
      <c r="AA510" s="27"/>
    </row>
    <row r="511">
      <c r="A511" s="28"/>
      <c r="B511" s="28"/>
      <c r="C511" s="28"/>
      <c r="D511" s="28"/>
      <c r="E511" s="28"/>
      <c r="F511" s="28"/>
      <c r="G511" s="28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33">
        <f t="shared" si="1"/>
        <v>0</v>
      </c>
      <c r="W511" s="27"/>
      <c r="X511" s="27"/>
      <c r="Y511" s="27"/>
      <c r="Z511" s="27"/>
      <c r="AA511" s="27"/>
    </row>
    <row r="512">
      <c r="A512" s="28"/>
      <c r="B512" s="28"/>
      <c r="C512" s="28"/>
      <c r="D512" s="28"/>
      <c r="E512" s="28"/>
      <c r="F512" s="28"/>
      <c r="G512" s="28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33">
        <f t="shared" si="1"/>
        <v>0</v>
      </c>
      <c r="W512" s="27"/>
      <c r="X512" s="27"/>
      <c r="Y512" s="27"/>
      <c r="Z512" s="27"/>
      <c r="AA512" s="27"/>
    </row>
    <row r="513">
      <c r="A513" s="28"/>
      <c r="B513" s="28"/>
      <c r="C513" s="28"/>
      <c r="D513" s="28"/>
      <c r="E513" s="28"/>
      <c r="F513" s="28"/>
      <c r="G513" s="28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33">
        <f t="shared" si="1"/>
        <v>0</v>
      </c>
      <c r="W513" s="27"/>
      <c r="X513" s="27"/>
      <c r="Y513" s="27"/>
      <c r="Z513" s="27"/>
      <c r="AA513" s="27"/>
    </row>
    <row r="514">
      <c r="A514" s="28"/>
      <c r="B514" s="28"/>
      <c r="C514" s="28"/>
      <c r="D514" s="28"/>
      <c r="E514" s="28"/>
      <c r="F514" s="28"/>
      <c r="G514" s="28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33">
        <f t="shared" si="1"/>
        <v>0</v>
      </c>
      <c r="W514" s="27"/>
      <c r="X514" s="27"/>
      <c r="Y514" s="27"/>
      <c r="Z514" s="27"/>
      <c r="AA514" s="27"/>
    </row>
    <row r="515">
      <c r="A515" s="28"/>
      <c r="B515" s="28"/>
      <c r="C515" s="28"/>
      <c r="D515" s="28"/>
      <c r="E515" s="28"/>
      <c r="F515" s="28"/>
      <c r="G515" s="28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33">
        <f t="shared" si="1"/>
        <v>0</v>
      </c>
      <c r="W515" s="27"/>
      <c r="X515" s="27"/>
      <c r="Y515" s="27"/>
      <c r="Z515" s="27"/>
      <c r="AA515" s="27"/>
    </row>
    <row r="516">
      <c r="A516" s="28"/>
      <c r="B516" s="28"/>
      <c r="C516" s="28"/>
      <c r="D516" s="28"/>
      <c r="E516" s="28"/>
      <c r="F516" s="28"/>
      <c r="G516" s="28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33">
        <f t="shared" si="1"/>
        <v>0</v>
      </c>
      <c r="W516" s="27"/>
      <c r="X516" s="27"/>
      <c r="Y516" s="27"/>
      <c r="Z516" s="27"/>
      <c r="AA516" s="27"/>
    </row>
    <row r="517">
      <c r="A517" s="28"/>
      <c r="B517" s="28"/>
      <c r="C517" s="28"/>
      <c r="D517" s="28"/>
      <c r="E517" s="28"/>
      <c r="F517" s="28"/>
      <c r="G517" s="28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33">
        <f t="shared" si="1"/>
        <v>0</v>
      </c>
      <c r="W517" s="27"/>
      <c r="X517" s="27"/>
      <c r="Y517" s="27"/>
      <c r="Z517" s="27"/>
      <c r="AA517" s="27"/>
    </row>
    <row r="518">
      <c r="A518" s="28"/>
      <c r="B518" s="28"/>
      <c r="C518" s="28"/>
      <c r="D518" s="28"/>
      <c r="E518" s="28"/>
      <c r="F518" s="28"/>
      <c r="G518" s="28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33">
        <f t="shared" si="1"/>
        <v>0</v>
      </c>
      <c r="W518" s="27"/>
      <c r="X518" s="27"/>
      <c r="Y518" s="27"/>
      <c r="Z518" s="27"/>
      <c r="AA518" s="27"/>
    </row>
    <row r="519">
      <c r="A519" s="28"/>
      <c r="B519" s="28"/>
      <c r="C519" s="28"/>
      <c r="D519" s="28"/>
      <c r="E519" s="28"/>
      <c r="F519" s="28"/>
      <c r="G519" s="28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33">
        <f t="shared" si="1"/>
        <v>0</v>
      </c>
      <c r="W519" s="27"/>
      <c r="X519" s="27"/>
      <c r="Y519" s="27"/>
      <c r="Z519" s="27"/>
      <c r="AA519" s="27"/>
    </row>
    <row r="520">
      <c r="A520" s="28"/>
      <c r="B520" s="28"/>
      <c r="C520" s="28"/>
      <c r="D520" s="28"/>
      <c r="E520" s="28"/>
      <c r="F520" s="28"/>
      <c r="G520" s="28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33">
        <f t="shared" si="1"/>
        <v>0</v>
      </c>
      <c r="W520" s="27"/>
      <c r="X520" s="27"/>
      <c r="Y520" s="27"/>
      <c r="Z520" s="27"/>
      <c r="AA520" s="27"/>
    </row>
    <row r="521">
      <c r="A521" s="28"/>
      <c r="B521" s="28"/>
      <c r="C521" s="28"/>
      <c r="D521" s="28"/>
      <c r="E521" s="28"/>
      <c r="F521" s="28"/>
      <c r="G521" s="28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33">
        <f t="shared" si="1"/>
        <v>0</v>
      </c>
      <c r="W521" s="27"/>
      <c r="X521" s="27"/>
      <c r="Y521" s="27"/>
      <c r="Z521" s="27"/>
      <c r="AA521" s="27"/>
    </row>
    <row r="522">
      <c r="A522" s="28"/>
      <c r="B522" s="28"/>
      <c r="C522" s="28"/>
      <c r="D522" s="28"/>
      <c r="E522" s="28"/>
      <c r="F522" s="28"/>
      <c r="G522" s="28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33">
        <f t="shared" si="1"/>
        <v>0</v>
      </c>
      <c r="W522" s="27"/>
      <c r="X522" s="27"/>
      <c r="Y522" s="27"/>
      <c r="Z522" s="27"/>
      <c r="AA522" s="27"/>
    </row>
    <row r="523">
      <c r="A523" s="28"/>
      <c r="B523" s="28"/>
      <c r="C523" s="28"/>
      <c r="D523" s="28"/>
      <c r="E523" s="28"/>
      <c r="F523" s="28"/>
      <c r="G523" s="28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33">
        <f t="shared" si="1"/>
        <v>0</v>
      </c>
      <c r="W523" s="27"/>
      <c r="X523" s="27"/>
      <c r="Y523" s="27"/>
      <c r="Z523" s="27"/>
      <c r="AA523" s="27"/>
    </row>
    <row r="524">
      <c r="A524" s="28"/>
      <c r="B524" s="28"/>
      <c r="C524" s="28"/>
      <c r="D524" s="28"/>
      <c r="E524" s="28"/>
      <c r="F524" s="28"/>
      <c r="G524" s="28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33">
        <f t="shared" si="1"/>
        <v>0</v>
      </c>
      <c r="W524" s="27"/>
      <c r="X524" s="27"/>
      <c r="Y524" s="27"/>
      <c r="Z524" s="27"/>
      <c r="AA524" s="27"/>
    </row>
    <row r="525">
      <c r="A525" s="28"/>
      <c r="B525" s="28"/>
      <c r="C525" s="28"/>
      <c r="D525" s="28"/>
      <c r="E525" s="28"/>
      <c r="F525" s="28"/>
      <c r="G525" s="28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33">
        <f t="shared" si="1"/>
        <v>0</v>
      </c>
      <c r="W525" s="27"/>
      <c r="X525" s="27"/>
      <c r="Y525" s="27"/>
      <c r="Z525" s="27"/>
      <c r="AA525" s="27"/>
    </row>
    <row r="526">
      <c r="A526" s="28"/>
      <c r="B526" s="28"/>
      <c r="C526" s="28"/>
      <c r="D526" s="28"/>
      <c r="E526" s="28"/>
      <c r="F526" s="28"/>
      <c r="G526" s="28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33">
        <f t="shared" si="1"/>
        <v>0</v>
      </c>
      <c r="W526" s="27"/>
      <c r="X526" s="27"/>
      <c r="Y526" s="27"/>
      <c r="Z526" s="27"/>
      <c r="AA526" s="27"/>
    </row>
    <row r="527">
      <c r="A527" s="28"/>
      <c r="B527" s="28"/>
      <c r="C527" s="28"/>
      <c r="D527" s="28"/>
      <c r="E527" s="28"/>
      <c r="F527" s="28"/>
      <c r="G527" s="28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33">
        <f t="shared" si="1"/>
        <v>0</v>
      </c>
      <c r="W527" s="27"/>
      <c r="X527" s="27"/>
      <c r="Y527" s="27"/>
      <c r="Z527" s="27"/>
      <c r="AA527" s="27"/>
    </row>
    <row r="528">
      <c r="A528" s="28"/>
      <c r="B528" s="28"/>
      <c r="C528" s="28"/>
      <c r="D528" s="28"/>
      <c r="E528" s="28"/>
      <c r="F528" s="28"/>
      <c r="G528" s="28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33">
        <f t="shared" si="1"/>
        <v>0</v>
      </c>
      <c r="W528" s="27"/>
      <c r="X528" s="27"/>
      <c r="Y528" s="27"/>
      <c r="Z528" s="27"/>
      <c r="AA528" s="27"/>
    </row>
    <row r="529">
      <c r="A529" s="28"/>
      <c r="B529" s="28"/>
      <c r="C529" s="28"/>
      <c r="D529" s="28"/>
      <c r="E529" s="28"/>
      <c r="F529" s="28"/>
      <c r="G529" s="28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33">
        <f t="shared" si="1"/>
        <v>0</v>
      </c>
      <c r="W529" s="27"/>
      <c r="X529" s="27"/>
      <c r="Y529" s="27"/>
      <c r="Z529" s="27"/>
      <c r="AA529" s="27"/>
    </row>
    <row r="530">
      <c r="A530" s="28"/>
      <c r="B530" s="28"/>
      <c r="C530" s="28"/>
      <c r="D530" s="28"/>
      <c r="E530" s="28"/>
      <c r="F530" s="28"/>
      <c r="G530" s="28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33">
        <f t="shared" si="1"/>
        <v>0</v>
      </c>
      <c r="W530" s="27"/>
      <c r="X530" s="27"/>
      <c r="Y530" s="27"/>
      <c r="Z530" s="27"/>
      <c r="AA530" s="27"/>
    </row>
    <row r="531">
      <c r="A531" s="28"/>
      <c r="B531" s="28"/>
      <c r="C531" s="28"/>
      <c r="D531" s="28"/>
      <c r="E531" s="28"/>
      <c r="F531" s="28"/>
      <c r="G531" s="28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33">
        <f t="shared" si="1"/>
        <v>0</v>
      </c>
      <c r="W531" s="27"/>
      <c r="X531" s="27"/>
      <c r="Y531" s="27"/>
      <c r="Z531" s="27"/>
      <c r="AA531" s="27"/>
    </row>
    <row r="532">
      <c r="A532" s="28"/>
      <c r="B532" s="28"/>
      <c r="C532" s="28"/>
      <c r="D532" s="28"/>
      <c r="E532" s="28"/>
      <c r="F532" s="28"/>
      <c r="G532" s="28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33">
        <f t="shared" si="1"/>
        <v>0</v>
      </c>
      <c r="W532" s="27"/>
      <c r="X532" s="27"/>
      <c r="Y532" s="27"/>
      <c r="Z532" s="27"/>
      <c r="AA532" s="27"/>
    </row>
    <row r="533">
      <c r="A533" s="28"/>
      <c r="B533" s="28"/>
      <c r="C533" s="28"/>
      <c r="D533" s="28"/>
      <c r="E533" s="28"/>
      <c r="F533" s="28"/>
      <c r="G533" s="28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33">
        <f t="shared" si="1"/>
        <v>0</v>
      </c>
      <c r="W533" s="27"/>
      <c r="X533" s="27"/>
      <c r="Y533" s="27"/>
      <c r="Z533" s="27"/>
      <c r="AA533" s="27"/>
    </row>
    <row r="534">
      <c r="A534" s="28"/>
      <c r="B534" s="28"/>
      <c r="C534" s="28"/>
      <c r="D534" s="28"/>
      <c r="E534" s="28"/>
      <c r="F534" s="28"/>
      <c r="G534" s="28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33">
        <f t="shared" si="1"/>
        <v>0</v>
      </c>
      <c r="W534" s="27"/>
      <c r="X534" s="27"/>
      <c r="Y534" s="27"/>
      <c r="Z534" s="27"/>
      <c r="AA534" s="27"/>
    </row>
    <row r="535">
      <c r="A535" s="28"/>
      <c r="B535" s="28"/>
      <c r="C535" s="28"/>
      <c r="D535" s="28"/>
      <c r="E535" s="28"/>
      <c r="F535" s="28"/>
      <c r="G535" s="28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33">
        <f t="shared" si="1"/>
        <v>0</v>
      </c>
      <c r="W535" s="27"/>
      <c r="X535" s="27"/>
      <c r="Y535" s="27"/>
      <c r="Z535" s="27"/>
      <c r="AA535" s="27"/>
    </row>
    <row r="536">
      <c r="A536" s="28"/>
      <c r="B536" s="28"/>
      <c r="C536" s="28"/>
      <c r="D536" s="28"/>
      <c r="E536" s="28"/>
      <c r="F536" s="28"/>
      <c r="G536" s="28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33">
        <f t="shared" si="1"/>
        <v>0</v>
      </c>
      <c r="W536" s="27"/>
      <c r="X536" s="27"/>
      <c r="Y536" s="27"/>
      <c r="Z536" s="27"/>
      <c r="AA536" s="27"/>
    </row>
    <row r="537">
      <c r="A537" s="28"/>
      <c r="B537" s="28"/>
      <c r="C537" s="28"/>
      <c r="D537" s="28"/>
      <c r="E537" s="28"/>
      <c r="F537" s="28"/>
      <c r="G537" s="28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33">
        <f t="shared" si="1"/>
        <v>0</v>
      </c>
      <c r="W537" s="27"/>
      <c r="X537" s="27"/>
      <c r="Y537" s="27"/>
      <c r="Z537" s="27"/>
      <c r="AA537" s="27"/>
    </row>
    <row r="538">
      <c r="A538" s="28"/>
      <c r="B538" s="28"/>
      <c r="C538" s="28"/>
      <c r="D538" s="28"/>
      <c r="E538" s="28"/>
      <c r="F538" s="28"/>
      <c r="G538" s="28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33">
        <f t="shared" si="1"/>
        <v>0</v>
      </c>
      <c r="W538" s="27"/>
      <c r="X538" s="27"/>
      <c r="Y538" s="27"/>
      <c r="Z538" s="27"/>
      <c r="AA538" s="27"/>
    </row>
    <row r="539">
      <c r="A539" s="28"/>
      <c r="B539" s="28"/>
      <c r="C539" s="28"/>
      <c r="D539" s="28"/>
      <c r="E539" s="28"/>
      <c r="F539" s="28"/>
      <c r="G539" s="28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33">
        <f t="shared" si="1"/>
        <v>0</v>
      </c>
      <c r="W539" s="27"/>
      <c r="X539" s="27"/>
      <c r="Y539" s="27"/>
      <c r="Z539" s="27"/>
      <c r="AA539" s="27"/>
    </row>
    <row r="540">
      <c r="A540" s="28"/>
      <c r="B540" s="28"/>
      <c r="C540" s="28"/>
      <c r="D540" s="28"/>
      <c r="E540" s="28"/>
      <c r="F540" s="28"/>
      <c r="G540" s="28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33">
        <f t="shared" si="1"/>
        <v>0</v>
      </c>
      <c r="W540" s="27"/>
      <c r="X540" s="27"/>
      <c r="Y540" s="27"/>
      <c r="Z540" s="27"/>
      <c r="AA540" s="27"/>
    </row>
    <row r="541">
      <c r="A541" s="28"/>
      <c r="B541" s="28"/>
      <c r="C541" s="28"/>
      <c r="D541" s="28"/>
      <c r="E541" s="28"/>
      <c r="F541" s="28"/>
      <c r="G541" s="28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33">
        <f t="shared" si="1"/>
        <v>0</v>
      </c>
      <c r="W541" s="27"/>
      <c r="X541" s="27"/>
      <c r="Y541" s="27"/>
      <c r="Z541" s="27"/>
      <c r="AA541" s="27"/>
    </row>
    <row r="542">
      <c r="A542" s="28"/>
      <c r="B542" s="28"/>
      <c r="C542" s="28"/>
      <c r="D542" s="28"/>
      <c r="E542" s="28"/>
      <c r="F542" s="28"/>
      <c r="G542" s="28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33">
        <f t="shared" si="1"/>
        <v>0</v>
      </c>
      <c r="W542" s="27"/>
      <c r="X542" s="27"/>
      <c r="Y542" s="27"/>
      <c r="Z542" s="27"/>
      <c r="AA542" s="27"/>
    </row>
    <row r="543">
      <c r="A543" s="28"/>
      <c r="B543" s="28"/>
      <c r="C543" s="28"/>
      <c r="D543" s="28"/>
      <c r="E543" s="28"/>
      <c r="F543" s="28"/>
      <c r="G543" s="28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33">
        <f t="shared" si="1"/>
        <v>0</v>
      </c>
      <c r="W543" s="27"/>
      <c r="X543" s="27"/>
      <c r="Y543" s="27"/>
      <c r="Z543" s="27"/>
      <c r="AA543" s="27"/>
    </row>
    <row r="544">
      <c r="A544" s="28"/>
      <c r="B544" s="28"/>
      <c r="C544" s="28"/>
      <c r="D544" s="28"/>
      <c r="E544" s="28"/>
      <c r="F544" s="28"/>
      <c r="G544" s="28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33">
        <f t="shared" si="1"/>
        <v>0</v>
      </c>
      <c r="W544" s="27"/>
      <c r="X544" s="27"/>
      <c r="Y544" s="27"/>
      <c r="Z544" s="27"/>
      <c r="AA544" s="27"/>
    </row>
    <row r="545">
      <c r="A545" s="28"/>
      <c r="B545" s="28"/>
      <c r="C545" s="28"/>
      <c r="D545" s="28"/>
      <c r="E545" s="28"/>
      <c r="F545" s="28"/>
      <c r="G545" s="28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33">
        <f t="shared" si="1"/>
        <v>0</v>
      </c>
      <c r="W545" s="27"/>
      <c r="X545" s="27"/>
      <c r="Y545" s="27"/>
      <c r="Z545" s="27"/>
      <c r="AA545" s="27"/>
    </row>
    <row r="546">
      <c r="A546" s="28"/>
      <c r="B546" s="28"/>
      <c r="C546" s="28"/>
      <c r="D546" s="28"/>
      <c r="E546" s="28"/>
      <c r="F546" s="28"/>
      <c r="G546" s="28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33">
        <f t="shared" si="1"/>
        <v>0</v>
      </c>
      <c r="W546" s="27"/>
      <c r="X546" s="27"/>
      <c r="Y546" s="27"/>
      <c r="Z546" s="27"/>
      <c r="AA546" s="27"/>
    </row>
    <row r="547">
      <c r="A547" s="28"/>
      <c r="B547" s="28"/>
      <c r="C547" s="28"/>
      <c r="D547" s="28"/>
      <c r="E547" s="28"/>
      <c r="F547" s="28"/>
      <c r="G547" s="28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33">
        <f t="shared" si="1"/>
        <v>0</v>
      </c>
      <c r="W547" s="27"/>
      <c r="X547" s="27"/>
      <c r="Y547" s="27"/>
      <c r="Z547" s="27"/>
      <c r="AA547" s="27"/>
    </row>
    <row r="548">
      <c r="A548" s="28"/>
      <c r="B548" s="28"/>
      <c r="C548" s="28"/>
      <c r="D548" s="28"/>
      <c r="E548" s="28"/>
      <c r="F548" s="28"/>
      <c r="G548" s="28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33">
        <f t="shared" si="1"/>
        <v>0</v>
      </c>
      <c r="W548" s="27"/>
      <c r="X548" s="27"/>
      <c r="Y548" s="27"/>
      <c r="Z548" s="27"/>
      <c r="AA548" s="27"/>
    </row>
    <row r="549">
      <c r="A549" s="28"/>
      <c r="B549" s="28"/>
      <c r="C549" s="28"/>
      <c r="D549" s="28"/>
      <c r="E549" s="28"/>
      <c r="F549" s="28"/>
      <c r="G549" s="28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33">
        <f t="shared" si="1"/>
        <v>0</v>
      </c>
      <c r="W549" s="27"/>
      <c r="X549" s="27"/>
      <c r="Y549" s="27"/>
      <c r="Z549" s="27"/>
      <c r="AA549" s="27"/>
    </row>
    <row r="550">
      <c r="A550" s="28"/>
      <c r="B550" s="28"/>
      <c r="C550" s="28"/>
      <c r="D550" s="28"/>
      <c r="E550" s="28"/>
      <c r="F550" s="28"/>
      <c r="G550" s="28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33">
        <f t="shared" si="1"/>
        <v>0</v>
      </c>
      <c r="W550" s="27"/>
      <c r="X550" s="27"/>
      <c r="Y550" s="27"/>
      <c r="Z550" s="27"/>
      <c r="AA550" s="27"/>
    </row>
    <row r="551">
      <c r="A551" s="28"/>
      <c r="B551" s="28"/>
      <c r="C551" s="28"/>
      <c r="D551" s="28"/>
      <c r="E551" s="28"/>
      <c r="F551" s="28"/>
      <c r="G551" s="28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33">
        <f t="shared" si="1"/>
        <v>0</v>
      </c>
      <c r="W551" s="27"/>
      <c r="X551" s="27"/>
      <c r="Y551" s="27"/>
      <c r="Z551" s="27"/>
      <c r="AA551" s="27"/>
    </row>
    <row r="552">
      <c r="A552" s="28"/>
      <c r="B552" s="28"/>
      <c r="C552" s="28"/>
      <c r="D552" s="28"/>
      <c r="E552" s="28"/>
      <c r="F552" s="28"/>
      <c r="G552" s="28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33">
        <f t="shared" si="1"/>
        <v>0</v>
      </c>
      <c r="W552" s="27"/>
      <c r="X552" s="27"/>
      <c r="Y552" s="27"/>
      <c r="Z552" s="27"/>
      <c r="AA552" s="27"/>
    </row>
    <row r="553">
      <c r="A553" s="28"/>
      <c r="B553" s="28"/>
      <c r="C553" s="28"/>
      <c r="D553" s="28"/>
      <c r="E553" s="28"/>
      <c r="F553" s="28"/>
      <c r="G553" s="28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33">
        <f t="shared" si="1"/>
        <v>0</v>
      </c>
      <c r="W553" s="27"/>
      <c r="X553" s="27"/>
      <c r="Y553" s="27"/>
      <c r="Z553" s="27"/>
      <c r="AA553" s="27"/>
    </row>
    <row r="554">
      <c r="A554" s="28"/>
      <c r="B554" s="28"/>
      <c r="C554" s="28"/>
      <c r="D554" s="28"/>
      <c r="E554" s="28"/>
      <c r="F554" s="28"/>
      <c r="G554" s="28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33">
        <f t="shared" si="1"/>
        <v>0</v>
      </c>
      <c r="W554" s="27"/>
      <c r="X554" s="27"/>
      <c r="Y554" s="27"/>
      <c r="Z554" s="27"/>
      <c r="AA554" s="27"/>
    </row>
    <row r="555">
      <c r="A555" s="28"/>
      <c r="B555" s="28"/>
      <c r="C555" s="28"/>
      <c r="D555" s="28"/>
      <c r="E555" s="28"/>
      <c r="F555" s="28"/>
      <c r="G555" s="28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33">
        <f t="shared" si="1"/>
        <v>0</v>
      </c>
      <c r="W555" s="27"/>
      <c r="X555" s="27"/>
      <c r="Y555" s="27"/>
      <c r="Z555" s="27"/>
      <c r="AA555" s="27"/>
    </row>
    <row r="556">
      <c r="A556" s="28"/>
      <c r="B556" s="28"/>
      <c r="C556" s="28"/>
      <c r="D556" s="28"/>
      <c r="E556" s="28"/>
      <c r="F556" s="28"/>
      <c r="G556" s="28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33">
        <f t="shared" si="1"/>
        <v>0</v>
      </c>
      <c r="W556" s="27"/>
      <c r="X556" s="27"/>
      <c r="Y556" s="27"/>
      <c r="Z556" s="27"/>
      <c r="AA556" s="27"/>
    </row>
    <row r="557">
      <c r="A557" s="28"/>
      <c r="B557" s="28"/>
      <c r="C557" s="28"/>
      <c r="D557" s="28"/>
      <c r="E557" s="28"/>
      <c r="F557" s="28"/>
      <c r="G557" s="28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33">
        <f t="shared" si="1"/>
        <v>0</v>
      </c>
      <c r="W557" s="27"/>
      <c r="X557" s="27"/>
      <c r="Y557" s="27"/>
      <c r="Z557" s="27"/>
      <c r="AA557" s="27"/>
    </row>
    <row r="558">
      <c r="A558" s="28"/>
      <c r="B558" s="28"/>
      <c r="C558" s="28"/>
      <c r="D558" s="28"/>
      <c r="E558" s="28"/>
      <c r="F558" s="28"/>
      <c r="G558" s="28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33">
        <f t="shared" si="1"/>
        <v>0</v>
      </c>
      <c r="W558" s="27"/>
      <c r="X558" s="27"/>
      <c r="Y558" s="27"/>
      <c r="Z558" s="27"/>
      <c r="AA558" s="27"/>
    </row>
    <row r="559">
      <c r="A559" s="28"/>
      <c r="B559" s="28"/>
      <c r="C559" s="28"/>
      <c r="D559" s="28"/>
      <c r="E559" s="28"/>
      <c r="F559" s="28"/>
      <c r="G559" s="28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33">
        <f t="shared" si="1"/>
        <v>0</v>
      </c>
      <c r="W559" s="27"/>
      <c r="X559" s="27"/>
      <c r="Y559" s="27"/>
      <c r="Z559" s="27"/>
      <c r="AA559" s="27"/>
    </row>
    <row r="560">
      <c r="A560" s="28"/>
      <c r="B560" s="28"/>
      <c r="C560" s="28"/>
      <c r="D560" s="28"/>
      <c r="E560" s="28"/>
      <c r="F560" s="28"/>
      <c r="G560" s="28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33">
        <f t="shared" si="1"/>
        <v>0</v>
      </c>
      <c r="W560" s="27"/>
      <c r="X560" s="27"/>
      <c r="Y560" s="27"/>
      <c r="Z560" s="27"/>
      <c r="AA560" s="27"/>
    </row>
    <row r="561">
      <c r="A561" s="28"/>
      <c r="B561" s="28"/>
      <c r="C561" s="28"/>
      <c r="D561" s="28"/>
      <c r="E561" s="28"/>
      <c r="F561" s="28"/>
      <c r="G561" s="28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33">
        <f t="shared" si="1"/>
        <v>0</v>
      </c>
      <c r="W561" s="27"/>
      <c r="X561" s="27"/>
      <c r="Y561" s="27"/>
      <c r="Z561" s="27"/>
      <c r="AA561" s="27"/>
    </row>
    <row r="562">
      <c r="A562" s="28"/>
      <c r="B562" s="28"/>
      <c r="C562" s="28"/>
      <c r="D562" s="28"/>
      <c r="E562" s="28"/>
      <c r="F562" s="28"/>
      <c r="G562" s="28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33">
        <f t="shared" si="1"/>
        <v>0</v>
      </c>
      <c r="W562" s="27"/>
      <c r="X562" s="27"/>
      <c r="Y562" s="27"/>
      <c r="Z562" s="27"/>
      <c r="AA562" s="27"/>
    </row>
    <row r="563">
      <c r="A563" s="28"/>
      <c r="B563" s="28"/>
      <c r="C563" s="28"/>
      <c r="D563" s="28"/>
      <c r="E563" s="28"/>
      <c r="F563" s="28"/>
      <c r="G563" s="28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33">
        <f t="shared" si="1"/>
        <v>0</v>
      </c>
      <c r="W563" s="27"/>
      <c r="X563" s="27"/>
      <c r="Y563" s="27"/>
      <c r="Z563" s="27"/>
      <c r="AA563" s="27"/>
    </row>
    <row r="564">
      <c r="A564" s="28"/>
      <c r="B564" s="28"/>
      <c r="C564" s="28"/>
      <c r="D564" s="28"/>
      <c r="E564" s="28"/>
      <c r="F564" s="28"/>
      <c r="G564" s="28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33">
        <f t="shared" si="1"/>
        <v>0</v>
      </c>
      <c r="W564" s="27"/>
      <c r="X564" s="27"/>
      <c r="Y564" s="27"/>
      <c r="Z564" s="27"/>
      <c r="AA564" s="27"/>
    </row>
    <row r="565">
      <c r="A565" s="28"/>
      <c r="B565" s="28"/>
      <c r="C565" s="28"/>
      <c r="D565" s="28"/>
      <c r="E565" s="28"/>
      <c r="F565" s="28"/>
      <c r="G565" s="28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33">
        <f t="shared" si="1"/>
        <v>0</v>
      </c>
      <c r="W565" s="27"/>
      <c r="X565" s="27"/>
      <c r="Y565" s="27"/>
      <c r="Z565" s="27"/>
      <c r="AA565" s="27"/>
    </row>
    <row r="566">
      <c r="A566" s="28"/>
      <c r="B566" s="28"/>
      <c r="C566" s="28"/>
      <c r="D566" s="28"/>
      <c r="E566" s="28"/>
      <c r="F566" s="28"/>
      <c r="G566" s="28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33">
        <f t="shared" si="1"/>
        <v>0</v>
      </c>
      <c r="W566" s="27"/>
      <c r="X566" s="27"/>
      <c r="Y566" s="27"/>
      <c r="Z566" s="27"/>
      <c r="AA566" s="27"/>
    </row>
    <row r="567">
      <c r="A567" s="28"/>
      <c r="B567" s="28"/>
      <c r="C567" s="28"/>
      <c r="D567" s="28"/>
      <c r="E567" s="28"/>
      <c r="F567" s="28"/>
      <c r="G567" s="28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33">
        <f t="shared" si="1"/>
        <v>0</v>
      </c>
      <c r="W567" s="27"/>
      <c r="X567" s="27"/>
      <c r="Y567" s="27"/>
      <c r="Z567" s="27"/>
      <c r="AA567" s="27"/>
    </row>
    <row r="568">
      <c r="A568" s="28"/>
      <c r="B568" s="28"/>
      <c r="C568" s="28"/>
      <c r="D568" s="28"/>
      <c r="E568" s="28"/>
      <c r="F568" s="28"/>
      <c r="G568" s="28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33">
        <f t="shared" si="1"/>
        <v>0</v>
      </c>
      <c r="W568" s="27"/>
      <c r="X568" s="27"/>
      <c r="Y568" s="27"/>
      <c r="Z568" s="27"/>
      <c r="AA568" s="27"/>
    </row>
    <row r="569">
      <c r="A569" s="28"/>
      <c r="B569" s="28"/>
      <c r="C569" s="28"/>
      <c r="D569" s="28"/>
      <c r="E569" s="28"/>
      <c r="F569" s="28"/>
      <c r="G569" s="28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33">
        <f t="shared" si="1"/>
        <v>0</v>
      </c>
      <c r="W569" s="27"/>
      <c r="X569" s="27"/>
      <c r="Y569" s="27"/>
      <c r="Z569" s="27"/>
      <c r="AA569" s="27"/>
    </row>
    <row r="570">
      <c r="A570" s="28"/>
      <c r="B570" s="28"/>
      <c r="C570" s="28"/>
      <c r="D570" s="28"/>
      <c r="E570" s="28"/>
      <c r="F570" s="28"/>
      <c r="G570" s="28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33">
        <f t="shared" si="1"/>
        <v>0</v>
      </c>
      <c r="W570" s="27"/>
      <c r="X570" s="27"/>
      <c r="Y570" s="27"/>
      <c r="Z570" s="27"/>
      <c r="AA570" s="27"/>
    </row>
    <row r="571">
      <c r="A571" s="28"/>
      <c r="B571" s="28"/>
      <c r="C571" s="28"/>
      <c r="D571" s="28"/>
      <c r="E571" s="28"/>
      <c r="F571" s="28"/>
      <c r="G571" s="28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33">
        <f t="shared" si="1"/>
        <v>0</v>
      </c>
      <c r="W571" s="27"/>
      <c r="X571" s="27"/>
      <c r="Y571" s="27"/>
      <c r="Z571" s="27"/>
      <c r="AA571" s="27"/>
    </row>
    <row r="572">
      <c r="A572" s="28"/>
      <c r="B572" s="28"/>
      <c r="C572" s="28"/>
      <c r="D572" s="28"/>
      <c r="E572" s="28"/>
      <c r="F572" s="28"/>
      <c r="G572" s="28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33">
        <f t="shared" si="1"/>
        <v>0</v>
      </c>
      <c r="W572" s="27"/>
      <c r="X572" s="27"/>
      <c r="Y572" s="27"/>
      <c r="Z572" s="27"/>
      <c r="AA572" s="27"/>
    </row>
    <row r="573">
      <c r="A573" s="28"/>
      <c r="B573" s="28"/>
      <c r="C573" s="28"/>
      <c r="D573" s="28"/>
      <c r="E573" s="28"/>
      <c r="F573" s="28"/>
      <c r="G573" s="28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33">
        <f t="shared" si="1"/>
        <v>0</v>
      </c>
      <c r="W573" s="27"/>
      <c r="X573" s="27"/>
      <c r="Y573" s="27"/>
      <c r="Z573" s="27"/>
      <c r="AA573" s="27"/>
    </row>
    <row r="574">
      <c r="A574" s="28"/>
      <c r="B574" s="28"/>
      <c r="C574" s="28"/>
      <c r="D574" s="28"/>
      <c r="E574" s="28"/>
      <c r="F574" s="28"/>
      <c r="G574" s="28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33">
        <f t="shared" si="1"/>
        <v>0</v>
      </c>
      <c r="W574" s="27"/>
      <c r="X574" s="27"/>
      <c r="Y574" s="27"/>
      <c r="Z574" s="27"/>
      <c r="AA574" s="27"/>
    </row>
    <row r="575">
      <c r="A575" s="28"/>
      <c r="B575" s="28"/>
      <c r="C575" s="28"/>
      <c r="D575" s="28"/>
      <c r="E575" s="28"/>
      <c r="F575" s="28"/>
      <c r="G575" s="28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33">
        <f t="shared" si="1"/>
        <v>0</v>
      </c>
      <c r="W575" s="27"/>
      <c r="X575" s="27"/>
      <c r="Y575" s="27"/>
      <c r="Z575" s="27"/>
      <c r="AA575" s="27"/>
    </row>
    <row r="576">
      <c r="A576" s="28"/>
      <c r="B576" s="28"/>
      <c r="C576" s="28"/>
      <c r="D576" s="28"/>
      <c r="E576" s="28"/>
      <c r="F576" s="28"/>
      <c r="G576" s="28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33">
        <f t="shared" si="1"/>
        <v>0</v>
      </c>
      <c r="W576" s="27"/>
      <c r="X576" s="27"/>
      <c r="Y576" s="27"/>
      <c r="Z576" s="27"/>
      <c r="AA576" s="27"/>
    </row>
    <row r="577">
      <c r="A577" s="28"/>
      <c r="B577" s="28"/>
      <c r="C577" s="28"/>
      <c r="D577" s="28"/>
      <c r="E577" s="28"/>
      <c r="F577" s="28"/>
      <c r="G577" s="28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33">
        <f t="shared" si="1"/>
        <v>0</v>
      </c>
      <c r="W577" s="27"/>
      <c r="X577" s="27"/>
      <c r="Y577" s="27"/>
      <c r="Z577" s="27"/>
      <c r="AA577" s="27"/>
    </row>
    <row r="578">
      <c r="A578" s="28"/>
      <c r="B578" s="28"/>
      <c r="C578" s="28"/>
      <c r="D578" s="28"/>
      <c r="E578" s="28"/>
      <c r="F578" s="28"/>
      <c r="G578" s="28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33">
        <f t="shared" si="1"/>
        <v>0</v>
      </c>
      <c r="W578" s="27"/>
      <c r="X578" s="27"/>
      <c r="Y578" s="27"/>
      <c r="Z578" s="27"/>
      <c r="AA578" s="27"/>
    </row>
    <row r="579">
      <c r="A579" s="28"/>
      <c r="B579" s="28"/>
      <c r="C579" s="28"/>
      <c r="D579" s="28"/>
      <c r="E579" s="28"/>
      <c r="F579" s="28"/>
      <c r="G579" s="28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33">
        <f t="shared" si="1"/>
        <v>0</v>
      </c>
      <c r="W579" s="27"/>
      <c r="X579" s="27"/>
      <c r="Y579" s="27"/>
      <c r="Z579" s="27"/>
      <c r="AA579" s="27"/>
    </row>
    <row r="580">
      <c r="A580" s="28"/>
      <c r="B580" s="28"/>
      <c r="C580" s="28"/>
      <c r="D580" s="28"/>
      <c r="E580" s="28"/>
      <c r="F580" s="28"/>
      <c r="G580" s="28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33">
        <f t="shared" si="1"/>
        <v>0</v>
      </c>
      <c r="W580" s="27"/>
      <c r="X580" s="27"/>
      <c r="Y580" s="27"/>
      <c r="Z580" s="27"/>
      <c r="AA580" s="27"/>
    </row>
    <row r="581">
      <c r="A581" s="28"/>
      <c r="B581" s="28"/>
      <c r="C581" s="28"/>
      <c r="D581" s="28"/>
      <c r="E581" s="28"/>
      <c r="F581" s="28"/>
      <c r="G581" s="28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33">
        <f t="shared" si="1"/>
        <v>0</v>
      </c>
      <c r="W581" s="27"/>
      <c r="X581" s="27"/>
      <c r="Y581" s="27"/>
      <c r="Z581" s="27"/>
      <c r="AA581" s="27"/>
    </row>
    <row r="582">
      <c r="A582" s="28"/>
      <c r="B582" s="28"/>
      <c r="C582" s="28"/>
      <c r="D582" s="28"/>
      <c r="E582" s="28"/>
      <c r="F582" s="28"/>
      <c r="G582" s="28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33">
        <f t="shared" si="1"/>
        <v>0</v>
      </c>
      <c r="W582" s="27"/>
      <c r="X582" s="27"/>
      <c r="Y582" s="27"/>
      <c r="Z582" s="27"/>
      <c r="AA582" s="27"/>
    </row>
    <row r="583">
      <c r="A583" s="28"/>
      <c r="B583" s="28"/>
      <c r="C583" s="28"/>
      <c r="D583" s="28"/>
      <c r="E583" s="28"/>
      <c r="F583" s="28"/>
      <c r="G583" s="28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33">
        <f t="shared" si="1"/>
        <v>0</v>
      </c>
      <c r="W583" s="27"/>
      <c r="X583" s="27"/>
      <c r="Y583" s="27"/>
      <c r="Z583" s="27"/>
      <c r="AA583" s="27"/>
    </row>
    <row r="584">
      <c r="A584" s="28"/>
      <c r="B584" s="28"/>
      <c r="C584" s="28"/>
      <c r="D584" s="28"/>
      <c r="E584" s="28"/>
      <c r="F584" s="28"/>
      <c r="G584" s="28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33">
        <f t="shared" si="1"/>
        <v>0</v>
      </c>
      <c r="W584" s="27"/>
      <c r="X584" s="27"/>
      <c r="Y584" s="27"/>
      <c r="Z584" s="27"/>
      <c r="AA584" s="27"/>
    </row>
    <row r="585">
      <c r="A585" s="28"/>
      <c r="B585" s="28"/>
      <c r="C585" s="28"/>
      <c r="D585" s="28"/>
      <c r="E585" s="28"/>
      <c r="F585" s="28"/>
      <c r="G585" s="28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33">
        <f t="shared" si="1"/>
        <v>0</v>
      </c>
      <c r="W585" s="27"/>
      <c r="X585" s="27"/>
      <c r="Y585" s="27"/>
      <c r="Z585" s="27"/>
      <c r="AA585" s="27"/>
    </row>
    <row r="586">
      <c r="A586" s="28"/>
      <c r="B586" s="28"/>
      <c r="C586" s="28"/>
      <c r="D586" s="28"/>
      <c r="E586" s="28"/>
      <c r="F586" s="28"/>
      <c r="G586" s="28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33">
        <f t="shared" si="1"/>
        <v>0</v>
      </c>
      <c r="W586" s="27"/>
      <c r="X586" s="27"/>
      <c r="Y586" s="27"/>
      <c r="Z586" s="27"/>
      <c r="AA586" s="27"/>
    </row>
    <row r="587">
      <c r="A587" s="28"/>
      <c r="B587" s="28"/>
      <c r="C587" s="28"/>
      <c r="D587" s="28"/>
      <c r="E587" s="28"/>
      <c r="F587" s="28"/>
      <c r="G587" s="28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33">
        <f t="shared" si="1"/>
        <v>0</v>
      </c>
      <c r="W587" s="27"/>
      <c r="X587" s="27"/>
      <c r="Y587" s="27"/>
      <c r="Z587" s="27"/>
      <c r="AA587" s="27"/>
    </row>
    <row r="588">
      <c r="A588" s="28"/>
      <c r="B588" s="28"/>
      <c r="C588" s="28"/>
      <c r="D588" s="28"/>
      <c r="E588" s="28"/>
      <c r="F588" s="28"/>
      <c r="G588" s="28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33">
        <f t="shared" si="1"/>
        <v>0</v>
      </c>
      <c r="W588" s="27"/>
      <c r="X588" s="27"/>
      <c r="Y588" s="27"/>
      <c r="Z588" s="27"/>
      <c r="AA588" s="27"/>
    </row>
    <row r="589">
      <c r="A589" s="28"/>
      <c r="B589" s="28"/>
      <c r="C589" s="28"/>
      <c r="D589" s="28"/>
      <c r="E589" s="28"/>
      <c r="F589" s="28"/>
      <c r="G589" s="28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33">
        <f t="shared" si="1"/>
        <v>0</v>
      </c>
      <c r="W589" s="27"/>
      <c r="X589" s="27"/>
      <c r="Y589" s="27"/>
      <c r="Z589" s="27"/>
      <c r="AA589" s="27"/>
    </row>
    <row r="590">
      <c r="A590" s="28"/>
      <c r="B590" s="28"/>
      <c r="C590" s="28"/>
      <c r="D590" s="28"/>
      <c r="E590" s="28"/>
      <c r="F590" s="28"/>
      <c r="G590" s="28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33">
        <f t="shared" si="1"/>
        <v>0</v>
      </c>
      <c r="W590" s="27"/>
      <c r="X590" s="27"/>
      <c r="Y590" s="27"/>
      <c r="Z590" s="27"/>
      <c r="AA590" s="27"/>
    </row>
    <row r="591">
      <c r="A591" s="28"/>
      <c r="B591" s="28"/>
      <c r="C591" s="28"/>
      <c r="D591" s="28"/>
      <c r="E591" s="28"/>
      <c r="F591" s="28"/>
      <c r="G591" s="28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33">
        <f t="shared" si="1"/>
        <v>0</v>
      </c>
      <c r="W591" s="27"/>
      <c r="X591" s="27"/>
      <c r="Y591" s="27"/>
      <c r="Z591" s="27"/>
      <c r="AA591" s="27"/>
    </row>
    <row r="592">
      <c r="A592" s="28"/>
      <c r="B592" s="28"/>
      <c r="C592" s="28"/>
      <c r="D592" s="28"/>
      <c r="E592" s="28"/>
      <c r="F592" s="28"/>
      <c r="G592" s="28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33">
        <f t="shared" si="1"/>
        <v>0</v>
      </c>
      <c r="W592" s="27"/>
      <c r="X592" s="27"/>
      <c r="Y592" s="27"/>
      <c r="Z592" s="27"/>
      <c r="AA592" s="27"/>
    </row>
    <row r="593">
      <c r="A593" s="28"/>
      <c r="B593" s="28"/>
      <c r="C593" s="28"/>
      <c r="D593" s="28"/>
      <c r="E593" s="28"/>
      <c r="F593" s="28"/>
      <c r="G593" s="28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33">
        <f t="shared" si="1"/>
        <v>0</v>
      </c>
      <c r="W593" s="27"/>
      <c r="X593" s="27"/>
      <c r="Y593" s="27"/>
      <c r="Z593" s="27"/>
      <c r="AA593" s="27"/>
    </row>
    <row r="594">
      <c r="A594" s="28"/>
      <c r="B594" s="28"/>
      <c r="C594" s="28"/>
      <c r="D594" s="28"/>
      <c r="E594" s="28"/>
      <c r="F594" s="28"/>
      <c r="G594" s="28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33">
        <f t="shared" si="1"/>
        <v>0</v>
      </c>
      <c r="W594" s="27"/>
      <c r="X594" s="27"/>
      <c r="Y594" s="27"/>
      <c r="Z594" s="27"/>
      <c r="AA594" s="27"/>
    </row>
    <row r="595">
      <c r="A595" s="28"/>
      <c r="B595" s="28"/>
      <c r="C595" s="28"/>
      <c r="D595" s="28"/>
      <c r="E595" s="28"/>
      <c r="F595" s="28"/>
      <c r="G595" s="28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33">
        <f t="shared" si="1"/>
        <v>0</v>
      </c>
      <c r="W595" s="27"/>
      <c r="X595" s="27"/>
      <c r="Y595" s="27"/>
      <c r="Z595" s="27"/>
      <c r="AA595" s="27"/>
    </row>
    <row r="596">
      <c r="A596" s="28"/>
      <c r="B596" s="28"/>
      <c r="C596" s="28"/>
      <c r="D596" s="28"/>
      <c r="E596" s="28"/>
      <c r="F596" s="28"/>
      <c r="G596" s="28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33">
        <f t="shared" si="1"/>
        <v>0</v>
      </c>
      <c r="W596" s="27"/>
      <c r="X596" s="27"/>
      <c r="Y596" s="27"/>
      <c r="Z596" s="27"/>
      <c r="AA596" s="27"/>
    </row>
    <row r="597">
      <c r="A597" s="28"/>
      <c r="B597" s="28"/>
      <c r="C597" s="28"/>
      <c r="D597" s="28"/>
      <c r="E597" s="28"/>
      <c r="F597" s="28"/>
      <c r="G597" s="28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33">
        <f t="shared" si="1"/>
        <v>0</v>
      </c>
      <c r="W597" s="27"/>
      <c r="X597" s="27"/>
      <c r="Y597" s="27"/>
      <c r="Z597" s="27"/>
      <c r="AA597" s="27"/>
    </row>
    <row r="598">
      <c r="A598" s="28"/>
      <c r="B598" s="28"/>
      <c r="C598" s="28"/>
      <c r="D598" s="28"/>
      <c r="E598" s="28"/>
      <c r="F598" s="28"/>
      <c r="G598" s="28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33">
        <f t="shared" si="1"/>
        <v>0</v>
      </c>
      <c r="W598" s="27"/>
      <c r="X598" s="27"/>
      <c r="Y598" s="27"/>
      <c r="Z598" s="27"/>
      <c r="AA598" s="27"/>
    </row>
    <row r="599">
      <c r="A599" s="28"/>
      <c r="B599" s="28"/>
      <c r="C599" s="28"/>
      <c r="D599" s="28"/>
      <c r="E599" s="28"/>
      <c r="F599" s="28"/>
      <c r="G599" s="28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33">
        <f t="shared" si="1"/>
        <v>0</v>
      </c>
      <c r="W599" s="27"/>
      <c r="X599" s="27"/>
      <c r="Y599" s="27"/>
      <c r="Z599" s="27"/>
      <c r="AA599" s="27"/>
    </row>
    <row r="600">
      <c r="A600" s="28"/>
      <c r="B600" s="28"/>
      <c r="C600" s="28"/>
      <c r="D600" s="28"/>
      <c r="E600" s="28"/>
      <c r="F600" s="28"/>
      <c r="G600" s="28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33">
        <f t="shared" si="1"/>
        <v>0</v>
      </c>
      <c r="W600" s="27"/>
      <c r="X600" s="27"/>
      <c r="Y600" s="27"/>
      <c r="Z600" s="27"/>
      <c r="AA600" s="27"/>
    </row>
    <row r="601">
      <c r="A601" s="28"/>
      <c r="B601" s="28"/>
      <c r="C601" s="28"/>
      <c r="D601" s="28"/>
      <c r="E601" s="28"/>
      <c r="F601" s="28"/>
      <c r="G601" s="28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33">
        <f t="shared" si="1"/>
        <v>0</v>
      </c>
      <c r="W601" s="27"/>
      <c r="X601" s="27"/>
      <c r="Y601" s="27"/>
      <c r="Z601" s="27"/>
      <c r="AA601" s="27"/>
    </row>
    <row r="602">
      <c r="A602" s="28"/>
      <c r="B602" s="28"/>
      <c r="C602" s="28"/>
      <c r="D602" s="28"/>
      <c r="E602" s="28"/>
      <c r="F602" s="28"/>
      <c r="G602" s="28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33">
        <f t="shared" si="1"/>
        <v>0</v>
      </c>
      <c r="W602" s="27"/>
      <c r="X602" s="27"/>
      <c r="Y602" s="27"/>
      <c r="Z602" s="27"/>
      <c r="AA602" s="27"/>
    </row>
    <row r="603">
      <c r="A603" s="28"/>
      <c r="B603" s="28"/>
      <c r="C603" s="28"/>
      <c r="D603" s="28"/>
      <c r="E603" s="28"/>
      <c r="F603" s="28"/>
      <c r="G603" s="28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33">
        <f t="shared" si="1"/>
        <v>0</v>
      </c>
      <c r="W603" s="27"/>
      <c r="X603" s="27"/>
      <c r="Y603" s="27"/>
      <c r="Z603" s="27"/>
      <c r="AA603" s="27"/>
    </row>
    <row r="604">
      <c r="A604" s="28"/>
      <c r="B604" s="28"/>
      <c r="C604" s="28"/>
      <c r="D604" s="28"/>
      <c r="E604" s="28"/>
      <c r="F604" s="28"/>
      <c r="G604" s="28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33">
        <f t="shared" si="1"/>
        <v>0</v>
      </c>
      <c r="W604" s="27"/>
      <c r="X604" s="27"/>
      <c r="Y604" s="27"/>
      <c r="Z604" s="27"/>
      <c r="AA604" s="27"/>
    </row>
    <row r="605">
      <c r="A605" s="28"/>
      <c r="B605" s="28"/>
      <c r="C605" s="28"/>
      <c r="D605" s="28"/>
      <c r="E605" s="28"/>
      <c r="F605" s="28"/>
      <c r="G605" s="28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33">
        <f t="shared" si="1"/>
        <v>0</v>
      </c>
      <c r="W605" s="27"/>
      <c r="X605" s="27"/>
      <c r="Y605" s="27"/>
      <c r="Z605" s="27"/>
      <c r="AA605" s="27"/>
    </row>
    <row r="606">
      <c r="A606" s="28"/>
      <c r="B606" s="28"/>
      <c r="C606" s="28"/>
      <c r="D606" s="28"/>
      <c r="E606" s="28"/>
      <c r="F606" s="28"/>
      <c r="G606" s="28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33">
        <f t="shared" si="1"/>
        <v>0</v>
      </c>
      <c r="W606" s="27"/>
      <c r="X606" s="27"/>
      <c r="Y606" s="27"/>
      <c r="Z606" s="27"/>
      <c r="AA606" s="27"/>
    </row>
    <row r="607">
      <c r="A607" s="28"/>
      <c r="B607" s="28"/>
      <c r="C607" s="28"/>
      <c r="D607" s="28"/>
      <c r="E607" s="28"/>
      <c r="F607" s="28"/>
      <c r="G607" s="28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33">
        <f t="shared" si="1"/>
        <v>0</v>
      </c>
      <c r="W607" s="27"/>
      <c r="X607" s="27"/>
      <c r="Y607" s="27"/>
      <c r="Z607" s="27"/>
      <c r="AA607" s="27"/>
    </row>
    <row r="608">
      <c r="A608" s="28"/>
      <c r="B608" s="28"/>
      <c r="C608" s="28"/>
      <c r="D608" s="28"/>
      <c r="E608" s="28"/>
      <c r="F608" s="28"/>
      <c r="G608" s="28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33">
        <f t="shared" si="1"/>
        <v>0</v>
      </c>
      <c r="W608" s="27"/>
      <c r="X608" s="27"/>
      <c r="Y608" s="27"/>
      <c r="Z608" s="27"/>
      <c r="AA608" s="27"/>
    </row>
    <row r="609">
      <c r="A609" s="28"/>
      <c r="B609" s="28"/>
      <c r="C609" s="28"/>
      <c r="D609" s="28"/>
      <c r="E609" s="28"/>
      <c r="F609" s="28"/>
      <c r="G609" s="28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33">
        <f t="shared" si="1"/>
        <v>0</v>
      </c>
      <c r="W609" s="27"/>
      <c r="X609" s="27"/>
      <c r="Y609" s="27"/>
      <c r="Z609" s="27"/>
      <c r="AA609" s="27"/>
    </row>
    <row r="610">
      <c r="A610" s="28"/>
      <c r="B610" s="28"/>
      <c r="C610" s="28"/>
      <c r="D610" s="28"/>
      <c r="E610" s="28"/>
      <c r="F610" s="28"/>
      <c r="G610" s="28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33">
        <f t="shared" si="1"/>
        <v>0</v>
      </c>
      <c r="W610" s="27"/>
      <c r="X610" s="27"/>
      <c r="Y610" s="27"/>
      <c r="Z610" s="27"/>
      <c r="AA610" s="27"/>
    </row>
    <row r="611">
      <c r="A611" s="28"/>
      <c r="B611" s="28"/>
      <c r="C611" s="28"/>
      <c r="D611" s="28"/>
      <c r="E611" s="28"/>
      <c r="F611" s="28"/>
      <c r="G611" s="28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33">
        <f t="shared" si="1"/>
        <v>0</v>
      </c>
      <c r="W611" s="27"/>
      <c r="X611" s="27"/>
      <c r="Y611" s="27"/>
      <c r="Z611" s="27"/>
      <c r="AA611" s="27"/>
    </row>
    <row r="612">
      <c r="A612" s="28"/>
      <c r="B612" s="28"/>
      <c r="C612" s="28"/>
      <c r="D612" s="28"/>
      <c r="E612" s="28"/>
      <c r="F612" s="28"/>
      <c r="G612" s="28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33">
        <f t="shared" si="1"/>
        <v>0</v>
      </c>
      <c r="W612" s="27"/>
      <c r="X612" s="27"/>
      <c r="Y612" s="27"/>
      <c r="Z612" s="27"/>
      <c r="AA612" s="27"/>
    </row>
    <row r="613">
      <c r="A613" s="28"/>
      <c r="B613" s="28"/>
      <c r="C613" s="28"/>
      <c r="D613" s="28"/>
      <c r="E613" s="28"/>
      <c r="F613" s="28"/>
      <c r="G613" s="28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33">
        <f t="shared" si="1"/>
        <v>0</v>
      </c>
      <c r="W613" s="27"/>
      <c r="X613" s="27"/>
      <c r="Y613" s="27"/>
      <c r="Z613" s="27"/>
      <c r="AA613" s="27"/>
    </row>
    <row r="614">
      <c r="A614" s="28"/>
      <c r="B614" s="28"/>
      <c r="C614" s="28"/>
      <c r="D614" s="28"/>
      <c r="E614" s="28"/>
      <c r="F614" s="28"/>
      <c r="G614" s="28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33">
        <f t="shared" si="1"/>
        <v>0</v>
      </c>
      <c r="W614" s="27"/>
      <c r="X614" s="27"/>
      <c r="Y614" s="27"/>
      <c r="Z614" s="27"/>
      <c r="AA614" s="27"/>
    </row>
    <row r="615">
      <c r="A615" s="28"/>
      <c r="B615" s="28"/>
      <c r="C615" s="28"/>
      <c r="D615" s="28"/>
      <c r="E615" s="28"/>
      <c r="F615" s="28"/>
      <c r="G615" s="28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33">
        <f t="shared" si="1"/>
        <v>0</v>
      </c>
      <c r="W615" s="27"/>
      <c r="X615" s="27"/>
      <c r="Y615" s="27"/>
      <c r="Z615" s="27"/>
      <c r="AA615" s="27"/>
    </row>
    <row r="616">
      <c r="A616" s="28"/>
      <c r="B616" s="28"/>
      <c r="C616" s="28"/>
      <c r="D616" s="28"/>
      <c r="E616" s="28"/>
      <c r="F616" s="28"/>
      <c r="G616" s="28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33">
        <f t="shared" si="1"/>
        <v>0</v>
      </c>
      <c r="W616" s="27"/>
      <c r="X616" s="27"/>
      <c r="Y616" s="27"/>
      <c r="Z616" s="27"/>
      <c r="AA616" s="27"/>
    </row>
    <row r="617">
      <c r="A617" s="28"/>
      <c r="B617" s="28"/>
      <c r="C617" s="28"/>
      <c r="D617" s="28"/>
      <c r="E617" s="28"/>
      <c r="F617" s="28"/>
      <c r="G617" s="28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33">
        <f t="shared" si="1"/>
        <v>0</v>
      </c>
      <c r="W617" s="27"/>
      <c r="X617" s="27"/>
      <c r="Y617" s="27"/>
      <c r="Z617" s="27"/>
      <c r="AA617" s="27"/>
    </row>
    <row r="618">
      <c r="A618" s="28"/>
      <c r="B618" s="28"/>
      <c r="C618" s="28"/>
      <c r="D618" s="28"/>
      <c r="E618" s="28"/>
      <c r="F618" s="28"/>
      <c r="G618" s="28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33">
        <f t="shared" si="1"/>
        <v>0</v>
      </c>
      <c r="W618" s="27"/>
      <c r="X618" s="27"/>
      <c r="Y618" s="27"/>
      <c r="Z618" s="27"/>
      <c r="AA618" s="27"/>
    </row>
    <row r="619">
      <c r="A619" s="28"/>
      <c r="B619" s="28"/>
      <c r="C619" s="28"/>
      <c r="D619" s="28"/>
      <c r="E619" s="28"/>
      <c r="F619" s="28"/>
      <c r="G619" s="28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33">
        <f t="shared" si="1"/>
        <v>0</v>
      </c>
      <c r="W619" s="27"/>
      <c r="X619" s="27"/>
      <c r="Y619" s="27"/>
      <c r="Z619" s="27"/>
      <c r="AA619" s="27"/>
    </row>
    <row r="620">
      <c r="A620" s="28"/>
      <c r="B620" s="28"/>
      <c r="C620" s="28"/>
      <c r="D620" s="28"/>
      <c r="E620" s="28"/>
      <c r="F620" s="28"/>
      <c r="G620" s="28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33">
        <f t="shared" si="1"/>
        <v>0</v>
      </c>
      <c r="W620" s="27"/>
      <c r="X620" s="27"/>
      <c r="Y620" s="27"/>
      <c r="Z620" s="27"/>
      <c r="AA620" s="27"/>
    </row>
    <row r="621">
      <c r="A621" s="28"/>
      <c r="B621" s="28"/>
      <c r="C621" s="28"/>
      <c r="D621" s="28"/>
      <c r="E621" s="28"/>
      <c r="F621" s="28"/>
      <c r="G621" s="28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33">
        <f t="shared" si="1"/>
        <v>0</v>
      </c>
      <c r="W621" s="27"/>
      <c r="X621" s="27"/>
      <c r="Y621" s="27"/>
      <c r="Z621" s="27"/>
      <c r="AA621" s="27"/>
    </row>
    <row r="622">
      <c r="A622" s="28"/>
      <c r="B622" s="28"/>
      <c r="C622" s="28"/>
      <c r="D622" s="28"/>
      <c r="E622" s="28"/>
      <c r="F622" s="28"/>
      <c r="G622" s="28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33">
        <f t="shared" si="1"/>
        <v>0</v>
      </c>
      <c r="W622" s="27"/>
      <c r="X622" s="27"/>
      <c r="Y622" s="27"/>
      <c r="Z622" s="27"/>
      <c r="AA622" s="27"/>
    </row>
    <row r="623">
      <c r="A623" s="28"/>
      <c r="B623" s="28"/>
      <c r="C623" s="28"/>
      <c r="D623" s="28"/>
      <c r="E623" s="28"/>
      <c r="F623" s="28"/>
      <c r="G623" s="28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33">
        <f t="shared" si="1"/>
        <v>0</v>
      </c>
      <c r="W623" s="27"/>
      <c r="X623" s="27"/>
      <c r="Y623" s="27"/>
      <c r="Z623" s="27"/>
      <c r="AA623" s="27"/>
    </row>
    <row r="624">
      <c r="A624" s="28"/>
      <c r="B624" s="28"/>
      <c r="C624" s="28"/>
      <c r="D624" s="28"/>
      <c r="E624" s="28"/>
      <c r="F624" s="28"/>
      <c r="G624" s="28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33">
        <f t="shared" si="1"/>
        <v>0</v>
      </c>
      <c r="W624" s="27"/>
      <c r="X624" s="27"/>
      <c r="Y624" s="27"/>
      <c r="Z624" s="27"/>
      <c r="AA624" s="27"/>
    </row>
    <row r="625">
      <c r="A625" s="28"/>
      <c r="B625" s="28"/>
      <c r="C625" s="28"/>
      <c r="D625" s="28"/>
      <c r="E625" s="28"/>
      <c r="F625" s="28"/>
      <c r="G625" s="28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33">
        <f t="shared" si="1"/>
        <v>0</v>
      </c>
      <c r="W625" s="27"/>
      <c r="X625" s="27"/>
      <c r="Y625" s="27"/>
      <c r="Z625" s="27"/>
      <c r="AA625" s="27"/>
    </row>
    <row r="626">
      <c r="A626" s="28"/>
      <c r="B626" s="28"/>
      <c r="C626" s="28"/>
      <c r="D626" s="28"/>
      <c r="E626" s="28"/>
      <c r="F626" s="28"/>
      <c r="G626" s="28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33">
        <f t="shared" si="1"/>
        <v>0</v>
      </c>
      <c r="W626" s="27"/>
      <c r="X626" s="27"/>
      <c r="Y626" s="27"/>
      <c r="Z626" s="27"/>
      <c r="AA626" s="27"/>
    </row>
    <row r="627">
      <c r="A627" s="28"/>
      <c r="B627" s="28"/>
      <c r="C627" s="28"/>
      <c r="D627" s="28"/>
      <c r="E627" s="28"/>
      <c r="F627" s="28"/>
      <c r="G627" s="28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33">
        <f t="shared" si="1"/>
        <v>0</v>
      </c>
      <c r="W627" s="27"/>
      <c r="X627" s="27"/>
      <c r="Y627" s="27"/>
      <c r="Z627" s="27"/>
      <c r="AA627" s="27"/>
    </row>
    <row r="628">
      <c r="A628" s="28"/>
      <c r="B628" s="28"/>
      <c r="C628" s="28"/>
      <c r="D628" s="28"/>
      <c r="E628" s="28"/>
      <c r="F628" s="28"/>
      <c r="G628" s="28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33">
        <f t="shared" si="1"/>
        <v>0</v>
      </c>
      <c r="W628" s="27"/>
      <c r="X628" s="27"/>
      <c r="Y628" s="27"/>
      <c r="Z628" s="27"/>
      <c r="AA628" s="27"/>
    </row>
    <row r="629">
      <c r="A629" s="28"/>
      <c r="B629" s="28"/>
      <c r="C629" s="28"/>
      <c r="D629" s="28"/>
      <c r="E629" s="28"/>
      <c r="F629" s="28"/>
      <c r="G629" s="28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33">
        <f t="shared" si="1"/>
        <v>0</v>
      </c>
      <c r="W629" s="27"/>
      <c r="X629" s="27"/>
      <c r="Y629" s="27"/>
      <c r="Z629" s="27"/>
      <c r="AA629" s="27"/>
    </row>
    <row r="630">
      <c r="A630" s="28"/>
      <c r="B630" s="28"/>
      <c r="C630" s="28"/>
      <c r="D630" s="28"/>
      <c r="E630" s="28"/>
      <c r="F630" s="28"/>
      <c r="G630" s="28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33">
        <f t="shared" si="1"/>
        <v>0</v>
      </c>
      <c r="W630" s="27"/>
      <c r="X630" s="27"/>
      <c r="Y630" s="27"/>
      <c r="Z630" s="27"/>
      <c r="AA630" s="27"/>
    </row>
    <row r="631">
      <c r="A631" s="28"/>
      <c r="B631" s="28"/>
      <c r="C631" s="28"/>
      <c r="D631" s="28"/>
      <c r="E631" s="28"/>
      <c r="F631" s="28"/>
      <c r="G631" s="28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33">
        <f t="shared" si="1"/>
        <v>0</v>
      </c>
      <c r="W631" s="27"/>
      <c r="X631" s="27"/>
      <c r="Y631" s="27"/>
      <c r="Z631" s="27"/>
      <c r="AA631" s="27"/>
    </row>
    <row r="632">
      <c r="A632" s="28"/>
      <c r="B632" s="28"/>
      <c r="C632" s="28"/>
      <c r="D632" s="28"/>
      <c r="E632" s="28"/>
      <c r="F632" s="28"/>
      <c r="G632" s="28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33">
        <f t="shared" si="1"/>
        <v>0</v>
      </c>
      <c r="W632" s="27"/>
      <c r="X632" s="27"/>
      <c r="Y632" s="27"/>
      <c r="Z632" s="27"/>
      <c r="AA632" s="27"/>
    </row>
    <row r="633">
      <c r="A633" s="28"/>
      <c r="B633" s="28"/>
      <c r="C633" s="28"/>
      <c r="D633" s="28"/>
      <c r="E633" s="28"/>
      <c r="F633" s="28"/>
      <c r="G633" s="28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33">
        <f t="shared" si="1"/>
        <v>0</v>
      </c>
      <c r="W633" s="27"/>
      <c r="X633" s="27"/>
      <c r="Y633" s="27"/>
      <c r="Z633" s="27"/>
      <c r="AA633" s="27"/>
    </row>
    <row r="634">
      <c r="A634" s="28"/>
      <c r="B634" s="28"/>
      <c r="C634" s="28"/>
      <c r="D634" s="28"/>
      <c r="E634" s="28"/>
      <c r="F634" s="28"/>
      <c r="G634" s="28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33">
        <f t="shared" si="1"/>
        <v>0</v>
      </c>
      <c r="W634" s="27"/>
      <c r="X634" s="27"/>
      <c r="Y634" s="27"/>
      <c r="Z634" s="27"/>
      <c r="AA634" s="27"/>
    </row>
    <row r="635">
      <c r="A635" s="28"/>
      <c r="B635" s="28"/>
      <c r="C635" s="28"/>
      <c r="D635" s="28"/>
      <c r="E635" s="28"/>
      <c r="F635" s="28"/>
      <c r="G635" s="28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33">
        <f t="shared" si="1"/>
        <v>0</v>
      </c>
      <c r="W635" s="27"/>
      <c r="X635" s="27"/>
      <c r="Y635" s="27"/>
      <c r="Z635" s="27"/>
      <c r="AA635" s="27"/>
    </row>
    <row r="636">
      <c r="A636" s="28"/>
      <c r="B636" s="28"/>
      <c r="C636" s="28"/>
      <c r="D636" s="28"/>
      <c r="E636" s="28"/>
      <c r="F636" s="28"/>
      <c r="G636" s="28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33">
        <f t="shared" si="1"/>
        <v>0</v>
      </c>
      <c r="W636" s="27"/>
      <c r="X636" s="27"/>
      <c r="Y636" s="27"/>
      <c r="Z636" s="27"/>
      <c r="AA636" s="27"/>
    </row>
    <row r="637">
      <c r="A637" s="28"/>
      <c r="B637" s="28"/>
      <c r="C637" s="28"/>
      <c r="D637" s="28"/>
      <c r="E637" s="28"/>
      <c r="F637" s="28"/>
      <c r="G637" s="28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33">
        <f t="shared" si="1"/>
        <v>0</v>
      </c>
      <c r="W637" s="27"/>
      <c r="X637" s="27"/>
      <c r="Y637" s="27"/>
      <c r="Z637" s="27"/>
      <c r="AA637" s="27"/>
    </row>
    <row r="638">
      <c r="A638" s="28"/>
      <c r="B638" s="28"/>
      <c r="C638" s="28"/>
      <c r="D638" s="28"/>
      <c r="E638" s="28"/>
      <c r="F638" s="28"/>
      <c r="G638" s="28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33">
        <f t="shared" si="1"/>
        <v>0</v>
      </c>
      <c r="W638" s="27"/>
      <c r="X638" s="27"/>
      <c r="Y638" s="27"/>
      <c r="Z638" s="27"/>
      <c r="AA638" s="27"/>
    </row>
    <row r="639">
      <c r="A639" s="28"/>
      <c r="B639" s="28"/>
      <c r="C639" s="28"/>
      <c r="D639" s="28"/>
      <c r="E639" s="28"/>
      <c r="F639" s="28"/>
      <c r="G639" s="28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33">
        <f t="shared" si="1"/>
        <v>0</v>
      </c>
      <c r="W639" s="27"/>
      <c r="X639" s="27"/>
      <c r="Y639" s="27"/>
      <c r="Z639" s="27"/>
      <c r="AA639" s="27"/>
    </row>
    <row r="640">
      <c r="A640" s="28"/>
      <c r="B640" s="28"/>
      <c r="C640" s="28"/>
      <c r="D640" s="28"/>
      <c r="E640" s="28"/>
      <c r="F640" s="28"/>
      <c r="G640" s="28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33">
        <f t="shared" si="1"/>
        <v>0</v>
      </c>
      <c r="W640" s="27"/>
      <c r="X640" s="27"/>
      <c r="Y640" s="27"/>
      <c r="Z640" s="27"/>
      <c r="AA640" s="27"/>
    </row>
    <row r="641">
      <c r="A641" s="28"/>
      <c r="B641" s="28"/>
      <c r="C641" s="28"/>
      <c r="D641" s="28"/>
      <c r="E641" s="28"/>
      <c r="F641" s="28"/>
      <c r="G641" s="28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33">
        <f t="shared" si="1"/>
        <v>0</v>
      </c>
      <c r="W641" s="27"/>
      <c r="X641" s="27"/>
      <c r="Y641" s="27"/>
      <c r="Z641" s="27"/>
      <c r="AA641" s="27"/>
    </row>
    <row r="642">
      <c r="A642" s="28"/>
      <c r="B642" s="28"/>
      <c r="C642" s="28"/>
      <c r="D642" s="28"/>
      <c r="E642" s="28"/>
      <c r="F642" s="28"/>
      <c r="G642" s="28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33">
        <f t="shared" si="1"/>
        <v>0</v>
      </c>
      <c r="W642" s="27"/>
      <c r="X642" s="27"/>
      <c r="Y642" s="27"/>
      <c r="Z642" s="27"/>
      <c r="AA642" s="27"/>
    </row>
    <row r="643">
      <c r="A643" s="28"/>
      <c r="B643" s="28"/>
      <c r="C643" s="28"/>
      <c r="D643" s="28"/>
      <c r="E643" s="28"/>
      <c r="F643" s="28"/>
      <c r="G643" s="28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33">
        <f t="shared" si="1"/>
        <v>0</v>
      </c>
      <c r="W643" s="27"/>
      <c r="X643" s="27"/>
      <c r="Y643" s="27"/>
      <c r="Z643" s="27"/>
      <c r="AA643" s="27"/>
    </row>
    <row r="644">
      <c r="A644" s="28"/>
      <c r="B644" s="28"/>
      <c r="C644" s="28"/>
      <c r="D644" s="28"/>
      <c r="E644" s="28"/>
      <c r="F644" s="28"/>
      <c r="G644" s="28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33">
        <f t="shared" si="1"/>
        <v>0</v>
      </c>
      <c r="W644" s="27"/>
      <c r="X644" s="27"/>
      <c r="Y644" s="27"/>
      <c r="Z644" s="27"/>
      <c r="AA644" s="27"/>
    </row>
    <row r="645">
      <c r="A645" s="28"/>
      <c r="B645" s="28"/>
      <c r="C645" s="28"/>
      <c r="D645" s="28"/>
      <c r="E645" s="28"/>
      <c r="F645" s="28"/>
      <c r="G645" s="28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33">
        <f t="shared" si="1"/>
        <v>0</v>
      </c>
      <c r="W645" s="27"/>
      <c r="X645" s="27"/>
      <c r="Y645" s="27"/>
      <c r="Z645" s="27"/>
      <c r="AA645" s="27"/>
    </row>
    <row r="646">
      <c r="A646" s="28"/>
      <c r="B646" s="28"/>
      <c r="C646" s="28"/>
      <c r="D646" s="28"/>
      <c r="E646" s="28"/>
      <c r="F646" s="28"/>
      <c r="G646" s="28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33">
        <f t="shared" si="1"/>
        <v>0</v>
      </c>
      <c r="W646" s="27"/>
      <c r="X646" s="27"/>
      <c r="Y646" s="27"/>
      <c r="Z646" s="27"/>
      <c r="AA646" s="27"/>
    </row>
    <row r="647">
      <c r="A647" s="28"/>
      <c r="B647" s="28"/>
      <c r="C647" s="28"/>
      <c r="D647" s="28"/>
      <c r="E647" s="28"/>
      <c r="F647" s="28"/>
      <c r="G647" s="28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33">
        <f t="shared" si="1"/>
        <v>0</v>
      </c>
      <c r="W647" s="27"/>
      <c r="X647" s="27"/>
      <c r="Y647" s="27"/>
      <c r="Z647" s="27"/>
      <c r="AA647" s="27"/>
    </row>
    <row r="648">
      <c r="A648" s="28"/>
      <c r="B648" s="28"/>
      <c r="C648" s="28"/>
      <c r="D648" s="28"/>
      <c r="E648" s="28"/>
      <c r="F648" s="28"/>
      <c r="G648" s="28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33">
        <f t="shared" si="1"/>
        <v>0</v>
      </c>
      <c r="W648" s="27"/>
      <c r="X648" s="27"/>
      <c r="Y648" s="27"/>
      <c r="Z648" s="27"/>
      <c r="AA648" s="27"/>
    </row>
    <row r="649">
      <c r="A649" s="28"/>
      <c r="B649" s="28"/>
      <c r="C649" s="28"/>
      <c r="D649" s="28"/>
      <c r="E649" s="28"/>
      <c r="F649" s="28"/>
      <c r="G649" s="28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33">
        <f t="shared" si="1"/>
        <v>0</v>
      </c>
      <c r="W649" s="27"/>
      <c r="X649" s="27"/>
      <c r="Y649" s="27"/>
      <c r="Z649" s="27"/>
      <c r="AA649" s="27"/>
    </row>
    <row r="650">
      <c r="A650" s="28"/>
      <c r="B650" s="28"/>
      <c r="C650" s="28"/>
      <c r="D650" s="28"/>
      <c r="E650" s="28"/>
      <c r="F650" s="28"/>
      <c r="G650" s="28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33">
        <f t="shared" si="1"/>
        <v>0</v>
      </c>
      <c r="W650" s="27"/>
      <c r="X650" s="27"/>
      <c r="Y650" s="27"/>
      <c r="Z650" s="27"/>
      <c r="AA650" s="27"/>
    </row>
    <row r="651">
      <c r="A651" s="28"/>
      <c r="B651" s="28"/>
      <c r="C651" s="28"/>
      <c r="D651" s="28"/>
      <c r="E651" s="28"/>
      <c r="F651" s="28"/>
      <c r="G651" s="28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33">
        <f t="shared" si="1"/>
        <v>0</v>
      </c>
      <c r="W651" s="27"/>
      <c r="X651" s="27"/>
      <c r="Y651" s="27"/>
      <c r="Z651" s="27"/>
      <c r="AA651" s="27"/>
    </row>
    <row r="652">
      <c r="A652" s="28"/>
      <c r="B652" s="28"/>
      <c r="C652" s="28"/>
      <c r="D652" s="28"/>
      <c r="E652" s="28"/>
      <c r="F652" s="28"/>
      <c r="G652" s="28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33">
        <f t="shared" si="1"/>
        <v>0</v>
      </c>
      <c r="W652" s="27"/>
      <c r="X652" s="27"/>
      <c r="Y652" s="27"/>
      <c r="Z652" s="27"/>
      <c r="AA652" s="27"/>
    </row>
    <row r="653">
      <c r="A653" s="28"/>
      <c r="B653" s="28"/>
      <c r="C653" s="28"/>
      <c r="D653" s="28"/>
      <c r="E653" s="28"/>
      <c r="F653" s="28"/>
      <c r="G653" s="28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33">
        <f t="shared" si="1"/>
        <v>0</v>
      </c>
      <c r="W653" s="27"/>
      <c r="X653" s="27"/>
      <c r="Y653" s="27"/>
      <c r="Z653" s="27"/>
      <c r="AA653" s="27"/>
    </row>
    <row r="654">
      <c r="A654" s="28"/>
      <c r="B654" s="28"/>
      <c r="C654" s="28"/>
      <c r="D654" s="28"/>
      <c r="E654" s="28"/>
      <c r="F654" s="28"/>
      <c r="G654" s="28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33">
        <f t="shared" si="1"/>
        <v>0</v>
      </c>
      <c r="W654" s="27"/>
      <c r="X654" s="27"/>
      <c r="Y654" s="27"/>
      <c r="Z654" s="27"/>
      <c r="AA654" s="27"/>
    </row>
    <row r="655">
      <c r="A655" s="28"/>
      <c r="B655" s="28"/>
      <c r="C655" s="28"/>
      <c r="D655" s="28"/>
      <c r="E655" s="28"/>
      <c r="F655" s="28"/>
      <c r="G655" s="28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33">
        <f t="shared" si="1"/>
        <v>0</v>
      </c>
      <c r="W655" s="27"/>
      <c r="X655" s="27"/>
      <c r="Y655" s="27"/>
      <c r="Z655" s="27"/>
      <c r="AA655" s="27"/>
    </row>
    <row r="656">
      <c r="A656" s="28"/>
      <c r="B656" s="28"/>
      <c r="C656" s="28"/>
      <c r="D656" s="28"/>
      <c r="E656" s="28"/>
      <c r="F656" s="28"/>
      <c r="G656" s="28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33">
        <f t="shared" si="1"/>
        <v>0</v>
      </c>
      <c r="W656" s="27"/>
      <c r="X656" s="27"/>
      <c r="Y656" s="27"/>
      <c r="Z656" s="27"/>
      <c r="AA656" s="27"/>
    </row>
    <row r="657">
      <c r="A657" s="28"/>
      <c r="B657" s="28"/>
      <c r="C657" s="28"/>
      <c r="D657" s="28"/>
      <c r="E657" s="28"/>
      <c r="F657" s="28"/>
      <c r="G657" s="28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33">
        <f t="shared" si="1"/>
        <v>0</v>
      </c>
      <c r="W657" s="27"/>
      <c r="X657" s="27"/>
      <c r="Y657" s="27"/>
      <c r="Z657" s="27"/>
      <c r="AA657" s="27"/>
    </row>
    <row r="658">
      <c r="A658" s="28"/>
      <c r="B658" s="28"/>
      <c r="C658" s="28"/>
      <c r="D658" s="28"/>
      <c r="E658" s="28"/>
      <c r="F658" s="28"/>
      <c r="G658" s="28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33">
        <f t="shared" si="1"/>
        <v>0</v>
      </c>
      <c r="W658" s="27"/>
      <c r="X658" s="27"/>
      <c r="Y658" s="27"/>
      <c r="Z658" s="27"/>
      <c r="AA658" s="27"/>
    </row>
    <row r="659">
      <c r="A659" s="28"/>
      <c r="B659" s="28"/>
      <c r="C659" s="28"/>
      <c r="D659" s="28"/>
      <c r="E659" s="28"/>
      <c r="F659" s="28"/>
      <c r="G659" s="28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33">
        <f t="shared" si="1"/>
        <v>0</v>
      </c>
      <c r="W659" s="27"/>
      <c r="X659" s="27"/>
      <c r="Y659" s="27"/>
      <c r="Z659" s="27"/>
      <c r="AA659" s="27"/>
    </row>
    <row r="660">
      <c r="A660" s="28"/>
      <c r="B660" s="28"/>
      <c r="C660" s="28"/>
      <c r="D660" s="28"/>
      <c r="E660" s="28"/>
      <c r="F660" s="28"/>
      <c r="G660" s="28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33">
        <f t="shared" si="1"/>
        <v>0</v>
      </c>
      <c r="W660" s="27"/>
      <c r="X660" s="27"/>
      <c r="Y660" s="27"/>
      <c r="Z660" s="27"/>
      <c r="AA660" s="27"/>
    </row>
    <row r="661">
      <c r="A661" s="28"/>
      <c r="B661" s="28"/>
      <c r="C661" s="28"/>
      <c r="D661" s="28"/>
      <c r="E661" s="28"/>
      <c r="F661" s="28"/>
      <c r="G661" s="28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33">
        <f t="shared" si="1"/>
        <v>0</v>
      </c>
      <c r="W661" s="27"/>
      <c r="X661" s="27"/>
      <c r="Y661" s="27"/>
      <c r="Z661" s="27"/>
      <c r="AA661" s="27"/>
    </row>
    <row r="662">
      <c r="A662" s="28"/>
      <c r="B662" s="28"/>
      <c r="C662" s="28"/>
      <c r="D662" s="28"/>
      <c r="E662" s="28"/>
      <c r="F662" s="28"/>
      <c r="G662" s="28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33">
        <f t="shared" si="1"/>
        <v>0</v>
      </c>
      <c r="W662" s="27"/>
      <c r="X662" s="27"/>
      <c r="Y662" s="27"/>
      <c r="Z662" s="27"/>
      <c r="AA662" s="27"/>
    </row>
    <row r="663">
      <c r="A663" s="28"/>
      <c r="B663" s="28"/>
      <c r="C663" s="28"/>
      <c r="D663" s="28"/>
      <c r="E663" s="28"/>
      <c r="F663" s="28"/>
      <c r="G663" s="28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33">
        <f t="shared" si="1"/>
        <v>0</v>
      </c>
      <c r="W663" s="27"/>
      <c r="X663" s="27"/>
      <c r="Y663" s="27"/>
      <c r="Z663" s="27"/>
      <c r="AA663" s="27"/>
    </row>
    <row r="664">
      <c r="A664" s="28"/>
      <c r="B664" s="28"/>
      <c r="C664" s="28"/>
      <c r="D664" s="28"/>
      <c r="E664" s="28"/>
      <c r="F664" s="28"/>
      <c r="G664" s="28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33">
        <f t="shared" si="1"/>
        <v>0</v>
      </c>
      <c r="W664" s="27"/>
      <c r="X664" s="27"/>
      <c r="Y664" s="27"/>
      <c r="Z664" s="27"/>
      <c r="AA664" s="27"/>
    </row>
    <row r="665">
      <c r="A665" s="28"/>
      <c r="B665" s="28"/>
      <c r="C665" s="28"/>
      <c r="D665" s="28"/>
      <c r="E665" s="28"/>
      <c r="F665" s="28"/>
      <c r="G665" s="28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33">
        <f t="shared" si="1"/>
        <v>0</v>
      </c>
      <c r="W665" s="27"/>
      <c r="X665" s="27"/>
      <c r="Y665" s="27"/>
      <c r="Z665" s="27"/>
      <c r="AA665" s="27"/>
    </row>
    <row r="666">
      <c r="A666" s="28"/>
      <c r="B666" s="28"/>
      <c r="C666" s="28"/>
      <c r="D666" s="28"/>
      <c r="E666" s="28"/>
      <c r="F666" s="28"/>
      <c r="G666" s="28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33">
        <f t="shared" si="1"/>
        <v>0</v>
      </c>
      <c r="W666" s="27"/>
      <c r="X666" s="27"/>
      <c r="Y666" s="27"/>
      <c r="Z666" s="27"/>
      <c r="AA666" s="27"/>
    </row>
    <row r="667">
      <c r="A667" s="28"/>
      <c r="B667" s="28"/>
      <c r="C667" s="28"/>
      <c r="D667" s="28"/>
      <c r="E667" s="28"/>
      <c r="F667" s="28"/>
      <c r="G667" s="28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33">
        <f t="shared" si="1"/>
        <v>0</v>
      </c>
      <c r="W667" s="27"/>
      <c r="X667" s="27"/>
      <c r="Y667" s="27"/>
      <c r="Z667" s="27"/>
      <c r="AA667" s="27"/>
    </row>
    <row r="668">
      <c r="A668" s="28"/>
      <c r="B668" s="28"/>
      <c r="C668" s="28"/>
      <c r="D668" s="28"/>
      <c r="E668" s="28"/>
      <c r="F668" s="28"/>
      <c r="G668" s="28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33">
        <f t="shared" si="1"/>
        <v>0</v>
      </c>
      <c r="W668" s="27"/>
      <c r="X668" s="27"/>
      <c r="Y668" s="27"/>
      <c r="Z668" s="27"/>
      <c r="AA668" s="27"/>
    </row>
    <row r="669">
      <c r="A669" s="28"/>
      <c r="B669" s="28"/>
      <c r="C669" s="28"/>
      <c r="D669" s="28"/>
      <c r="E669" s="28"/>
      <c r="F669" s="28"/>
      <c r="G669" s="28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33">
        <f t="shared" si="1"/>
        <v>0</v>
      </c>
      <c r="W669" s="27"/>
      <c r="X669" s="27"/>
      <c r="Y669" s="27"/>
      <c r="Z669" s="27"/>
      <c r="AA669" s="27"/>
    </row>
    <row r="670">
      <c r="A670" s="28"/>
      <c r="B670" s="28"/>
      <c r="C670" s="28"/>
      <c r="D670" s="28"/>
      <c r="E670" s="28"/>
      <c r="F670" s="28"/>
      <c r="G670" s="28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33">
        <f t="shared" si="1"/>
        <v>0</v>
      </c>
      <c r="W670" s="27"/>
      <c r="X670" s="27"/>
      <c r="Y670" s="27"/>
      <c r="Z670" s="27"/>
      <c r="AA670" s="27"/>
    </row>
    <row r="671">
      <c r="A671" s="28"/>
      <c r="B671" s="28"/>
      <c r="C671" s="28"/>
      <c r="D671" s="28"/>
      <c r="E671" s="28"/>
      <c r="F671" s="28"/>
      <c r="G671" s="28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33">
        <f t="shared" si="1"/>
        <v>0</v>
      </c>
      <c r="W671" s="27"/>
      <c r="X671" s="27"/>
      <c r="Y671" s="27"/>
      <c r="Z671" s="27"/>
      <c r="AA671" s="27"/>
    </row>
    <row r="672">
      <c r="A672" s="28"/>
      <c r="B672" s="28"/>
      <c r="C672" s="28"/>
      <c r="D672" s="28"/>
      <c r="E672" s="28"/>
      <c r="F672" s="28"/>
      <c r="G672" s="28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33">
        <f t="shared" si="1"/>
        <v>0</v>
      </c>
      <c r="W672" s="27"/>
      <c r="X672" s="27"/>
      <c r="Y672" s="27"/>
      <c r="Z672" s="27"/>
      <c r="AA672" s="27"/>
    </row>
    <row r="673">
      <c r="A673" s="28"/>
      <c r="B673" s="28"/>
      <c r="C673" s="28"/>
      <c r="D673" s="28"/>
      <c r="E673" s="28"/>
      <c r="F673" s="28"/>
      <c r="G673" s="28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33">
        <f t="shared" si="1"/>
        <v>0</v>
      </c>
      <c r="W673" s="27"/>
      <c r="X673" s="27"/>
      <c r="Y673" s="27"/>
      <c r="Z673" s="27"/>
      <c r="AA673" s="27"/>
    </row>
    <row r="674">
      <c r="A674" s="28"/>
      <c r="B674" s="28"/>
      <c r="C674" s="28"/>
      <c r="D674" s="28"/>
      <c r="E674" s="28"/>
      <c r="F674" s="28"/>
      <c r="G674" s="28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33">
        <f t="shared" si="1"/>
        <v>0</v>
      </c>
      <c r="W674" s="27"/>
      <c r="X674" s="27"/>
      <c r="Y674" s="27"/>
      <c r="Z674" s="27"/>
      <c r="AA674" s="27"/>
    </row>
    <row r="675">
      <c r="A675" s="28"/>
      <c r="B675" s="28"/>
      <c r="C675" s="28"/>
      <c r="D675" s="28"/>
      <c r="E675" s="28"/>
      <c r="F675" s="28"/>
      <c r="G675" s="28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33">
        <f t="shared" si="1"/>
        <v>0</v>
      </c>
      <c r="W675" s="27"/>
      <c r="X675" s="27"/>
      <c r="Y675" s="27"/>
      <c r="Z675" s="27"/>
      <c r="AA675" s="27"/>
    </row>
    <row r="676">
      <c r="A676" s="28"/>
      <c r="B676" s="28"/>
      <c r="C676" s="28"/>
      <c r="D676" s="28"/>
      <c r="E676" s="28"/>
      <c r="F676" s="28"/>
      <c r="G676" s="28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33">
        <f t="shared" si="1"/>
        <v>0</v>
      </c>
      <c r="W676" s="27"/>
      <c r="X676" s="27"/>
      <c r="Y676" s="27"/>
      <c r="Z676" s="27"/>
      <c r="AA676" s="27"/>
    </row>
    <row r="677">
      <c r="A677" s="28"/>
      <c r="B677" s="28"/>
      <c r="C677" s="28"/>
      <c r="D677" s="28"/>
      <c r="E677" s="28"/>
      <c r="F677" s="28"/>
      <c r="G677" s="28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33">
        <f t="shared" si="1"/>
        <v>0</v>
      </c>
      <c r="W677" s="27"/>
      <c r="X677" s="27"/>
      <c r="Y677" s="27"/>
      <c r="Z677" s="27"/>
      <c r="AA677" s="27"/>
    </row>
    <row r="678">
      <c r="A678" s="28"/>
      <c r="B678" s="28"/>
      <c r="C678" s="28"/>
      <c r="D678" s="28"/>
      <c r="E678" s="28"/>
      <c r="F678" s="28"/>
      <c r="G678" s="28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33">
        <f t="shared" si="1"/>
        <v>0</v>
      </c>
      <c r="W678" s="27"/>
      <c r="X678" s="27"/>
      <c r="Y678" s="27"/>
      <c r="Z678" s="27"/>
      <c r="AA678" s="27"/>
    </row>
    <row r="679">
      <c r="A679" s="28"/>
      <c r="B679" s="28"/>
      <c r="C679" s="28"/>
      <c r="D679" s="28"/>
      <c r="E679" s="28"/>
      <c r="F679" s="28"/>
      <c r="G679" s="28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33">
        <f t="shared" si="1"/>
        <v>0</v>
      </c>
      <c r="W679" s="27"/>
      <c r="X679" s="27"/>
      <c r="Y679" s="27"/>
      <c r="Z679" s="27"/>
      <c r="AA679" s="27"/>
    </row>
    <row r="680">
      <c r="A680" s="28"/>
      <c r="B680" s="28"/>
      <c r="C680" s="28"/>
      <c r="D680" s="28"/>
      <c r="E680" s="28"/>
      <c r="F680" s="28"/>
      <c r="G680" s="28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33">
        <f t="shared" si="1"/>
        <v>0</v>
      </c>
      <c r="W680" s="27"/>
      <c r="X680" s="27"/>
      <c r="Y680" s="27"/>
      <c r="Z680" s="27"/>
      <c r="AA680" s="27"/>
    </row>
    <row r="681">
      <c r="A681" s="28"/>
      <c r="B681" s="28"/>
      <c r="C681" s="28"/>
      <c r="D681" s="28"/>
      <c r="E681" s="28"/>
      <c r="F681" s="28"/>
      <c r="G681" s="28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33">
        <f t="shared" si="1"/>
        <v>0</v>
      </c>
      <c r="W681" s="27"/>
      <c r="X681" s="27"/>
      <c r="Y681" s="27"/>
      <c r="Z681" s="27"/>
      <c r="AA681" s="27"/>
    </row>
    <row r="682">
      <c r="A682" s="28"/>
      <c r="B682" s="28"/>
      <c r="C682" s="28"/>
      <c r="D682" s="28"/>
      <c r="E682" s="28"/>
      <c r="F682" s="28"/>
      <c r="G682" s="28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33">
        <f t="shared" si="1"/>
        <v>0</v>
      </c>
      <c r="W682" s="27"/>
      <c r="X682" s="27"/>
      <c r="Y682" s="27"/>
      <c r="Z682" s="27"/>
      <c r="AA682" s="27"/>
    </row>
    <row r="683">
      <c r="A683" s="28"/>
      <c r="B683" s="28"/>
      <c r="C683" s="28"/>
      <c r="D683" s="28"/>
      <c r="E683" s="28"/>
      <c r="F683" s="28"/>
      <c r="G683" s="28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33">
        <f t="shared" si="1"/>
        <v>0</v>
      </c>
      <c r="W683" s="27"/>
      <c r="X683" s="27"/>
      <c r="Y683" s="27"/>
      <c r="Z683" s="27"/>
      <c r="AA683" s="27"/>
    </row>
    <row r="684">
      <c r="A684" s="28"/>
      <c r="B684" s="28"/>
      <c r="C684" s="28"/>
      <c r="D684" s="28"/>
      <c r="E684" s="28"/>
      <c r="F684" s="28"/>
      <c r="G684" s="28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33">
        <f t="shared" si="1"/>
        <v>0</v>
      </c>
      <c r="W684" s="27"/>
      <c r="X684" s="27"/>
      <c r="Y684" s="27"/>
      <c r="Z684" s="27"/>
      <c r="AA684" s="27"/>
    </row>
    <row r="685">
      <c r="A685" s="28"/>
      <c r="B685" s="28"/>
      <c r="C685" s="28"/>
      <c r="D685" s="28"/>
      <c r="E685" s="28"/>
      <c r="F685" s="28"/>
      <c r="G685" s="28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33">
        <f t="shared" si="1"/>
        <v>0</v>
      </c>
      <c r="W685" s="27"/>
      <c r="X685" s="27"/>
      <c r="Y685" s="27"/>
      <c r="Z685" s="27"/>
      <c r="AA685" s="27"/>
    </row>
    <row r="686">
      <c r="A686" s="28"/>
      <c r="B686" s="28"/>
      <c r="C686" s="28"/>
      <c r="D686" s="28"/>
      <c r="E686" s="28"/>
      <c r="F686" s="28"/>
      <c r="G686" s="28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33">
        <f t="shared" si="1"/>
        <v>0</v>
      </c>
      <c r="W686" s="27"/>
      <c r="X686" s="27"/>
      <c r="Y686" s="27"/>
      <c r="Z686" s="27"/>
      <c r="AA686" s="27"/>
    </row>
    <row r="687">
      <c r="A687" s="28"/>
      <c r="B687" s="28"/>
      <c r="C687" s="28"/>
      <c r="D687" s="28"/>
      <c r="E687" s="28"/>
      <c r="F687" s="28"/>
      <c r="G687" s="28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33">
        <f t="shared" si="1"/>
        <v>0</v>
      </c>
      <c r="W687" s="27"/>
      <c r="X687" s="27"/>
      <c r="Y687" s="27"/>
      <c r="Z687" s="27"/>
      <c r="AA687" s="27"/>
    </row>
    <row r="688">
      <c r="A688" s="28"/>
      <c r="B688" s="28"/>
      <c r="C688" s="28"/>
      <c r="D688" s="28"/>
      <c r="E688" s="28"/>
      <c r="F688" s="28"/>
      <c r="G688" s="28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33">
        <f t="shared" si="1"/>
        <v>0</v>
      </c>
      <c r="W688" s="27"/>
      <c r="X688" s="27"/>
      <c r="Y688" s="27"/>
      <c r="Z688" s="27"/>
      <c r="AA688" s="27"/>
    </row>
    <row r="689">
      <c r="A689" s="28"/>
      <c r="B689" s="28"/>
      <c r="C689" s="28"/>
      <c r="D689" s="28"/>
      <c r="E689" s="28"/>
      <c r="F689" s="28"/>
      <c r="G689" s="28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33">
        <f t="shared" si="1"/>
        <v>0</v>
      </c>
      <c r="W689" s="27"/>
      <c r="X689" s="27"/>
      <c r="Y689" s="27"/>
      <c r="Z689" s="27"/>
      <c r="AA689" s="27"/>
    </row>
    <row r="690">
      <c r="A690" s="28"/>
      <c r="B690" s="28"/>
      <c r="C690" s="28"/>
      <c r="D690" s="28"/>
      <c r="E690" s="28"/>
      <c r="F690" s="28"/>
      <c r="G690" s="28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33">
        <f t="shared" si="1"/>
        <v>0</v>
      </c>
      <c r="W690" s="27"/>
      <c r="X690" s="27"/>
      <c r="Y690" s="27"/>
      <c r="Z690" s="27"/>
      <c r="AA690" s="27"/>
    </row>
    <row r="691">
      <c r="A691" s="28"/>
      <c r="B691" s="28"/>
      <c r="C691" s="28"/>
      <c r="D691" s="28"/>
      <c r="E691" s="28"/>
      <c r="F691" s="28"/>
      <c r="G691" s="28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33">
        <f t="shared" si="1"/>
        <v>0</v>
      </c>
      <c r="W691" s="27"/>
      <c r="X691" s="27"/>
      <c r="Y691" s="27"/>
      <c r="Z691" s="27"/>
      <c r="AA691" s="27"/>
    </row>
    <row r="692">
      <c r="A692" s="28"/>
      <c r="B692" s="28"/>
      <c r="C692" s="28"/>
      <c r="D692" s="28"/>
      <c r="E692" s="28"/>
      <c r="F692" s="28"/>
      <c r="G692" s="28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33">
        <f t="shared" si="1"/>
        <v>0</v>
      </c>
      <c r="W692" s="27"/>
      <c r="X692" s="27"/>
      <c r="Y692" s="27"/>
      <c r="Z692" s="27"/>
      <c r="AA692" s="27"/>
    </row>
    <row r="693">
      <c r="A693" s="28"/>
      <c r="B693" s="28"/>
      <c r="C693" s="28"/>
      <c r="D693" s="28"/>
      <c r="E693" s="28"/>
      <c r="F693" s="28"/>
      <c r="G693" s="28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33">
        <f t="shared" si="1"/>
        <v>0</v>
      </c>
      <c r="W693" s="27"/>
      <c r="X693" s="27"/>
      <c r="Y693" s="27"/>
      <c r="Z693" s="27"/>
      <c r="AA693" s="27"/>
    </row>
    <row r="694">
      <c r="A694" s="28"/>
      <c r="B694" s="28"/>
      <c r="C694" s="28"/>
      <c r="D694" s="28"/>
      <c r="E694" s="28"/>
      <c r="F694" s="28"/>
      <c r="G694" s="28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33">
        <f t="shared" si="1"/>
        <v>0</v>
      </c>
      <c r="W694" s="27"/>
      <c r="X694" s="27"/>
      <c r="Y694" s="27"/>
      <c r="Z694" s="27"/>
      <c r="AA694" s="27"/>
    </row>
    <row r="695">
      <c r="A695" s="28"/>
      <c r="B695" s="28"/>
      <c r="C695" s="28"/>
      <c r="D695" s="28"/>
      <c r="E695" s="28"/>
      <c r="F695" s="28"/>
      <c r="G695" s="28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33">
        <f t="shared" si="1"/>
        <v>0</v>
      </c>
      <c r="W695" s="27"/>
      <c r="X695" s="27"/>
      <c r="Y695" s="27"/>
      <c r="Z695" s="27"/>
      <c r="AA695" s="27"/>
    </row>
    <row r="696">
      <c r="A696" s="28"/>
      <c r="B696" s="28"/>
      <c r="C696" s="28"/>
      <c r="D696" s="28"/>
      <c r="E696" s="28"/>
      <c r="F696" s="28"/>
      <c r="G696" s="28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33">
        <f t="shared" si="1"/>
        <v>0</v>
      </c>
      <c r="W696" s="27"/>
      <c r="X696" s="27"/>
      <c r="Y696" s="27"/>
      <c r="Z696" s="27"/>
      <c r="AA696" s="27"/>
    </row>
    <row r="697">
      <c r="A697" s="28"/>
      <c r="B697" s="28"/>
      <c r="C697" s="28"/>
      <c r="D697" s="28"/>
      <c r="E697" s="28"/>
      <c r="F697" s="28"/>
      <c r="G697" s="28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33">
        <f t="shared" si="1"/>
        <v>0</v>
      </c>
      <c r="W697" s="27"/>
      <c r="X697" s="27"/>
      <c r="Y697" s="27"/>
      <c r="Z697" s="27"/>
      <c r="AA697" s="27"/>
    </row>
    <row r="698">
      <c r="A698" s="28"/>
      <c r="B698" s="28"/>
      <c r="C698" s="28"/>
      <c r="D698" s="28"/>
      <c r="E698" s="28"/>
      <c r="F698" s="28"/>
      <c r="G698" s="28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33">
        <f t="shared" si="1"/>
        <v>0</v>
      </c>
      <c r="W698" s="27"/>
      <c r="X698" s="27"/>
      <c r="Y698" s="27"/>
      <c r="Z698" s="27"/>
      <c r="AA698" s="27"/>
    </row>
    <row r="699">
      <c r="A699" s="28"/>
      <c r="B699" s="28"/>
      <c r="C699" s="28"/>
      <c r="D699" s="28"/>
      <c r="E699" s="28"/>
      <c r="F699" s="28"/>
      <c r="G699" s="28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33">
        <f t="shared" si="1"/>
        <v>0</v>
      </c>
      <c r="W699" s="27"/>
      <c r="X699" s="27"/>
      <c r="Y699" s="27"/>
      <c r="Z699" s="27"/>
      <c r="AA699" s="27"/>
    </row>
    <row r="700">
      <c r="A700" s="28"/>
      <c r="B700" s="28"/>
      <c r="C700" s="28"/>
      <c r="D700" s="28"/>
      <c r="E700" s="28"/>
      <c r="F700" s="28"/>
      <c r="G700" s="28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33">
        <f t="shared" si="1"/>
        <v>0</v>
      </c>
      <c r="W700" s="27"/>
      <c r="X700" s="27"/>
      <c r="Y700" s="27"/>
      <c r="Z700" s="27"/>
      <c r="AA700" s="27"/>
    </row>
    <row r="701">
      <c r="A701" s="28"/>
      <c r="B701" s="28"/>
      <c r="C701" s="28"/>
      <c r="D701" s="28"/>
      <c r="E701" s="28"/>
      <c r="F701" s="28"/>
      <c r="G701" s="28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33">
        <f t="shared" si="1"/>
        <v>0</v>
      </c>
      <c r="W701" s="27"/>
      <c r="X701" s="27"/>
      <c r="Y701" s="27"/>
      <c r="Z701" s="27"/>
      <c r="AA701" s="27"/>
    </row>
    <row r="702">
      <c r="A702" s="28"/>
      <c r="B702" s="28"/>
      <c r="C702" s="28"/>
      <c r="D702" s="28"/>
      <c r="E702" s="28"/>
      <c r="F702" s="28"/>
      <c r="G702" s="28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33">
        <f t="shared" si="1"/>
        <v>0</v>
      </c>
      <c r="W702" s="27"/>
      <c r="X702" s="27"/>
      <c r="Y702" s="27"/>
      <c r="Z702" s="27"/>
      <c r="AA702" s="27"/>
    </row>
    <row r="703">
      <c r="A703" s="28"/>
      <c r="B703" s="28"/>
      <c r="C703" s="28"/>
      <c r="D703" s="28"/>
      <c r="E703" s="28"/>
      <c r="F703" s="28"/>
      <c r="G703" s="28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33">
        <f t="shared" si="1"/>
        <v>0</v>
      </c>
      <c r="W703" s="27"/>
      <c r="X703" s="27"/>
      <c r="Y703" s="27"/>
      <c r="Z703" s="27"/>
      <c r="AA703" s="27"/>
    </row>
    <row r="704">
      <c r="A704" s="28"/>
      <c r="B704" s="28"/>
      <c r="C704" s="28"/>
      <c r="D704" s="28"/>
      <c r="E704" s="28"/>
      <c r="F704" s="28"/>
      <c r="G704" s="28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33">
        <f t="shared" si="1"/>
        <v>0</v>
      </c>
      <c r="W704" s="27"/>
      <c r="X704" s="27"/>
      <c r="Y704" s="27"/>
      <c r="Z704" s="27"/>
      <c r="AA704" s="27"/>
    </row>
    <row r="705">
      <c r="A705" s="28"/>
      <c r="B705" s="28"/>
      <c r="C705" s="28"/>
      <c r="D705" s="28"/>
      <c r="E705" s="28"/>
      <c r="F705" s="28"/>
      <c r="G705" s="28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33">
        <f t="shared" si="1"/>
        <v>0</v>
      </c>
      <c r="W705" s="27"/>
      <c r="X705" s="27"/>
      <c r="Y705" s="27"/>
      <c r="Z705" s="27"/>
      <c r="AA705" s="27"/>
    </row>
    <row r="706">
      <c r="A706" s="28"/>
      <c r="B706" s="28"/>
      <c r="C706" s="28"/>
      <c r="D706" s="28"/>
      <c r="E706" s="28"/>
      <c r="F706" s="28"/>
      <c r="G706" s="28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33">
        <f t="shared" si="1"/>
        <v>0</v>
      </c>
      <c r="W706" s="27"/>
      <c r="X706" s="27"/>
      <c r="Y706" s="27"/>
      <c r="Z706" s="27"/>
      <c r="AA706" s="27"/>
    </row>
    <row r="707">
      <c r="A707" s="28"/>
      <c r="B707" s="28"/>
      <c r="C707" s="28"/>
      <c r="D707" s="28"/>
      <c r="E707" s="28"/>
      <c r="F707" s="28"/>
      <c r="G707" s="28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33">
        <f t="shared" si="1"/>
        <v>0</v>
      </c>
      <c r="W707" s="27"/>
      <c r="X707" s="27"/>
      <c r="Y707" s="27"/>
      <c r="Z707" s="27"/>
      <c r="AA707" s="27"/>
    </row>
    <row r="708">
      <c r="A708" s="28"/>
      <c r="B708" s="28"/>
      <c r="C708" s="28"/>
      <c r="D708" s="28"/>
      <c r="E708" s="28"/>
      <c r="F708" s="28"/>
      <c r="G708" s="28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33">
        <f t="shared" si="1"/>
        <v>0</v>
      </c>
      <c r="W708" s="27"/>
      <c r="X708" s="27"/>
      <c r="Y708" s="27"/>
      <c r="Z708" s="27"/>
      <c r="AA708" s="27"/>
    </row>
    <row r="709">
      <c r="A709" s="28"/>
      <c r="B709" s="28"/>
      <c r="C709" s="28"/>
      <c r="D709" s="28"/>
      <c r="E709" s="28"/>
      <c r="F709" s="28"/>
      <c r="G709" s="28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33">
        <f t="shared" si="1"/>
        <v>0</v>
      </c>
      <c r="W709" s="27"/>
      <c r="X709" s="27"/>
      <c r="Y709" s="27"/>
      <c r="Z709" s="27"/>
      <c r="AA709" s="27"/>
    </row>
    <row r="710">
      <c r="A710" s="28"/>
      <c r="B710" s="28"/>
      <c r="C710" s="28"/>
      <c r="D710" s="28"/>
      <c r="E710" s="28"/>
      <c r="F710" s="28"/>
      <c r="G710" s="28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33">
        <f t="shared" si="1"/>
        <v>0</v>
      </c>
      <c r="W710" s="27"/>
      <c r="X710" s="27"/>
      <c r="Y710" s="27"/>
      <c r="Z710" s="27"/>
      <c r="AA710" s="27"/>
    </row>
    <row r="711">
      <c r="A711" s="28"/>
      <c r="B711" s="28"/>
      <c r="C711" s="28"/>
      <c r="D711" s="28"/>
      <c r="E711" s="28"/>
      <c r="F711" s="28"/>
      <c r="G711" s="28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33">
        <f t="shared" si="1"/>
        <v>0</v>
      </c>
      <c r="W711" s="27"/>
      <c r="X711" s="27"/>
      <c r="Y711" s="27"/>
      <c r="Z711" s="27"/>
      <c r="AA711" s="27"/>
    </row>
    <row r="712">
      <c r="A712" s="28"/>
      <c r="B712" s="28"/>
      <c r="C712" s="28"/>
      <c r="D712" s="28"/>
      <c r="E712" s="28"/>
      <c r="F712" s="28"/>
      <c r="G712" s="28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33">
        <f t="shared" si="1"/>
        <v>0</v>
      </c>
      <c r="W712" s="27"/>
      <c r="X712" s="27"/>
      <c r="Y712" s="27"/>
      <c r="Z712" s="27"/>
      <c r="AA712" s="27"/>
    </row>
    <row r="713">
      <c r="A713" s="28"/>
      <c r="B713" s="28"/>
      <c r="C713" s="28"/>
      <c r="D713" s="28"/>
      <c r="E713" s="28"/>
      <c r="F713" s="28"/>
      <c r="G713" s="28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33">
        <f t="shared" si="1"/>
        <v>0</v>
      </c>
      <c r="W713" s="27"/>
      <c r="X713" s="27"/>
      <c r="Y713" s="27"/>
      <c r="Z713" s="27"/>
      <c r="AA713" s="27"/>
    </row>
    <row r="714">
      <c r="A714" s="28"/>
      <c r="B714" s="28"/>
      <c r="C714" s="28"/>
      <c r="D714" s="28"/>
      <c r="E714" s="28"/>
      <c r="F714" s="28"/>
      <c r="G714" s="28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33">
        <f t="shared" si="1"/>
        <v>0</v>
      </c>
      <c r="W714" s="27"/>
      <c r="X714" s="27"/>
      <c r="Y714" s="27"/>
      <c r="Z714" s="27"/>
      <c r="AA714" s="27"/>
    </row>
    <row r="715">
      <c r="A715" s="28"/>
      <c r="B715" s="28"/>
      <c r="C715" s="28"/>
      <c r="D715" s="28"/>
      <c r="E715" s="28"/>
      <c r="F715" s="28"/>
      <c r="G715" s="28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33">
        <f t="shared" si="1"/>
        <v>0</v>
      </c>
      <c r="W715" s="27"/>
      <c r="X715" s="27"/>
      <c r="Y715" s="27"/>
      <c r="Z715" s="27"/>
      <c r="AA715" s="27"/>
    </row>
    <row r="716">
      <c r="A716" s="28"/>
      <c r="B716" s="28"/>
      <c r="C716" s="28"/>
      <c r="D716" s="28"/>
      <c r="E716" s="28"/>
      <c r="F716" s="28"/>
      <c r="G716" s="28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33">
        <f t="shared" si="1"/>
        <v>0</v>
      </c>
      <c r="W716" s="27"/>
      <c r="X716" s="27"/>
      <c r="Y716" s="27"/>
      <c r="Z716" s="27"/>
      <c r="AA716" s="27"/>
    </row>
    <row r="717">
      <c r="A717" s="28"/>
      <c r="B717" s="28"/>
      <c r="C717" s="28"/>
      <c r="D717" s="28"/>
      <c r="E717" s="28"/>
      <c r="F717" s="28"/>
      <c r="G717" s="28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33">
        <f t="shared" si="1"/>
        <v>0</v>
      </c>
      <c r="W717" s="27"/>
      <c r="X717" s="27"/>
      <c r="Y717" s="27"/>
      <c r="Z717" s="27"/>
      <c r="AA717" s="27"/>
    </row>
    <row r="718">
      <c r="A718" s="28"/>
      <c r="B718" s="28"/>
      <c r="C718" s="28"/>
      <c r="D718" s="28"/>
      <c r="E718" s="28"/>
      <c r="F718" s="28"/>
      <c r="G718" s="28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33">
        <f t="shared" si="1"/>
        <v>0</v>
      </c>
      <c r="W718" s="27"/>
      <c r="X718" s="27"/>
      <c r="Y718" s="27"/>
      <c r="Z718" s="27"/>
      <c r="AA718" s="27"/>
    </row>
    <row r="719">
      <c r="A719" s="28"/>
      <c r="B719" s="28"/>
      <c r="C719" s="28"/>
      <c r="D719" s="28"/>
      <c r="E719" s="28"/>
      <c r="F719" s="28"/>
      <c r="G719" s="28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33">
        <f t="shared" si="1"/>
        <v>0</v>
      </c>
      <c r="W719" s="27"/>
      <c r="X719" s="27"/>
      <c r="Y719" s="27"/>
      <c r="Z719" s="27"/>
      <c r="AA719" s="27"/>
    </row>
    <row r="720">
      <c r="A720" s="28"/>
      <c r="B720" s="28"/>
      <c r="C720" s="28"/>
      <c r="D720" s="28"/>
      <c r="E720" s="28"/>
      <c r="F720" s="28"/>
      <c r="G720" s="28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33">
        <f t="shared" si="1"/>
        <v>0</v>
      </c>
      <c r="W720" s="27"/>
      <c r="X720" s="27"/>
      <c r="Y720" s="27"/>
      <c r="Z720" s="27"/>
      <c r="AA720" s="27"/>
    </row>
    <row r="721">
      <c r="A721" s="28"/>
      <c r="B721" s="28"/>
      <c r="C721" s="28"/>
      <c r="D721" s="28"/>
      <c r="E721" s="28"/>
      <c r="F721" s="28"/>
      <c r="G721" s="28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33">
        <f t="shared" si="1"/>
        <v>0</v>
      </c>
      <c r="W721" s="27"/>
      <c r="X721" s="27"/>
      <c r="Y721" s="27"/>
      <c r="Z721" s="27"/>
      <c r="AA721" s="27"/>
    </row>
    <row r="722">
      <c r="A722" s="28"/>
      <c r="B722" s="28"/>
      <c r="C722" s="28"/>
      <c r="D722" s="28"/>
      <c r="E722" s="28"/>
      <c r="F722" s="28"/>
      <c r="G722" s="28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33">
        <f t="shared" si="1"/>
        <v>0</v>
      </c>
      <c r="W722" s="27"/>
      <c r="X722" s="27"/>
      <c r="Y722" s="27"/>
      <c r="Z722" s="27"/>
      <c r="AA722" s="27"/>
    </row>
    <row r="723">
      <c r="A723" s="28"/>
      <c r="B723" s="28"/>
      <c r="C723" s="28"/>
      <c r="D723" s="28"/>
      <c r="E723" s="28"/>
      <c r="F723" s="28"/>
      <c r="G723" s="28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33">
        <f t="shared" si="1"/>
        <v>0</v>
      </c>
      <c r="W723" s="27"/>
      <c r="X723" s="27"/>
      <c r="Y723" s="27"/>
      <c r="Z723" s="27"/>
      <c r="AA723" s="27"/>
    </row>
    <row r="724">
      <c r="A724" s="28"/>
      <c r="B724" s="28"/>
      <c r="C724" s="28"/>
      <c r="D724" s="28"/>
      <c r="E724" s="28"/>
      <c r="F724" s="28"/>
      <c r="G724" s="28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33">
        <f t="shared" si="1"/>
        <v>0</v>
      </c>
      <c r="W724" s="27"/>
      <c r="X724" s="27"/>
      <c r="Y724" s="27"/>
      <c r="Z724" s="27"/>
      <c r="AA724" s="27"/>
    </row>
    <row r="725">
      <c r="A725" s="28"/>
      <c r="B725" s="28"/>
      <c r="C725" s="28"/>
      <c r="D725" s="28"/>
      <c r="E725" s="28"/>
      <c r="F725" s="28"/>
      <c r="G725" s="28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33">
        <f t="shared" si="1"/>
        <v>0</v>
      </c>
      <c r="W725" s="27"/>
      <c r="X725" s="27"/>
      <c r="Y725" s="27"/>
      <c r="Z725" s="27"/>
      <c r="AA725" s="27"/>
    </row>
    <row r="726">
      <c r="A726" s="28"/>
      <c r="B726" s="28"/>
      <c r="C726" s="28"/>
      <c r="D726" s="28"/>
      <c r="E726" s="28"/>
      <c r="F726" s="28"/>
      <c r="G726" s="28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33">
        <f t="shared" si="1"/>
        <v>0</v>
      </c>
      <c r="W726" s="27"/>
      <c r="X726" s="27"/>
      <c r="Y726" s="27"/>
      <c r="Z726" s="27"/>
      <c r="AA726" s="27"/>
    </row>
    <row r="727">
      <c r="A727" s="28"/>
      <c r="B727" s="28"/>
      <c r="C727" s="28"/>
      <c r="D727" s="28"/>
      <c r="E727" s="28"/>
      <c r="F727" s="28"/>
      <c r="G727" s="28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33">
        <f t="shared" si="1"/>
        <v>0</v>
      </c>
      <c r="W727" s="27"/>
      <c r="X727" s="27"/>
      <c r="Y727" s="27"/>
      <c r="Z727" s="27"/>
      <c r="AA727" s="27"/>
    </row>
    <row r="728">
      <c r="A728" s="28"/>
      <c r="B728" s="28"/>
      <c r="C728" s="28"/>
      <c r="D728" s="28"/>
      <c r="E728" s="28"/>
      <c r="F728" s="28"/>
      <c r="G728" s="28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33">
        <f t="shared" si="1"/>
        <v>0</v>
      </c>
      <c r="W728" s="27"/>
      <c r="X728" s="27"/>
      <c r="Y728" s="27"/>
      <c r="Z728" s="27"/>
      <c r="AA728" s="27"/>
    </row>
    <row r="729">
      <c r="A729" s="28"/>
      <c r="B729" s="28"/>
      <c r="C729" s="28"/>
      <c r="D729" s="28"/>
      <c r="E729" s="28"/>
      <c r="F729" s="28"/>
      <c r="G729" s="28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33">
        <f t="shared" si="1"/>
        <v>0</v>
      </c>
      <c r="W729" s="27"/>
      <c r="X729" s="27"/>
      <c r="Y729" s="27"/>
      <c r="Z729" s="27"/>
      <c r="AA729" s="27"/>
    </row>
    <row r="730">
      <c r="A730" s="28"/>
      <c r="B730" s="28"/>
      <c r="C730" s="28"/>
      <c r="D730" s="28"/>
      <c r="E730" s="28"/>
      <c r="F730" s="28"/>
      <c r="G730" s="28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33">
        <f t="shared" si="1"/>
        <v>0</v>
      </c>
      <c r="W730" s="27"/>
      <c r="X730" s="27"/>
      <c r="Y730" s="27"/>
      <c r="Z730" s="27"/>
      <c r="AA730" s="27"/>
    </row>
    <row r="731">
      <c r="A731" s="28"/>
      <c r="B731" s="28"/>
      <c r="C731" s="28"/>
      <c r="D731" s="28"/>
      <c r="E731" s="28"/>
      <c r="F731" s="28"/>
      <c r="G731" s="28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33">
        <f t="shared" si="1"/>
        <v>0</v>
      </c>
      <c r="W731" s="27"/>
      <c r="X731" s="27"/>
      <c r="Y731" s="27"/>
      <c r="Z731" s="27"/>
      <c r="AA731" s="27"/>
    </row>
    <row r="732">
      <c r="A732" s="28"/>
      <c r="B732" s="28"/>
      <c r="C732" s="28"/>
      <c r="D732" s="28"/>
      <c r="E732" s="28"/>
      <c r="F732" s="28"/>
      <c r="G732" s="28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33">
        <f t="shared" si="1"/>
        <v>0</v>
      </c>
      <c r="W732" s="27"/>
      <c r="X732" s="27"/>
      <c r="Y732" s="27"/>
      <c r="Z732" s="27"/>
      <c r="AA732" s="27"/>
    </row>
    <row r="733">
      <c r="A733" s="28"/>
      <c r="B733" s="28"/>
      <c r="C733" s="28"/>
      <c r="D733" s="28"/>
      <c r="E733" s="28"/>
      <c r="F733" s="28"/>
      <c r="G733" s="28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33">
        <f t="shared" si="1"/>
        <v>0</v>
      </c>
      <c r="W733" s="27"/>
      <c r="X733" s="27"/>
      <c r="Y733" s="27"/>
      <c r="Z733" s="27"/>
      <c r="AA733" s="27"/>
    </row>
    <row r="734">
      <c r="A734" s="28"/>
      <c r="B734" s="28"/>
      <c r="C734" s="28"/>
      <c r="D734" s="28"/>
      <c r="E734" s="28"/>
      <c r="F734" s="28"/>
      <c r="G734" s="28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33">
        <f t="shared" si="1"/>
        <v>0</v>
      </c>
      <c r="W734" s="27"/>
      <c r="X734" s="27"/>
      <c r="Y734" s="27"/>
      <c r="Z734" s="27"/>
      <c r="AA734" s="27"/>
    </row>
    <row r="735">
      <c r="A735" s="28"/>
      <c r="B735" s="28"/>
      <c r="C735" s="28"/>
      <c r="D735" s="28"/>
      <c r="E735" s="28"/>
      <c r="F735" s="28"/>
      <c r="G735" s="28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33">
        <f t="shared" si="1"/>
        <v>0</v>
      </c>
      <c r="W735" s="27"/>
      <c r="X735" s="27"/>
      <c r="Y735" s="27"/>
      <c r="Z735" s="27"/>
      <c r="AA735" s="27"/>
    </row>
    <row r="736">
      <c r="A736" s="28"/>
      <c r="B736" s="28"/>
      <c r="C736" s="28"/>
      <c r="D736" s="28"/>
      <c r="E736" s="28"/>
      <c r="F736" s="28"/>
      <c r="G736" s="28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33">
        <f t="shared" si="1"/>
        <v>0</v>
      </c>
      <c r="W736" s="27"/>
      <c r="X736" s="27"/>
      <c r="Y736" s="27"/>
      <c r="Z736" s="27"/>
      <c r="AA736" s="27"/>
    </row>
    <row r="737">
      <c r="A737" s="28"/>
      <c r="B737" s="28"/>
      <c r="C737" s="28"/>
      <c r="D737" s="28"/>
      <c r="E737" s="28"/>
      <c r="F737" s="28"/>
      <c r="G737" s="28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33">
        <f t="shared" si="1"/>
        <v>0</v>
      </c>
      <c r="W737" s="27"/>
      <c r="X737" s="27"/>
      <c r="Y737" s="27"/>
      <c r="Z737" s="27"/>
      <c r="AA737" s="27"/>
    </row>
    <row r="738">
      <c r="A738" s="28"/>
      <c r="B738" s="28"/>
      <c r="C738" s="28"/>
      <c r="D738" s="28"/>
      <c r="E738" s="28"/>
      <c r="F738" s="28"/>
      <c r="G738" s="28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33">
        <f t="shared" si="1"/>
        <v>0</v>
      </c>
      <c r="W738" s="27"/>
      <c r="X738" s="27"/>
      <c r="Y738" s="27"/>
      <c r="Z738" s="27"/>
      <c r="AA738" s="27"/>
    </row>
    <row r="739">
      <c r="A739" s="28"/>
      <c r="B739" s="28"/>
      <c r="C739" s="28"/>
      <c r="D739" s="28"/>
      <c r="E739" s="28"/>
      <c r="F739" s="28"/>
      <c r="G739" s="28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33">
        <f t="shared" si="1"/>
        <v>0</v>
      </c>
      <c r="W739" s="27"/>
      <c r="X739" s="27"/>
      <c r="Y739" s="27"/>
      <c r="Z739" s="27"/>
      <c r="AA739" s="27"/>
    </row>
    <row r="740">
      <c r="A740" s="28"/>
      <c r="B740" s="28"/>
      <c r="C740" s="28"/>
      <c r="D740" s="28"/>
      <c r="E740" s="28"/>
      <c r="F740" s="28"/>
      <c r="G740" s="28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33">
        <f t="shared" si="1"/>
        <v>0</v>
      </c>
      <c r="W740" s="27"/>
      <c r="X740" s="27"/>
      <c r="Y740" s="27"/>
      <c r="Z740" s="27"/>
      <c r="AA740" s="27"/>
    </row>
    <row r="741">
      <c r="A741" s="28"/>
      <c r="B741" s="28"/>
      <c r="C741" s="28"/>
      <c r="D741" s="28"/>
      <c r="E741" s="28"/>
      <c r="F741" s="28"/>
      <c r="G741" s="28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33">
        <f t="shared" si="1"/>
        <v>0</v>
      </c>
      <c r="W741" s="27"/>
      <c r="X741" s="27"/>
      <c r="Y741" s="27"/>
      <c r="Z741" s="27"/>
      <c r="AA741" s="27"/>
    </row>
    <row r="742">
      <c r="A742" s="28"/>
      <c r="B742" s="28"/>
      <c r="C742" s="28"/>
      <c r="D742" s="28"/>
      <c r="E742" s="28"/>
      <c r="F742" s="28"/>
      <c r="G742" s="28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33">
        <f t="shared" si="1"/>
        <v>0</v>
      </c>
      <c r="W742" s="27"/>
      <c r="X742" s="27"/>
      <c r="Y742" s="27"/>
      <c r="Z742" s="27"/>
      <c r="AA742" s="27"/>
    </row>
    <row r="743">
      <c r="A743" s="28"/>
      <c r="B743" s="28"/>
      <c r="C743" s="28"/>
      <c r="D743" s="28"/>
      <c r="E743" s="28"/>
      <c r="F743" s="28"/>
      <c r="G743" s="28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33">
        <f t="shared" si="1"/>
        <v>0</v>
      </c>
      <c r="W743" s="27"/>
      <c r="X743" s="27"/>
      <c r="Y743" s="27"/>
      <c r="Z743" s="27"/>
      <c r="AA743" s="27"/>
    </row>
    <row r="744">
      <c r="A744" s="28"/>
      <c r="B744" s="28"/>
      <c r="C744" s="28"/>
      <c r="D744" s="28"/>
      <c r="E744" s="28"/>
      <c r="F744" s="28"/>
      <c r="G744" s="28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33">
        <f t="shared" si="1"/>
        <v>0</v>
      </c>
      <c r="W744" s="27"/>
      <c r="X744" s="27"/>
      <c r="Y744" s="27"/>
      <c r="Z744" s="27"/>
      <c r="AA744" s="27"/>
    </row>
    <row r="745">
      <c r="A745" s="28"/>
      <c r="B745" s="28"/>
      <c r="C745" s="28"/>
      <c r="D745" s="28"/>
      <c r="E745" s="28"/>
      <c r="F745" s="28"/>
      <c r="G745" s="28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33">
        <f t="shared" si="1"/>
        <v>0</v>
      </c>
      <c r="W745" s="27"/>
      <c r="X745" s="27"/>
      <c r="Y745" s="27"/>
      <c r="Z745" s="27"/>
      <c r="AA745" s="27"/>
    </row>
    <row r="746">
      <c r="A746" s="28"/>
      <c r="B746" s="28"/>
      <c r="C746" s="28"/>
      <c r="D746" s="28"/>
      <c r="E746" s="28"/>
      <c r="F746" s="28"/>
      <c r="G746" s="28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33">
        <f t="shared" si="1"/>
        <v>0</v>
      </c>
      <c r="W746" s="27"/>
      <c r="X746" s="27"/>
      <c r="Y746" s="27"/>
      <c r="Z746" s="27"/>
      <c r="AA746" s="27"/>
    </row>
    <row r="747">
      <c r="A747" s="28"/>
      <c r="B747" s="28"/>
      <c r="C747" s="28"/>
      <c r="D747" s="28"/>
      <c r="E747" s="28"/>
      <c r="F747" s="28"/>
      <c r="G747" s="28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33">
        <f t="shared" si="1"/>
        <v>0</v>
      </c>
      <c r="W747" s="27"/>
      <c r="X747" s="27"/>
      <c r="Y747" s="27"/>
      <c r="Z747" s="27"/>
      <c r="AA747" s="27"/>
    </row>
    <row r="748">
      <c r="A748" s="28"/>
      <c r="B748" s="28"/>
      <c r="C748" s="28"/>
      <c r="D748" s="28"/>
      <c r="E748" s="28"/>
      <c r="F748" s="28"/>
      <c r="G748" s="28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33">
        <f t="shared" si="1"/>
        <v>0</v>
      </c>
      <c r="W748" s="27"/>
      <c r="X748" s="27"/>
      <c r="Y748" s="27"/>
      <c r="Z748" s="27"/>
      <c r="AA748" s="27"/>
    </row>
    <row r="749">
      <c r="A749" s="28"/>
      <c r="B749" s="28"/>
      <c r="C749" s="28"/>
      <c r="D749" s="28"/>
      <c r="E749" s="28"/>
      <c r="F749" s="28"/>
      <c r="G749" s="28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33">
        <f t="shared" si="1"/>
        <v>0</v>
      </c>
      <c r="W749" s="27"/>
      <c r="X749" s="27"/>
      <c r="Y749" s="27"/>
      <c r="Z749" s="27"/>
      <c r="AA749" s="27"/>
    </row>
    <row r="750">
      <c r="A750" s="28"/>
      <c r="B750" s="28"/>
      <c r="C750" s="28"/>
      <c r="D750" s="28"/>
      <c r="E750" s="28"/>
      <c r="F750" s="28"/>
      <c r="G750" s="28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33">
        <f t="shared" si="1"/>
        <v>0</v>
      </c>
      <c r="W750" s="27"/>
      <c r="X750" s="27"/>
      <c r="Y750" s="27"/>
      <c r="Z750" s="27"/>
      <c r="AA750" s="27"/>
    </row>
    <row r="751">
      <c r="A751" s="28"/>
      <c r="B751" s="28"/>
      <c r="C751" s="28"/>
      <c r="D751" s="28"/>
      <c r="E751" s="28"/>
      <c r="F751" s="28"/>
      <c r="G751" s="28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33">
        <f t="shared" si="1"/>
        <v>0</v>
      </c>
      <c r="W751" s="27"/>
      <c r="X751" s="27"/>
      <c r="Y751" s="27"/>
      <c r="Z751" s="27"/>
      <c r="AA751" s="27"/>
    </row>
    <row r="752">
      <c r="A752" s="28"/>
      <c r="B752" s="28"/>
      <c r="C752" s="28"/>
      <c r="D752" s="28"/>
      <c r="E752" s="28"/>
      <c r="F752" s="28"/>
      <c r="G752" s="28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33">
        <f t="shared" si="1"/>
        <v>0</v>
      </c>
      <c r="W752" s="27"/>
      <c r="X752" s="27"/>
      <c r="Y752" s="27"/>
      <c r="Z752" s="27"/>
      <c r="AA752" s="27"/>
    </row>
    <row r="753">
      <c r="A753" s="28"/>
      <c r="B753" s="28"/>
      <c r="C753" s="28"/>
      <c r="D753" s="28"/>
      <c r="E753" s="28"/>
      <c r="F753" s="28"/>
      <c r="G753" s="28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33">
        <f t="shared" si="1"/>
        <v>0</v>
      </c>
      <c r="W753" s="27"/>
      <c r="X753" s="27"/>
      <c r="Y753" s="27"/>
      <c r="Z753" s="27"/>
      <c r="AA753" s="27"/>
    </row>
    <row r="754">
      <c r="A754" s="28"/>
      <c r="B754" s="28"/>
      <c r="C754" s="28"/>
      <c r="D754" s="28"/>
      <c r="E754" s="28"/>
      <c r="F754" s="28"/>
      <c r="G754" s="28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33">
        <f t="shared" si="1"/>
        <v>0</v>
      </c>
      <c r="W754" s="27"/>
      <c r="X754" s="27"/>
      <c r="Y754" s="27"/>
      <c r="Z754" s="27"/>
      <c r="AA754" s="27"/>
    </row>
    <row r="755">
      <c r="A755" s="28"/>
      <c r="B755" s="28"/>
      <c r="C755" s="28"/>
      <c r="D755" s="28"/>
      <c r="E755" s="28"/>
      <c r="F755" s="28"/>
      <c r="G755" s="28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33">
        <f t="shared" si="1"/>
        <v>0</v>
      </c>
      <c r="W755" s="27"/>
      <c r="X755" s="27"/>
      <c r="Y755" s="27"/>
      <c r="Z755" s="27"/>
      <c r="AA755" s="27"/>
    </row>
    <row r="756">
      <c r="A756" s="28"/>
      <c r="B756" s="28"/>
      <c r="C756" s="28"/>
      <c r="D756" s="28"/>
      <c r="E756" s="28"/>
      <c r="F756" s="28"/>
      <c r="G756" s="28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33">
        <f t="shared" si="1"/>
        <v>0</v>
      </c>
      <c r="W756" s="27"/>
      <c r="X756" s="27"/>
      <c r="Y756" s="27"/>
      <c r="Z756" s="27"/>
      <c r="AA756" s="27"/>
    </row>
    <row r="757">
      <c r="A757" s="28"/>
      <c r="B757" s="28"/>
      <c r="C757" s="28"/>
      <c r="D757" s="28"/>
      <c r="E757" s="28"/>
      <c r="F757" s="28"/>
      <c r="G757" s="28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33">
        <f t="shared" si="1"/>
        <v>0</v>
      </c>
      <c r="W757" s="27"/>
      <c r="X757" s="27"/>
      <c r="Y757" s="27"/>
      <c r="Z757" s="27"/>
      <c r="AA757" s="27"/>
    </row>
    <row r="758">
      <c r="A758" s="28"/>
      <c r="B758" s="28"/>
      <c r="C758" s="28"/>
      <c r="D758" s="28"/>
      <c r="E758" s="28"/>
      <c r="F758" s="28"/>
      <c r="G758" s="28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33">
        <f t="shared" si="1"/>
        <v>0</v>
      </c>
      <c r="W758" s="27"/>
      <c r="X758" s="27"/>
      <c r="Y758" s="27"/>
      <c r="Z758" s="27"/>
      <c r="AA758" s="27"/>
    </row>
    <row r="759">
      <c r="A759" s="28"/>
      <c r="B759" s="28"/>
      <c r="C759" s="28"/>
      <c r="D759" s="28"/>
      <c r="E759" s="28"/>
      <c r="F759" s="28"/>
      <c r="G759" s="28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33">
        <f t="shared" si="1"/>
        <v>0</v>
      </c>
      <c r="W759" s="27"/>
      <c r="X759" s="27"/>
      <c r="Y759" s="27"/>
      <c r="Z759" s="27"/>
      <c r="AA759" s="27"/>
    </row>
    <row r="760">
      <c r="A760" s="28"/>
      <c r="B760" s="28"/>
      <c r="C760" s="28"/>
      <c r="D760" s="28"/>
      <c r="E760" s="28"/>
      <c r="F760" s="28"/>
      <c r="G760" s="28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33">
        <f t="shared" si="1"/>
        <v>0</v>
      </c>
      <c r="W760" s="27"/>
      <c r="X760" s="27"/>
      <c r="Y760" s="27"/>
      <c r="Z760" s="27"/>
      <c r="AA760" s="27"/>
    </row>
    <row r="761">
      <c r="A761" s="28"/>
      <c r="B761" s="28"/>
      <c r="C761" s="28"/>
      <c r="D761" s="28"/>
      <c r="E761" s="28"/>
      <c r="F761" s="28"/>
      <c r="G761" s="28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33">
        <f t="shared" si="1"/>
        <v>0</v>
      </c>
      <c r="W761" s="27"/>
      <c r="X761" s="27"/>
      <c r="Y761" s="27"/>
      <c r="Z761" s="27"/>
      <c r="AA761" s="27"/>
    </row>
    <row r="762">
      <c r="A762" s="28"/>
      <c r="B762" s="28"/>
      <c r="C762" s="28"/>
      <c r="D762" s="28"/>
      <c r="E762" s="28"/>
      <c r="F762" s="28"/>
      <c r="G762" s="28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33">
        <f t="shared" si="1"/>
        <v>0</v>
      </c>
      <c r="W762" s="27"/>
      <c r="X762" s="27"/>
      <c r="Y762" s="27"/>
      <c r="Z762" s="27"/>
      <c r="AA762" s="27"/>
    </row>
    <row r="763">
      <c r="A763" s="28"/>
      <c r="B763" s="28"/>
      <c r="C763" s="28"/>
      <c r="D763" s="28"/>
      <c r="E763" s="28"/>
      <c r="F763" s="28"/>
      <c r="G763" s="28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33">
        <f t="shared" si="1"/>
        <v>0</v>
      </c>
      <c r="W763" s="27"/>
      <c r="X763" s="27"/>
      <c r="Y763" s="27"/>
      <c r="Z763" s="27"/>
      <c r="AA763" s="27"/>
    </row>
    <row r="764">
      <c r="A764" s="28"/>
      <c r="B764" s="28"/>
      <c r="C764" s="28"/>
      <c r="D764" s="28"/>
      <c r="E764" s="28"/>
      <c r="F764" s="28"/>
      <c r="G764" s="28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33">
        <f t="shared" si="1"/>
        <v>0</v>
      </c>
      <c r="W764" s="27"/>
      <c r="X764" s="27"/>
      <c r="Y764" s="27"/>
      <c r="Z764" s="27"/>
      <c r="AA764" s="27"/>
    </row>
    <row r="765">
      <c r="A765" s="28"/>
      <c r="B765" s="28"/>
      <c r="C765" s="28"/>
      <c r="D765" s="28"/>
      <c r="E765" s="28"/>
      <c r="F765" s="28"/>
      <c r="G765" s="28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33">
        <f t="shared" si="1"/>
        <v>0</v>
      </c>
      <c r="W765" s="27"/>
      <c r="X765" s="27"/>
      <c r="Y765" s="27"/>
      <c r="Z765" s="27"/>
      <c r="AA765" s="27"/>
    </row>
    <row r="766">
      <c r="A766" s="28"/>
      <c r="B766" s="28"/>
      <c r="C766" s="28"/>
      <c r="D766" s="28"/>
      <c r="E766" s="28"/>
      <c r="F766" s="28"/>
      <c r="G766" s="28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33">
        <f t="shared" si="1"/>
        <v>0</v>
      </c>
      <c r="W766" s="27"/>
      <c r="X766" s="27"/>
      <c r="Y766" s="27"/>
      <c r="Z766" s="27"/>
      <c r="AA766" s="27"/>
    </row>
    <row r="767">
      <c r="A767" s="28"/>
      <c r="B767" s="28"/>
      <c r="C767" s="28"/>
      <c r="D767" s="28"/>
      <c r="E767" s="28"/>
      <c r="F767" s="28"/>
      <c r="G767" s="28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33">
        <f t="shared" si="1"/>
        <v>0</v>
      </c>
      <c r="W767" s="27"/>
      <c r="X767" s="27"/>
      <c r="Y767" s="27"/>
      <c r="Z767" s="27"/>
      <c r="AA767" s="27"/>
    </row>
    <row r="768">
      <c r="A768" s="28"/>
      <c r="B768" s="28"/>
      <c r="C768" s="28"/>
      <c r="D768" s="28"/>
      <c r="E768" s="28"/>
      <c r="F768" s="28"/>
      <c r="G768" s="28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33">
        <f t="shared" si="1"/>
        <v>0</v>
      </c>
      <c r="W768" s="27"/>
      <c r="X768" s="27"/>
      <c r="Y768" s="27"/>
      <c r="Z768" s="27"/>
      <c r="AA768" s="27"/>
    </row>
    <row r="769">
      <c r="A769" s="28"/>
      <c r="B769" s="28"/>
      <c r="C769" s="28"/>
      <c r="D769" s="28"/>
      <c r="E769" s="28"/>
      <c r="F769" s="28"/>
      <c r="G769" s="28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33">
        <f t="shared" si="1"/>
        <v>0</v>
      </c>
      <c r="W769" s="27"/>
      <c r="X769" s="27"/>
      <c r="Y769" s="27"/>
      <c r="Z769" s="27"/>
      <c r="AA769" s="27"/>
    </row>
    <row r="770">
      <c r="A770" s="28"/>
      <c r="B770" s="28"/>
      <c r="C770" s="28"/>
      <c r="D770" s="28"/>
      <c r="E770" s="28"/>
      <c r="F770" s="28"/>
      <c r="G770" s="28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33">
        <f t="shared" si="1"/>
        <v>0</v>
      </c>
      <c r="W770" s="27"/>
      <c r="X770" s="27"/>
      <c r="Y770" s="27"/>
      <c r="Z770" s="27"/>
      <c r="AA770" s="27"/>
    </row>
    <row r="771">
      <c r="A771" s="28"/>
      <c r="B771" s="28"/>
      <c r="C771" s="28"/>
      <c r="D771" s="28"/>
      <c r="E771" s="28"/>
      <c r="F771" s="28"/>
      <c r="G771" s="28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33">
        <f t="shared" si="1"/>
        <v>0</v>
      </c>
      <c r="W771" s="27"/>
      <c r="X771" s="27"/>
      <c r="Y771" s="27"/>
      <c r="Z771" s="27"/>
      <c r="AA771" s="27"/>
    </row>
    <row r="772">
      <c r="A772" s="28"/>
      <c r="B772" s="28"/>
      <c r="C772" s="28"/>
      <c r="D772" s="28"/>
      <c r="E772" s="28"/>
      <c r="F772" s="28"/>
      <c r="G772" s="28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33">
        <f t="shared" si="1"/>
        <v>0</v>
      </c>
      <c r="W772" s="27"/>
      <c r="X772" s="27"/>
      <c r="Y772" s="27"/>
      <c r="Z772" s="27"/>
      <c r="AA772" s="27"/>
    </row>
    <row r="773">
      <c r="A773" s="28"/>
      <c r="B773" s="28"/>
      <c r="C773" s="28"/>
      <c r="D773" s="28"/>
      <c r="E773" s="28"/>
      <c r="F773" s="28"/>
      <c r="G773" s="28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33">
        <f t="shared" si="1"/>
        <v>0</v>
      </c>
      <c r="W773" s="27"/>
      <c r="X773" s="27"/>
      <c r="Y773" s="27"/>
      <c r="Z773" s="27"/>
      <c r="AA773" s="27"/>
    </row>
    <row r="774">
      <c r="A774" s="28"/>
      <c r="B774" s="28"/>
      <c r="C774" s="28"/>
      <c r="D774" s="28"/>
      <c r="E774" s="28"/>
      <c r="F774" s="28"/>
      <c r="G774" s="28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33">
        <f t="shared" si="1"/>
        <v>0</v>
      </c>
      <c r="W774" s="27"/>
      <c r="X774" s="27"/>
      <c r="Y774" s="27"/>
      <c r="Z774" s="27"/>
      <c r="AA774" s="27"/>
    </row>
    <row r="775">
      <c r="A775" s="28"/>
      <c r="B775" s="28"/>
      <c r="C775" s="28"/>
      <c r="D775" s="28"/>
      <c r="E775" s="28"/>
      <c r="F775" s="28"/>
      <c r="G775" s="28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33">
        <f t="shared" si="1"/>
        <v>0</v>
      </c>
      <c r="W775" s="27"/>
      <c r="X775" s="27"/>
      <c r="Y775" s="27"/>
      <c r="Z775" s="27"/>
      <c r="AA775" s="27"/>
    </row>
    <row r="776">
      <c r="A776" s="28"/>
      <c r="B776" s="28"/>
      <c r="C776" s="28"/>
      <c r="D776" s="28"/>
      <c r="E776" s="28"/>
      <c r="F776" s="28"/>
      <c r="G776" s="28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33">
        <f t="shared" si="1"/>
        <v>0</v>
      </c>
      <c r="W776" s="27"/>
      <c r="X776" s="27"/>
      <c r="Y776" s="27"/>
      <c r="Z776" s="27"/>
      <c r="AA776" s="27"/>
    </row>
    <row r="777">
      <c r="A777" s="28"/>
      <c r="B777" s="28"/>
      <c r="C777" s="28"/>
      <c r="D777" s="28"/>
      <c r="E777" s="28"/>
      <c r="F777" s="28"/>
      <c r="G777" s="28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33">
        <f t="shared" si="1"/>
        <v>0</v>
      </c>
      <c r="W777" s="27"/>
      <c r="X777" s="27"/>
      <c r="Y777" s="27"/>
      <c r="Z777" s="27"/>
      <c r="AA777" s="27"/>
    </row>
    <row r="778">
      <c r="A778" s="28"/>
      <c r="B778" s="28"/>
      <c r="C778" s="28"/>
      <c r="D778" s="28"/>
      <c r="E778" s="28"/>
      <c r="F778" s="28"/>
      <c r="G778" s="28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33">
        <f t="shared" si="1"/>
        <v>0</v>
      </c>
      <c r="W778" s="27"/>
      <c r="X778" s="27"/>
      <c r="Y778" s="27"/>
      <c r="Z778" s="27"/>
      <c r="AA778" s="27"/>
    </row>
    <row r="779">
      <c r="A779" s="28"/>
      <c r="B779" s="28"/>
      <c r="C779" s="28"/>
      <c r="D779" s="28"/>
      <c r="E779" s="28"/>
      <c r="F779" s="28"/>
      <c r="G779" s="28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33">
        <f t="shared" si="1"/>
        <v>0</v>
      </c>
      <c r="W779" s="27"/>
      <c r="X779" s="27"/>
      <c r="Y779" s="27"/>
      <c r="Z779" s="27"/>
      <c r="AA779" s="27"/>
    </row>
    <row r="780">
      <c r="A780" s="28"/>
      <c r="B780" s="28"/>
      <c r="C780" s="28"/>
      <c r="D780" s="28"/>
      <c r="E780" s="28"/>
      <c r="F780" s="28"/>
      <c r="G780" s="28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33">
        <f t="shared" si="1"/>
        <v>0</v>
      </c>
      <c r="W780" s="27"/>
      <c r="X780" s="27"/>
      <c r="Y780" s="27"/>
      <c r="Z780" s="27"/>
      <c r="AA780" s="27"/>
    </row>
    <row r="781">
      <c r="A781" s="28"/>
      <c r="B781" s="28"/>
      <c r="C781" s="28"/>
      <c r="D781" s="28"/>
      <c r="E781" s="28"/>
      <c r="F781" s="28"/>
      <c r="G781" s="28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33">
        <f t="shared" si="1"/>
        <v>0</v>
      </c>
      <c r="W781" s="27"/>
      <c r="X781" s="27"/>
      <c r="Y781" s="27"/>
      <c r="Z781" s="27"/>
      <c r="AA781" s="27"/>
    </row>
    <row r="782">
      <c r="A782" s="28"/>
      <c r="B782" s="28"/>
      <c r="C782" s="28"/>
      <c r="D782" s="28"/>
      <c r="E782" s="28"/>
      <c r="F782" s="28"/>
      <c r="G782" s="28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33">
        <f t="shared" si="1"/>
        <v>0</v>
      </c>
      <c r="W782" s="27"/>
      <c r="X782" s="27"/>
      <c r="Y782" s="27"/>
      <c r="Z782" s="27"/>
      <c r="AA782" s="27"/>
    </row>
    <row r="783">
      <c r="A783" s="28"/>
      <c r="B783" s="28"/>
      <c r="C783" s="28"/>
      <c r="D783" s="28"/>
      <c r="E783" s="28"/>
      <c r="F783" s="28"/>
      <c r="G783" s="28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33">
        <f t="shared" si="1"/>
        <v>0</v>
      </c>
      <c r="W783" s="27"/>
      <c r="X783" s="27"/>
      <c r="Y783" s="27"/>
      <c r="Z783" s="27"/>
      <c r="AA783" s="27"/>
    </row>
    <row r="784">
      <c r="A784" s="28"/>
      <c r="B784" s="28"/>
      <c r="C784" s="28"/>
      <c r="D784" s="28"/>
      <c r="E784" s="28"/>
      <c r="F784" s="28"/>
      <c r="G784" s="28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33">
        <f t="shared" si="1"/>
        <v>0</v>
      </c>
      <c r="W784" s="27"/>
      <c r="X784" s="27"/>
      <c r="Y784" s="27"/>
      <c r="Z784" s="27"/>
      <c r="AA784" s="27"/>
    </row>
    <row r="785">
      <c r="A785" s="28"/>
      <c r="B785" s="28"/>
      <c r="C785" s="28"/>
      <c r="D785" s="28"/>
      <c r="E785" s="28"/>
      <c r="F785" s="28"/>
      <c r="G785" s="28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33">
        <f t="shared" si="1"/>
        <v>0</v>
      </c>
      <c r="W785" s="27"/>
      <c r="X785" s="27"/>
      <c r="Y785" s="27"/>
      <c r="Z785" s="27"/>
      <c r="AA785" s="27"/>
    </row>
    <row r="786">
      <c r="A786" s="28"/>
      <c r="B786" s="28"/>
      <c r="C786" s="28"/>
      <c r="D786" s="28"/>
      <c r="E786" s="28"/>
      <c r="F786" s="28"/>
      <c r="G786" s="28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33">
        <f t="shared" si="1"/>
        <v>0</v>
      </c>
      <c r="W786" s="27"/>
      <c r="X786" s="27"/>
      <c r="Y786" s="27"/>
      <c r="Z786" s="27"/>
      <c r="AA786" s="27"/>
    </row>
    <row r="787">
      <c r="A787" s="28"/>
      <c r="B787" s="28"/>
      <c r="C787" s="28"/>
      <c r="D787" s="28"/>
      <c r="E787" s="28"/>
      <c r="F787" s="28"/>
      <c r="G787" s="28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33">
        <f t="shared" si="1"/>
        <v>0</v>
      </c>
      <c r="W787" s="27"/>
      <c r="X787" s="27"/>
      <c r="Y787" s="27"/>
      <c r="Z787" s="27"/>
      <c r="AA787" s="27"/>
    </row>
    <row r="788">
      <c r="A788" s="28"/>
      <c r="B788" s="28"/>
      <c r="C788" s="28"/>
      <c r="D788" s="28"/>
      <c r="E788" s="28"/>
      <c r="F788" s="28"/>
      <c r="G788" s="28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33">
        <f t="shared" si="1"/>
        <v>0</v>
      </c>
      <c r="W788" s="27"/>
      <c r="X788" s="27"/>
      <c r="Y788" s="27"/>
      <c r="Z788" s="27"/>
      <c r="AA788" s="27"/>
    </row>
    <row r="789">
      <c r="A789" s="28"/>
      <c r="B789" s="28"/>
      <c r="C789" s="28"/>
      <c r="D789" s="28"/>
      <c r="E789" s="28"/>
      <c r="F789" s="28"/>
      <c r="G789" s="28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33">
        <f t="shared" si="1"/>
        <v>0</v>
      </c>
      <c r="W789" s="27"/>
      <c r="X789" s="27"/>
      <c r="Y789" s="27"/>
      <c r="Z789" s="27"/>
      <c r="AA789" s="27"/>
    </row>
    <row r="790">
      <c r="A790" s="28"/>
      <c r="B790" s="28"/>
      <c r="C790" s="28"/>
      <c r="D790" s="28"/>
      <c r="E790" s="28"/>
      <c r="F790" s="28"/>
      <c r="G790" s="28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33">
        <f t="shared" si="1"/>
        <v>0</v>
      </c>
      <c r="W790" s="27"/>
      <c r="X790" s="27"/>
      <c r="Y790" s="27"/>
      <c r="Z790" s="27"/>
      <c r="AA790" s="27"/>
    </row>
    <row r="791">
      <c r="A791" s="28"/>
      <c r="B791" s="28"/>
      <c r="C791" s="28"/>
      <c r="D791" s="28"/>
      <c r="E791" s="28"/>
      <c r="F791" s="28"/>
      <c r="G791" s="28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33">
        <f t="shared" si="1"/>
        <v>0</v>
      </c>
      <c r="W791" s="27"/>
      <c r="X791" s="27"/>
      <c r="Y791" s="27"/>
      <c r="Z791" s="27"/>
      <c r="AA791" s="27"/>
    </row>
    <row r="792">
      <c r="A792" s="28"/>
      <c r="B792" s="28"/>
      <c r="C792" s="28"/>
      <c r="D792" s="28"/>
      <c r="E792" s="28"/>
      <c r="F792" s="28"/>
      <c r="G792" s="28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33">
        <f t="shared" si="1"/>
        <v>0</v>
      </c>
      <c r="W792" s="27"/>
      <c r="X792" s="27"/>
      <c r="Y792" s="27"/>
      <c r="Z792" s="27"/>
      <c r="AA792" s="27"/>
    </row>
    <row r="793">
      <c r="A793" s="28"/>
      <c r="B793" s="28"/>
      <c r="C793" s="28"/>
      <c r="D793" s="28"/>
      <c r="E793" s="28"/>
      <c r="F793" s="28"/>
      <c r="G793" s="28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33">
        <f t="shared" si="1"/>
        <v>0</v>
      </c>
      <c r="W793" s="27"/>
      <c r="X793" s="27"/>
      <c r="Y793" s="27"/>
      <c r="Z793" s="27"/>
      <c r="AA793" s="27"/>
    </row>
    <row r="794">
      <c r="A794" s="28"/>
      <c r="B794" s="28"/>
      <c r="C794" s="28"/>
      <c r="D794" s="28"/>
      <c r="E794" s="28"/>
      <c r="F794" s="28"/>
      <c r="G794" s="28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33">
        <f t="shared" si="1"/>
        <v>0</v>
      </c>
      <c r="W794" s="27"/>
      <c r="X794" s="27"/>
      <c r="Y794" s="27"/>
      <c r="Z794" s="27"/>
      <c r="AA794" s="27"/>
    </row>
    <row r="795">
      <c r="A795" s="28"/>
      <c r="B795" s="28"/>
      <c r="C795" s="28"/>
      <c r="D795" s="28"/>
      <c r="E795" s="28"/>
      <c r="F795" s="28"/>
      <c r="G795" s="28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33">
        <f t="shared" si="1"/>
        <v>0</v>
      </c>
      <c r="W795" s="27"/>
      <c r="X795" s="27"/>
      <c r="Y795" s="27"/>
      <c r="Z795" s="27"/>
      <c r="AA795" s="27"/>
    </row>
    <row r="796">
      <c r="A796" s="28"/>
      <c r="B796" s="28"/>
      <c r="C796" s="28"/>
      <c r="D796" s="28"/>
      <c r="E796" s="28"/>
      <c r="F796" s="28"/>
      <c r="G796" s="28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33">
        <f t="shared" si="1"/>
        <v>0</v>
      </c>
      <c r="W796" s="27"/>
      <c r="X796" s="27"/>
      <c r="Y796" s="27"/>
      <c r="Z796" s="27"/>
      <c r="AA796" s="27"/>
    </row>
    <row r="797">
      <c r="A797" s="28"/>
      <c r="B797" s="28"/>
      <c r="C797" s="28"/>
      <c r="D797" s="28"/>
      <c r="E797" s="28"/>
      <c r="F797" s="28"/>
      <c r="G797" s="28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33">
        <f t="shared" si="1"/>
        <v>0</v>
      </c>
      <c r="W797" s="27"/>
      <c r="X797" s="27"/>
      <c r="Y797" s="27"/>
      <c r="Z797" s="27"/>
      <c r="AA797" s="27"/>
    </row>
    <row r="798">
      <c r="A798" s="28"/>
      <c r="B798" s="28"/>
      <c r="C798" s="28"/>
      <c r="D798" s="28"/>
      <c r="E798" s="28"/>
      <c r="F798" s="28"/>
      <c r="G798" s="28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33">
        <f t="shared" si="1"/>
        <v>0</v>
      </c>
      <c r="W798" s="27"/>
      <c r="X798" s="27"/>
      <c r="Y798" s="27"/>
      <c r="Z798" s="27"/>
      <c r="AA798" s="27"/>
    </row>
    <row r="799">
      <c r="A799" s="28"/>
      <c r="B799" s="28"/>
      <c r="C799" s="28"/>
      <c r="D799" s="28"/>
      <c r="E799" s="28"/>
      <c r="F799" s="28"/>
      <c r="G799" s="28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33">
        <f t="shared" si="1"/>
        <v>0</v>
      </c>
      <c r="W799" s="27"/>
      <c r="X799" s="27"/>
      <c r="Y799" s="27"/>
      <c r="Z799" s="27"/>
      <c r="AA799" s="27"/>
    </row>
    <row r="800">
      <c r="A800" s="28"/>
      <c r="B800" s="28"/>
      <c r="C800" s="28"/>
      <c r="D800" s="28"/>
      <c r="E800" s="28"/>
      <c r="F800" s="28"/>
      <c r="G800" s="28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33">
        <f t="shared" si="1"/>
        <v>0</v>
      </c>
      <c r="W800" s="27"/>
      <c r="X800" s="27"/>
      <c r="Y800" s="27"/>
      <c r="Z800" s="27"/>
      <c r="AA800" s="27"/>
    </row>
    <row r="801">
      <c r="A801" s="28"/>
      <c r="B801" s="28"/>
      <c r="C801" s="28"/>
      <c r="D801" s="28"/>
      <c r="E801" s="28"/>
      <c r="F801" s="28"/>
      <c r="G801" s="28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33">
        <f t="shared" si="1"/>
        <v>0</v>
      </c>
      <c r="W801" s="27"/>
      <c r="X801" s="27"/>
      <c r="Y801" s="27"/>
      <c r="Z801" s="27"/>
      <c r="AA801" s="27"/>
    </row>
    <row r="802">
      <c r="A802" s="28"/>
      <c r="B802" s="28"/>
      <c r="C802" s="28"/>
      <c r="D802" s="28"/>
      <c r="E802" s="28"/>
      <c r="F802" s="28"/>
      <c r="G802" s="28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33">
        <f t="shared" si="1"/>
        <v>0</v>
      </c>
      <c r="W802" s="27"/>
      <c r="X802" s="27"/>
      <c r="Y802" s="27"/>
      <c r="Z802" s="27"/>
      <c r="AA802" s="27"/>
    </row>
    <row r="803">
      <c r="A803" s="28"/>
      <c r="B803" s="28"/>
      <c r="C803" s="28"/>
      <c r="D803" s="28"/>
      <c r="E803" s="28"/>
      <c r="F803" s="28"/>
      <c r="G803" s="28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33">
        <f t="shared" si="1"/>
        <v>0</v>
      </c>
      <c r="W803" s="27"/>
      <c r="X803" s="27"/>
      <c r="Y803" s="27"/>
      <c r="Z803" s="27"/>
      <c r="AA803" s="27"/>
    </row>
    <row r="804">
      <c r="A804" s="28"/>
      <c r="B804" s="28"/>
      <c r="C804" s="28"/>
      <c r="D804" s="28"/>
      <c r="E804" s="28"/>
      <c r="F804" s="28"/>
      <c r="G804" s="28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33">
        <f t="shared" si="1"/>
        <v>0</v>
      </c>
      <c r="W804" s="27"/>
      <c r="X804" s="27"/>
      <c r="Y804" s="27"/>
      <c r="Z804" s="27"/>
      <c r="AA804" s="27"/>
    </row>
    <row r="805">
      <c r="A805" s="28"/>
      <c r="B805" s="28"/>
      <c r="C805" s="28"/>
      <c r="D805" s="28"/>
      <c r="E805" s="28"/>
      <c r="F805" s="28"/>
      <c r="G805" s="28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33">
        <f t="shared" si="1"/>
        <v>0</v>
      </c>
      <c r="W805" s="27"/>
      <c r="X805" s="27"/>
      <c r="Y805" s="27"/>
      <c r="Z805" s="27"/>
      <c r="AA805" s="27"/>
    </row>
    <row r="806">
      <c r="A806" s="28"/>
      <c r="B806" s="28"/>
      <c r="C806" s="28"/>
      <c r="D806" s="28"/>
      <c r="E806" s="28"/>
      <c r="F806" s="28"/>
      <c r="G806" s="28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33">
        <f t="shared" si="1"/>
        <v>0</v>
      </c>
      <c r="W806" s="27"/>
      <c r="X806" s="27"/>
      <c r="Y806" s="27"/>
      <c r="Z806" s="27"/>
      <c r="AA806" s="27"/>
    </row>
    <row r="807">
      <c r="A807" s="28"/>
      <c r="B807" s="28"/>
      <c r="C807" s="28"/>
      <c r="D807" s="28"/>
      <c r="E807" s="28"/>
      <c r="F807" s="28"/>
      <c r="G807" s="28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33">
        <f t="shared" si="1"/>
        <v>0</v>
      </c>
      <c r="W807" s="27"/>
      <c r="X807" s="27"/>
      <c r="Y807" s="27"/>
      <c r="Z807" s="27"/>
      <c r="AA807" s="27"/>
    </row>
    <row r="808">
      <c r="A808" s="28"/>
      <c r="B808" s="28"/>
      <c r="C808" s="28"/>
      <c r="D808" s="28"/>
      <c r="E808" s="28"/>
      <c r="F808" s="28"/>
      <c r="G808" s="28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33">
        <f t="shared" si="1"/>
        <v>0</v>
      </c>
      <c r="W808" s="27"/>
      <c r="X808" s="27"/>
      <c r="Y808" s="27"/>
      <c r="Z808" s="27"/>
      <c r="AA808" s="27"/>
    </row>
    <row r="809">
      <c r="A809" s="28"/>
      <c r="B809" s="28"/>
      <c r="C809" s="28"/>
      <c r="D809" s="28"/>
      <c r="E809" s="28"/>
      <c r="F809" s="28"/>
      <c r="G809" s="28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33">
        <f t="shared" si="1"/>
        <v>0</v>
      </c>
      <c r="W809" s="27"/>
      <c r="X809" s="27"/>
      <c r="Y809" s="27"/>
      <c r="Z809" s="27"/>
      <c r="AA809" s="27"/>
    </row>
    <row r="810">
      <c r="A810" s="28"/>
      <c r="B810" s="28"/>
      <c r="C810" s="28"/>
      <c r="D810" s="28"/>
      <c r="E810" s="28"/>
      <c r="F810" s="28"/>
      <c r="G810" s="28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33">
        <f t="shared" si="1"/>
        <v>0</v>
      </c>
      <c r="W810" s="27"/>
      <c r="X810" s="27"/>
      <c r="Y810" s="27"/>
      <c r="Z810" s="27"/>
      <c r="AA810" s="27"/>
    </row>
    <row r="811">
      <c r="A811" s="28"/>
      <c r="B811" s="28"/>
      <c r="C811" s="28"/>
      <c r="D811" s="28"/>
      <c r="E811" s="28"/>
      <c r="F811" s="28"/>
      <c r="G811" s="28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33">
        <f t="shared" si="1"/>
        <v>0</v>
      </c>
      <c r="W811" s="27"/>
      <c r="X811" s="27"/>
      <c r="Y811" s="27"/>
      <c r="Z811" s="27"/>
      <c r="AA811" s="27"/>
    </row>
    <row r="812">
      <c r="A812" s="28"/>
      <c r="B812" s="28"/>
      <c r="C812" s="28"/>
      <c r="D812" s="28"/>
      <c r="E812" s="28"/>
      <c r="F812" s="28"/>
      <c r="G812" s="28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33">
        <f t="shared" si="1"/>
        <v>0</v>
      </c>
      <c r="W812" s="27"/>
      <c r="X812" s="27"/>
      <c r="Y812" s="27"/>
      <c r="Z812" s="27"/>
      <c r="AA812" s="27"/>
    </row>
    <row r="813">
      <c r="A813" s="28"/>
      <c r="B813" s="28"/>
      <c r="C813" s="28"/>
      <c r="D813" s="28"/>
      <c r="E813" s="28"/>
      <c r="F813" s="28"/>
      <c r="G813" s="28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33">
        <f t="shared" si="1"/>
        <v>0</v>
      </c>
      <c r="W813" s="27"/>
      <c r="X813" s="27"/>
      <c r="Y813" s="27"/>
      <c r="Z813" s="27"/>
      <c r="AA813" s="27"/>
    </row>
    <row r="814">
      <c r="A814" s="28"/>
      <c r="B814" s="28"/>
      <c r="C814" s="28"/>
      <c r="D814" s="28"/>
      <c r="E814" s="28"/>
      <c r="F814" s="28"/>
      <c r="G814" s="28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33">
        <f t="shared" si="1"/>
        <v>0</v>
      </c>
      <c r="W814" s="27"/>
      <c r="X814" s="27"/>
      <c r="Y814" s="27"/>
      <c r="Z814" s="27"/>
      <c r="AA814" s="27"/>
    </row>
    <row r="815">
      <c r="A815" s="28"/>
      <c r="B815" s="28"/>
      <c r="C815" s="28"/>
      <c r="D815" s="28"/>
      <c r="E815" s="28"/>
      <c r="F815" s="28"/>
      <c r="G815" s="28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33">
        <f t="shared" si="1"/>
        <v>0</v>
      </c>
      <c r="W815" s="27"/>
      <c r="X815" s="27"/>
      <c r="Y815" s="27"/>
      <c r="Z815" s="27"/>
      <c r="AA815" s="27"/>
    </row>
    <row r="816">
      <c r="A816" s="28"/>
      <c r="B816" s="28"/>
      <c r="C816" s="28"/>
      <c r="D816" s="28"/>
      <c r="E816" s="28"/>
      <c r="F816" s="28"/>
      <c r="G816" s="28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33">
        <f t="shared" si="1"/>
        <v>0</v>
      </c>
      <c r="W816" s="27"/>
      <c r="X816" s="27"/>
      <c r="Y816" s="27"/>
      <c r="Z816" s="27"/>
      <c r="AA816" s="27"/>
    </row>
    <row r="817">
      <c r="A817" s="28"/>
      <c r="B817" s="28"/>
      <c r="C817" s="28"/>
      <c r="D817" s="28"/>
      <c r="E817" s="28"/>
      <c r="F817" s="28"/>
      <c r="G817" s="28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33">
        <f t="shared" si="1"/>
        <v>0</v>
      </c>
      <c r="W817" s="27"/>
      <c r="X817" s="27"/>
      <c r="Y817" s="27"/>
      <c r="Z817" s="27"/>
      <c r="AA817" s="27"/>
    </row>
    <row r="818">
      <c r="A818" s="28"/>
      <c r="B818" s="28"/>
      <c r="C818" s="28"/>
      <c r="D818" s="28"/>
      <c r="E818" s="28"/>
      <c r="F818" s="28"/>
      <c r="G818" s="28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33">
        <f t="shared" si="1"/>
        <v>0</v>
      </c>
      <c r="W818" s="27"/>
      <c r="X818" s="27"/>
      <c r="Y818" s="27"/>
      <c r="Z818" s="27"/>
      <c r="AA818" s="27"/>
    </row>
    <row r="819">
      <c r="A819" s="28"/>
      <c r="B819" s="28"/>
      <c r="C819" s="28"/>
      <c r="D819" s="28"/>
      <c r="E819" s="28"/>
      <c r="F819" s="28"/>
      <c r="G819" s="28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33">
        <f t="shared" si="1"/>
        <v>0</v>
      </c>
      <c r="W819" s="27"/>
      <c r="X819" s="27"/>
      <c r="Y819" s="27"/>
      <c r="Z819" s="27"/>
      <c r="AA819" s="27"/>
    </row>
    <row r="820">
      <c r="A820" s="28"/>
      <c r="B820" s="28"/>
      <c r="C820" s="28"/>
      <c r="D820" s="28"/>
      <c r="E820" s="28"/>
      <c r="F820" s="28"/>
      <c r="G820" s="28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33">
        <f t="shared" si="1"/>
        <v>0</v>
      </c>
      <c r="W820" s="27"/>
      <c r="X820" s="27"/>
      <c r="Y820" s="27"/>
      <c r="Z820" s="27"/>
      <c r="AA820" s="27"/>
    </row>
    <row r="821">
      <c r="A821" s="28"/>
      <c r="B821" s="28"/>
      <c r="C821" s="28"/>
      <c r="D821" s="28"/>
      <c r="E821" s="28"/>
      <c r="F821" s="28"/>
      <c r="G821" s="28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33">
        <f t="shared" si="1"/>
        <v>0</v>
      </c>
      <c r="W821" s="27"/>
      <c r="X821" s="27"/>
      <c r="Y821" s="27"/>
      <c r="Z821" s="27"/>
      <c r="AA821" s="27"/>
    </row>
    <row r="822">
      <c r="A822" s="28"/>
      <c r="B822" s="28"/>
      <c r="C822" s="28"/>
      <c r="D822" s="28"/>
      <c r="E822" s="28"/>
      <c r="F822" s="28"/>
      <c r="G822" s="28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33">
        <f t="shared" si="1"/>
        <v>0</v>
      </c>
      <c r="W822" s="27"/>
      <c r="X822" s="27"/>
      <c r="Y822" s="27"/>
      <c r="Z822" s="27"/>
      <c r="AA822" s="27"/>
    </row>
    <row r="823">
      <c r="A823" s="28"/>
      <c r="B823" s="28"/>
      <c r="C823" s="28"/>
      <c r="D823" s="28"/>
      <c r="E823" s="28"/>
      <c r="F823" s="28"/>
      <c r="G823" s="28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33">
        <f t="shared" si="1"/>
        <v>0</v>
      </c>
      <c r="W823" s="27"/>
      <c r="X823" s="27"/>
      <c r="Y823" s="27"/>
      <c r="Z823" s="27"/>
      <c r="AA823" s="27"/>
    </row>
    <row r="824">
      <c r="A824" s="28"/>
      <c r="B824" s="28"/>
      <c r="C824" s="28"/>
      <c r="D824" s="28"/>
      <c r="E824" s="28"/>
      <c r="F824" s="28"/>
      <c r="G824" s="28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33">
        <f t="shared" si="1"/>
        <v>0</v>
      </c>
      <c r="W824" s="27"/>
      <c r="X824" s="27"/>
      <c r="Y824" s="27"/>
      <c r="Z824" s="27"/>
      <c r="AA824" s="27"/>
    </row>
    <row r="825">
      <c r="A825" s="28"/>
      <c r="B825" s="28"/>
      <c r="C825" s="28"/>
      <c r="D825" s="28"/>
      <c r="E825" s="28"/>
      <c r="F825" s="28"/>
      <c r="G825" s="28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33">
        <f t="shared" si="1"/>
        <v>0</v>
      </c>
      <c r="W825" s="27"/>
      <c r="X825" s="27"/>
      <c r="Y825" s="27"/>
      <c r="Z825" s="27"/>
      <c r="AA825" s="27"/>
    </row>
    <row r="826">
      <c r="A826" s="28"/>
      <c r="B826" s="28"/>
      <c r="C826" s="28"/>
      <c r="D826" s="28"/>
      <c r="E826" s="28"/>
      <c r="F826" s="28"/>
      <c r="G826" s="28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33">
        <f t="shared" si="1"/>
        <v>0</v>
      </c>
      <c r="W826" s="27"/>
      <c r="X826" s="27"/>
      <c r="Y826" s="27"/>
      <c r="Z826" s="27"/>
      <c r="AA826" s="27"/>
    </row>
    <row r="827">
      <c r="A827" s="28"/>
      <c r="B827" s="28"/>
      <c r="C827" s="28"/>
      <c r="D827" s="28"/>
      <c r="E827" s="28"/>
      <c r="F827" s="28"/>
      <c r="G827" s="28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33">
        <f t="shared" si="1"/>
        <v>0</v>
      </c>
      <c r="W827" s="27"/>
      <c r="X827" s="27"/>
      <c r="Y827" s="27"/>
      <c r="Z827" s="27"/>
      <c r="AA827" s="27"/>
    </row>
    <row r="828">
      <c r="A828" s="28"/>
      <c r="B828" s="28"/>
      <c r="C828" s="28"/>
      <c r="D828" s="28"/>
      <c r="E828" s="28"/>
      <c r="F828" s="28"/>
      <c r="G828" s="28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33">
        <f t="shared" si="1"/>
        <v>0</v>
      </c>
      <c r="W828" s="27"/>
      <c r="X828" s="27"/>
      <c r="Y828" s="27"/>
      <c r="Z828" s="27"/>
      <c r="AA828" s="27"/>
    </row>
    <row r="829">
      <c r="A829" s="28"/>
      <c r="B829" s="28"/>
      <c r="C829" s="28"/>
      <c r="D829" s="28"/>
      <c r="E829" s="28"/>
      <c r="F829" s="28"/>
      <c r="G829" s="28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33">
        <f t="shared" si="1"/>
        <v>0</v>
      </c>
      <c r="W829" s="27"/>
      <c r="X829" s="27"/>
      <c r="Y829" s="27"/>
      <c r="Z829" s="27"/>
      <c r="AA829" s="27"/>
    </row>
    <row r="830">
      <c r="A830" s="28"/>
      <c r="B830" s="28"/>
      <c r="C830" s="28"/>
      <c r="D830" s="28"/>
      <c r="E830" s="28"/>
      <c r="F830" s="28"/>
      <c r="G830" s="28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33">
        <f t="shared" si="1"/>
        <v>0</v>
      </c>
      <c r="W830" s="27"/>
      <c r="X830" s="27"/>
      <c r="Y830" s="27"/>
      <c r="Z830" s="27"/>
      <c r="AA830" s="27"/>
    </row>
    <row r="831">
      <c r="A831" s="28"/>
      <c r="B831" s="28"/>
      <c r="C831" s="28"/>
      <c r="D831" s="28"/>
      <c r="E831" s="28"/>
      <c r="F831" s="28"/>
      <c r="G831" s="28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33">
        <f t="shared" si="1"/>
        <v>0</v>
      </c>
      <c r="W831" s="27"/>
      <c r="X831" s="27"/>
      <c r="Y831" s="27"/>
      <c r="Z831" s="27"/>
      <c r="AA831" s="27"/>
    </row>
    <row r="832">
      <c r="A832" s="28"/>
      <c r="B832" s="28"/>
      <c r="C832" s="28"/>
      <c r="D832" s="28"/>
      <c r="E832" s="28"/>
      <c r="F832" s="28"/>
      <c r="G832" s="28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33">
        <f t="shared" si="1"/>
        <v>0</v>
      </c>
      <c r="W832" s="27"/>
      <c r="X832" s="27"/>
      <c r="Y832" s="27"/>
      <c r="Z832" s="27"/>
      <c r="AA832" s="27"/>
    </row>
    <row r="833">
      <c r="A833" s="28"/>
      <c r="B833" s="28"/>
      <c r="C833" s="28"/>
      <c r="D833" s="28"/>
      <c r="E833" s="28"/>
      <c r="F833" s="28"/>
      <c r="G833" s="28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33">
        <f t="shared" si="1"/>
        <v>0</v>
      </c>
      <c r="W833" s="27"/>
      <c r="X833" s="27"/>
      <c r="Y833" s="27"/>
      <c r="Z833" s="27"/>
      <c r="AA833" s="27"/>
    </row>
    <row r="834">
      <c r="A834" s="28"/>
      <c r="B834" s="28"/>
      <c r="C834" s="28"/>
      <c r="D834" s="28"/>
      <c r="E834" s="28"/>
      <c r="F834" s="28"/>
      <c r="G834" s="28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33">
        <f t="shared" si="1"/>
        <v>0</v>
      </c>
      <c r="W834" s="27"/>
      <c r="X834" s="27"/>
      <c r="Y834" s="27"/>
      <c r="Z834" s="27"/>
      <c r="AA834" s="27"/>
    </row>
    <row r="835">
      <c r="A835" s="28"/>
      <c r="B835" s="28"/>
      <c r="C835" s="28"/>
      <c r="D835" s="28"/>
      <c r="E835" s="28"/>
      <c r="F835" s="28"/>
      <c r="G835" s="28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33">
        <f t="shared" si="1"/>
        <v>0</v>
      </c>
      <c r="W835" s="27"/>
      <c r="X835" s="27"/>
      <c r="Y835" s="27"/>
      <c r="Z835" s="27"/>
      <c r="AA835" s="27"/>
    </row>
    <row r="836">
      <c r="A836" s="28"/>
      <c r="B836" s="28"/>
      <c r="C836" s="28"/>
      <c r="D836" s="28"/>
      <c r="E836" s="28"/>
      <c r="F836" s="28"/>
      <c r="G836" s="28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33">
        <f t="shared" si="1"/>
        <v>0</v>
      </c>
      <c r="W836" s="27"/>
      <c r="X836" s="27"/>
      <c r="Y836" s="27"/>
      <c r="Z836" s="27"/>
      <c r="AA836" s="27"/>
    </row>
    <row r="837">
      <c r="A837" s="28"/>
      <c r="B837" s="28"/>
      <c r="C837" s="28"/>
      <c r="D837" s="28"/>
      <c r="E837" s="28"/>
      <c r="F837" s="28"/>
      <c r="G837" s="28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33">
        <f t="shared" si="1"/>
        <v>0</v>
      </c>
      <c r="W837" s="27"/>
      <c r="X837" s="27"/>
      <c r="Y837" s="27"/>
      <c r="Z837" s="27"/>
      <c r="AA837" s="27"/>
    </row>
    <row r="838">
      <c r="A838" s="28"/>
      <c r="B838" s="28"/>
      <c r="C838" s="28"/>
      <c r="D838" s="28"/>
      <c r="E838" s="28"/>
      <c r="F838" s="28"/>
      <c r="G838" s="28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33">
        <f t="shared" si="1"/>
        <v>0</v>
      </c>
      <c r="W838" s="27"/>
      <c r="X838" s="27"/>
      <c r="Y838" s="27"/>
      <c r="Z838" s="27"/>
      <c r="AA838" s="27"/>
    </row>
    <row r="839">
      <c r="A839" s="28"/>
      <c r="B839" s="28"/>
      <c r="C839" s="28"/>
      <c r="D839" s="28"/>
      <c r="E839" s="28"/>
      <c r="F839" s="28"/>
      <c r="G839" s="28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33">
        <f t="shared" si="1"/>
        <v>0</v>
      </c>
      <c r="W839" s="27"/>
      <c r="X839" s="27"/>
      <c r="Y839" s="27"/>
      <c r="Z839" s="27"/>
      <c r="AA839" s="27"/>
    </row>
    <row r="840">
      <c r="A840" s="28"/>
      <c r="B840" s="28"/>
      <c r="C840" s="28"/>
      <c r="D840" s="28"/>
      <c r="E840" s="28"/>
      <c r="F840" s="28"/>
      <c r="G840" s="28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33">
        <f t="shared" si="1"/>
        <v>0</v>
      </c>
      <c r="W840" s="27"/>
      <c r="X840" s="27"/>
      <c r="Y840" s="27"/>
      <c r="Z840" s="27"/>
      <c r="AA840" s="27"/>
    </row>
    <row r="841">
      <c r="A841" s="28"/>
      <c r="B841" s="28"/>
      <c r="C841" s="28"/>
      <c r="D841" s="28"/>
      <c r="E841" s="28"/>
      <c r="F841" s="28"/>
      <c r="G841" s="28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33">
        <f t="shared" si="1"/>
        <v>0</v>
      </c>
      <c r="W841" s="27"/>
      <c r="X841" s="27"/>
      <c r="Y841" s="27"/>
      <c r="Z841" s="27"/>
      <c r="AA841" s="27"/>
    </row>
    <row r="842">
      <c r="A842" s="28"/>
      <c r="B842" s="28"/>
      <c r="C842" s="28"/>
      <c r="D842" s="28"/>
      <c r="E842" s="28"/>
      <c r="F842" s="28"/>
      <c r="G842" s="28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33">
        <f t="shared" si="1"/>
        <v>0</v>
      </c>
      <c r="W842" s="27"/>
      <c r="X842" s="27"/>
      <c r="Y842" s="27"/>
      <c r="Z842" s="27"/>
      <c r="AA842" s="27"/>
    </row>
    <row r="843">
      <c r="A843" s="28"/>
      <c r="B843" s="28"/>
      <c r="C843" s="28"/>
      <c r="D843" s="28"/>
      <c r="E843" s="28"/>
      <c r="F843" s="28"/>
      <c r="G843" s="28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33">
        <f t="shared" si="1"/>
        <v>0</v>
      </c>
      <c r="W843" s="27"/>
      <c r="X843" s="27"/>
      <c r="Y843" s="27"/>
      <c r="Z843" s="27"/>
      <c r="AA843" s="27"/>
    </row>
    <row r="844">
      <c r="A844" s="28"/>
      <c r="B844" s="28"/>
      <c r="C844" s="28"/>
      <c r="D844" s="28"/>
      <c r="E844" s="28"/>
      <c r="F844" s="28"/>
      <c r="G844" s="28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33">
        <f t="shared" si="1"/>
        <v>0</v>
      </c>
      <c r="W844" s="27"/>
      <c r="X844" s="27"/>
      <c r="Y844" s="27"/>
      <c r="Z844" s="27"/>
      <c r="AA844" s="27"/>
    </row>
    <row r="845">
      <c r="A845" s="28"/>
      <c r="B845" s="28"/>
      <c r="C845" s="28"/>
      <c r="D845" s="28"/>
      <c r="E845" s="28"/>
      <c r="F845" s="28"/>
      <c r="G845" s="28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33">
        <f t="shared" si="1"/>
        <v>0</v>
      </c>
      <c r="W845" s="27"/>
      <c r="X845" s="27"/>
      <c r="Y845" s="27"/>
      <c r="Z845" s="27"/>
      <c r="AA845" s="27"/>
    </row>
    <row r="846">
      <c r="A846" s="28"/>
      <c r="B846" s="28"/>
      <c r="C846" s="28"/>
      <c r="D846" s="28"/>
      <c r="E846" s="28"/>
      <c r="F846" s="28"/>
      <c r="G846" s="28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33">
        <f t="shared" si="1"/>
        <v>0</v>
      </c>
      <c r="W846" s="27"/>
      <c r="X846" s="27"/>
      <c r="Y846" s="27"/>
      <c r="Z846" s="27"/>
      <c r="AA846" s="27"/>
    </row>
    <row r="847">
      <c r="A847" s="28"/>
      <c r="B847" s="28"/>
      <c r="C847" s="28"/>
      <c r="D847" s="28"/>
      <c r="E847" s="28"/>
      <c r="F847" s="28"/>
      <c r="G847" s="28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33">
        <f t="shared" si="1"/>
        <v>0</v>
      </c>
      <c r="W847" s="27"/>
      <c r="X847" s="27"/>
      <c r="Y847" s="27"/>
      <c r="Z847" s="27"/>
      <c r="AA847" s="27"/>
    </row>
    <row r="848">
      <c r="A848" s="28"/>
      <c r="B848" s="28"/>
      <c r="C848" s="28"/>
      <c r="D848" s="28"/>
      <c r="E848" s="28"/>
      <c r="F848" s="28"/>
      <c r="G848" s="28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33">
        <f t="shared" si="1"/>
        <v>0</v>
      </c>
      <c r="W848" s="27"/>
      <c r="X848" s="27"/>
      <c r="Y848" s="27"/>
      <c r="Z848" s="27"/>
      <c r="AA848" s="27"/>
    </row>
    <row r="849">
      <c r="A849" s="28"/>
      <c r="B849" s="28"/>
      <c r="C849" s="28"/>
      <c r="D849" s="28"/>
      <c r="E849" s="28"/>
      <c r="F849" s="28"/>
      <c r="G849" s="28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33">
        <f t="shared" si="1"/>
        <v>0</v>
      </c>
      <c r="W849" s="27"/>
      <c r="X849" s="27"/>
      <c r="Y849" s="27"/>
      <c r="Z849" s="27"/>
      <c r="AA849" s="27"/>
    </row>
    <row r="850">
      <c r="A850" s="28"/>
      <c r="B850" s="28"/>
      <c r="C850" s="28"/>
      <c r="D850" s="28"/>
      <c r="E850" s="28"/>
      <c r="F850" s="28"/>
      <c r="G850" s="28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33">
        <f t="shared" si="1"/>
        <v>0</v>
      </c>
      <c r="W850" s="27"/>
      <c r="X850" s="27"/>
      <c r="Y850" s="27"/>
      <c r="Z850" s="27"/>
      <c r="AA850" s="27"/>
    </row>
    <row r="851">
      <c r="A851" s="28"/>
      <c r="B851" s="28"/>
      <c r="C851" s="28"/>
      <c r="D851" s="28"/>
      <c r="E851" s="28"/>
      <c r="F851" s="28"/>
      <c r="G851" s="28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33">
        <f t="shared" si="1"/>
        <v>0</v>
      </c>
      <c r="W851" s="27"/>
      <c r="X851" s="27"/>
      <c r="Y851" s="27"/>
      <c r="Z851" s="27"/>
      <c r="AA851" s="27"/>
    </row>
    <row r="852">
      <c r="A852" s="28"/>
      <c r="B852" s="28"/>
      <c r="C852" s="28"/>
      <c r="D852" s="28"/>
      <c r="E852" s="28"/>
      <c r="F852" s="28"/>
      <c r="G852" s="28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33">
        <f t="shared" si="1"/>
        <v>0</v>
      </c>
      <c r="W852" s="27"/>
      <c r="X852" s="27"/>
      <c r="Y852" s="27"/>
      <c r="Z852" s="27"/>
      <c r="AA852" s="27"/>
    </row>
    <row r="853">
      <c r="A853" s="28"/>
      <c r="B853" s="28"/>
      <c r="C853" s="28"/>
      <c r="D853" s="28"/>
      <c r="E853" s="28"/>
      <c r="F853" s="28"/>
      <c r="G853" s="28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33">
        <f t="shared" si="1"/>
        <v>0</v>
      </c>
      <c r="W853" s="27"/>
      <c r="X853" s="27"/>
      <c r="Y853" s="27"/>
      <c r="Z853" s="27"/>
      <c r="AA853" s="27"/>
    </row>
    <row r="854">
      <c r="A854" s="28"/>
      <c r="B854" s="28"/>
      <c r="C854" s="28"/>
      <c r="D854" s="28"/>
      <c r="E854" s="28"/>
      <c r="F854" s="28"/>
      <c r="G854" s="28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33">
        <f t="shared" si="1"/>
        <v>0</v>
      </c>
      <c r="W854" s="27"/>
      <c r="X854" s="27"/>
      <c r="Y854" s="27"/>
      <c r="Z854" s="27"/>
      <c r="AA854" s="27"/>
    </row>
    <row r="855">
      <c r="A855" s="28"/>
      <c r="B855" s="28"/>
      <c r="C855" s="28"/>
      <c r="D855" s="28"/>
      <c r="E855" s="28"/>
      <c r="F855" s="28"/>
      <c r="G855" s="28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33">
        <f t="shared" si="1"/>
        <v>0</v>
      </c>
      <c r="W855" s="27"/>
      <c r="X855" s="27"/>
      <c r="Y855" s="27"/>
      <c r="Z855" s="27"/>
      <c r="AA855" s="27"/>
    </row>
    <row r="856">
      <c r="A856" s="28"/>
      <c r="B856" s="28"/>
      <c r="C856" s="28"/>
      <c r="D856" s="28"/>
      <c r="E856" s="28"/>
      <c r="F856" s="28"/>
      <c r="G856" s="28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33">
        <f t="shared" si="1"/>
        <v>0</v>
      </c>
      <c r="W856" s="27"/>
      <c r="X856" s="27"/>
      <c r="Y856" s="27"/>
      <c r="Z856" s="27"/>
      <c r="AA856" s="27"/>
    </row>
    <row r="857">
      <c r="A857" s="28"/>
      <c r="B857" s="28"/>
      <c r="C857" s="28"/>
      <c r="D857" s="28"/>
      <c r="E857" s="28"/>
      <c r="F857" s="28"/>
      <c r="G857" s="28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33">
        <f t="shared" si="1"/>
        <v>0</v>
      </c>
      <c r="W857" s="27"/>
      <c r="X857" s="27"/>
      <c r="Y857" s="27"/>
      <c r="Z857" s="27"/>
      <c r="AA857" s="27"/>
    </row>
    <row r="858">
      <c r="A858" s="28"/>
      <c r="B858" s="28"/>
      <c r="C858" s="28"/>
      <c r="D858" s="28"/>
      <c r="E858" s="28"/>
      <c r="F858" s="28"/>
      <c r="G858" s="28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33">
        <f t="shared" si="1"/>
        <v>0</v>
      </c>
      <c r="W858" s="27"/>
      <c r="X858" s="27"/>
      <c r="Y858" s="27"/>
      <c r="Z858" s="27"/>
      <c r="AA858" s="27"/>
    </row>
    <row r="859">
      <c r="A859" s="28"/>
      <c r="B859" s="28"/>
      <c r="C859" s="28"/>
      <c r="D859" s="28"/>
      <c r="E859" s="28"/>
      <c r="F859" s="28"/>
      <c r="G859" s="28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33">
        <f t="shared" si="1"/>
        <v>0</v>
      </c>
      <c r="W859" s="27"/>
      <c r="X859" s="27"/>
      <c r="Y859" s="27"/>
      <c r="Z859" s="27"/>
      <c r="AA859" s="27"/>
    </row>
    <row r="860">
      <c r="A860" s="28"/>
      <c r="B860" s="28"/>
      <c r="C860" s="28"/>
      <c r="D860" s="28"/>
      <c r="E860" s="28"/>
      <c r="F860" s="28"/>
      <c r="G860" s="28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33">
        <f t="shared" si="1"/>
        <v>0</v>
      </c>
      <c r="W860" s="27"/>
      <c r="X860" s="27"/>
      <c r="Y860" s="27"/>
      <c r="Z860" s="27"/>
      <c r="AA860" s="27"/>
    </row>
    <row r="861">
      <c r="A861" s="28"/>
      <c r="B861" s="28"/>
      <c r="C861" s="28"/>
      <c r="D861" s="28"/>
      <c r="E861" s="28"/>
      <c r="F861" s="28"/>
      <c r="G861" s="28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33">
        <f t="shared" si="1"/>
        <v>0</v>
      </c>
      <c r="W861" s="27"/>
      <c r="X861" s="27"/>
      <c r="Y861" s="27"/>
      <c r="Z861" s="27"/>
      <c r="AA861" s="27"/>
    </row>
    <row r="862">
      <c r="A862" s="28"/>
      <c r="B862" s="28"/>
      <c r="C862" s="28"/>
      <c r="D862" s="28"/>
      <c r="E862" s="28"/>
      <c r="F862" s="28"/>
      <c r="G862" s="28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33">
        <f t="shared" si="1"/>
        <v>0</v>
      </c>
      <c r="W862" s="27"/>
      <c r="X862" s="27"/>
      <c r="Y862" s="27"/>
      <c r="Z862" s="27"/>
      <c r="AA862" s="27"/>
    </row>
    <row r="863">
      <c r="A863" s="28"/>
      <c r="B863" s="28"/>
      <c r="C863" s="28"/>
      <c r="D863" s="28"/>
      <c r="E863" s="28"/>
      <c r="F863" s="28"/>
      <c r="G863" s="28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33">
        <f t="shared" si="1"/>
        <v>0</v>
      </c>
      <c r="W863" s="27"/>
      <c r="X863" s="27"/>
      <c r="Y863" s="27"/>
      <c r="Z863" s="27"/>
      <c r="AA863" s="27"/>
    </row>
    <row r="864">
      <c r="A864" s="28"/>
      <c r="B864" s="28"/>
      <c r="C864" s="28"/>
      <c r="D864" s="28"/>
      <c r="E864" s="28"/>
      <c r="F864" s="28"/>
      <c r="G864" s="28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33">
        <f t="shared" si="1"/>
        <v>0</v>
      </c>
      <c r="W864" s="27"/>
      <c r="X864" s="27"/>
      <c r="Y864" s="27"/>
      <c r="Z864" s="27"/>
      <c r="AA864" s="27"/>
    </row>
    <row r="865">
      <c r="A865" s="28"/>
      <c r="B865" s="28"/>
      <c r="C865" s="28"/>
      <c r="D865" s="28"/>
      <c r="E865" s="28"/>
      <c r="F865" s="28"/>
      <c r="G865" s="28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33">
        <f t="shared" si="1"/>
        <v>0</v>
      </c>
      <c r="W865" s="27"/>
      <c r="X865" s="27"/>
      <c r="Y865" s="27"/>
      <c r="Z865" s="27"/>
      <c r="AA865" s="27"/>
    </row>
    <row r="866">
      <c r="A866" s="28"/>
      <c r="B866" s="28"/>
      <c r="C866" s="28"/>
      <c r="D866" s="28"/>
      <c r="E866" s="28"/>
      <c r="F866" s="28"/>
      <c r="G866" s="28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33">
        <f t="shared" si="1"/>
        <v>0</v>
      </c>
      <c r="W866" s="27"/>
      <c r="X866" s="27"/>
      <c r="Y866" s="27"/>
      <c r="Z866" s="27"/>
      <c r="AA866" s="27"/>
    </row>
    <row r="867">
      <c r="A867" s="28"/>
      <c r="B867" s="28"/>
      <c r="C867" s="28"/>
      <c r="D867" s="28"/>
      <c r="E867" s="28"/>
      <c r="F867" s="28"/>
      <c r="G867" s="28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33">
        <f t="shared" si="1"/>
        <v>0</v>
      </c>
      <c r="W867" s="27"/>
      <c r="X867" s="27"/>
      <c r="Y867" s="27"/>
      <c r="Z867" s="27"/>
      <c r="AA867" s="27"/>
    </row>
    <row r="868">
      <c r="A868" s="28"/>
      <c r="B868" s="28"/>
      <c r="C868" s="28"/>
      <c r="D868" s="28"/>
      <c r="E868" s="28"/>
      <c r="F868" s="28"/>
      <c r="G868" s="28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33">
        <f t="shared" si="1"/>
        <v>0</v>
      </c>
      <c r="W868" s="27"/>
      <c r="X868" s="27"/>
      <c r="Y868" s="27"/>
      <c r="Z868" s="27"/>
      <c r="AA868" s="27"/>
    </row>
    <row r="869">
      <c r="A869" s="28"/>
      <c r="B869" s="28"/>
      <c r="C869" s="28"/>
      <c r="D869" s="28"/>
      <c r="E869" s="28"/>
      <c r="F869" s="28"/>
      <c r="G869" s="28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33">
        <f t="shared" si="1"/>
        <v>0</v>
      </c>
      <c r="W869" s="27"/>
      <c r="X869" s="27"/>
      <c r="Y869" s="27"/>
      <c r="Z869" s="27"/>
      <c r="AA869" s="27"/>
    </row>
    <row r="870">
      <c r="A870" s="28"/>
      <c r="B870" s="28"/>
      <c r="C870" s="28"/>
      <c r="D870" s="28"/>
      <c r="E870" s="28"/>
      <c r="F870" s="28"/>
      <c r="G870" s="28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33">
        <f t="shared" si="1"/>
        <v>0</v>
      </c>
      <c r="W870" s="27"/>
      <c r="X870" s="27"/>
      <c r="Y870" s="27"/>
      <c r="Z870" s="27"/>
      <c r="AA870" s="27"/>
    </row>
    <row r="871">
      <c r="A871" s="28"/>
      <c r="B871" s="28"/>
      <c r="C871" s="28"/>
      <c r="D871" s="28"/>
      <c r="E871" s="28"/>
      <c r="F871" s="28"/>
      <c r="G871" s="28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33">
        <f t="shared" si="1"/>
        <v>0</v>
      </c>
      <c r="W871" s="27"/>
      <c r="X871" s="27"/>
      <c r="Y871" s="27"/>
      <c r="Z871" s="27"/>
      <c r="AA871" s="27"/>
    </row>
    <row r="872">
      <c r="A872" s="28"/>
      <c r="B872" s="28"/>
      <c r="C872" s="28"/>
      <c r="D872" s="28"/>
      <c r="E872" s="28"/>
      <c r="F872" s="28"/>
      <c r="G872" s="28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33">
        <f t="shared" si="1"/>
        <v>0</v>
      </c>
      <c r="W872" s="27"/>
      <c r="X872" s="27"/>
      <c r="Y872" s="27"/>
      <c r="Z872" s="27"/>
      <c r="AA872" s="27"/>
    </row>
    <row r="873">
      <c r="A873" s="28"/>
      <c r="B873" s="28"/>
      <c r="C873" s="28"/>
      <c r="D873" s="28"/>
      <c r="E873" s="28"/>
      <c r="F873" s="28"/>
      <c r="G873" s="28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33">
        <f t="shared" si="1"/>
        <v>0</v>
      </c>
      <c r="W873" s="27"/>
      <c r="X873" s="27"/>
      <c r="Y873" s="27"/>
      <c r="Z873" s="27"/>
      <c r="AA873" s="27"/>
    </row>
    <row r="874">
      <c r="A874" s="28"/>
      <c r="B874" s="28"/>
      <c r="C874" s="28"/>
      <c r="D874" s="28"/>
      <c r="E874" s="28"/>
      <c r="F874" s="28"/>
      <c r="G874" s="28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33">
        <f t="shared" si="1"/>
        <v>0</v>
      </c>
      <c r="W874" s="27"/>
      <c r="X874" s="27"/>
      <c r="Y874" s="27"/>
      <c r="Z874" s="27"/>
      <c r="AA874" s="27"/>
    </row>
    <row r="875">
      <c r="A875" s="28"/>
      <c r="B875" s="28"/>
      <c r="C875" s="28"/>
      <c r="D875" s="28"/>
      <c r="E875" s="28"/>
      <c r="F875" s="28"/>
      <c r="G875" s="28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33">
        <f t="shared" si="1"/>
        <v>0</v>
      </c>
      <c r="W875" s="27"/>
      <c r="X875" s="27"/>
      <c r="Y875" s="27"/>
      <c r="Z875" s="27"/>
      <c r="AA875" s="27"/>
    </row>
    <row r="876">
      <c r="A876" s="28"/>
      <c r="B876" s="28"/>
      <c r="C876" s="28"/>
      <c r="D876" s="28"/>
      <c r="E876" s="28"/>
      <c r="F876" s="28"/>
      <c r="G876" s="28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33">
        <f t="shared" si="1"/>
        <v>0</v>
      </c>
      <c r="W876" s="27"/>
      <c r="X876" s="27"/>
      <c r="Y876" s="27"/>
      <c r="Z876" s="27"/>
      <c r="AA876" s="27"/>
    </row>
    <row r="877">
      <c r="A877" s="28"/>
      <c r="B877" s="28"/>
      <c r="C877" s="28"/>
      <c r="D877" s="28"/>
      <c r="E877" s="28"/>
      <c r="F877" s="28"/>
      <c r="G877" s="28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33">
        <f t="shared" si="1"/>
        <v>0</v>
      </c>
      <c r="W877" s="27"/>
      <c r="X877" s="27"/>
      <c r="Y877" s="27"/>
      <c r="Z877" s="27"/>
      <c r="AA877" s="27"/>
    </row>
    <row r="878">
      <c r="A878" s="28"/>
      <c r="B878" s="28"/>
      <c r="C878" s="28"/>
      <c r="D878" s="28"/>
      <c r="E878" s="28"/>
      <c r="F878" s="28"/>
      <c r="G878" s="28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33">
        <f t="shared" si="1"/>
        <v>0</v>
      </c>
      <c r="W878" s="27"/>
      <c r="X878" s="27"/>
      <c r="Y878" s="27"/>
      <c r="Z878" s="27"/>
      <c r="AA878" s="27"/>
    </row>
    <row r="879">
      <c r="A879" s="28"/>
      <c r="B879" s="28"/>
      <c r="C879" s="28"/>
      <c r="D879" s="28"/>
      <c r="E879" s="28"/>
      <c r="F879" s="28"/>
      <c r="G879" s="28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33">
        <f t="shared" si="1"/>
        <v>0</v>
      </c>
      <c r="W879" s="27"/>
      <c r="X879" s="27"/>
      <c r="Y879" s="27"/>
      <c r="Z879" s="27"/>
      <c r="AA879" s="27"/>
    </row>
    <row r="880">
      <c r="A880" s="28"/>
      <c r="B880" s="28"/>
      <c r="C880" s="28"/>
      <c r="D880" s="28"/>
      <c r="E880" s="28"/>
      <c r="F880" s="28"/>
      <c r="G880" s="28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33">
        <f t="shared" si="1"/>
        <v>0</v>
      </c>
      <c r="W880" s="27"/>
      <c r="X880" s="27"/>
      <c r="Y880" s="27"/>
      <c r="Z880" s="27"/>
      <c r="AA880" s="27"/>
    </row>
    <row r="881">
      <c r="A881" s="28"/>
      <c r="B881" s="28"/>
      <c r="C881" s="28"/>
      <c r="D881" s="28"/>
      <c r="E881" s="28"/>
      <c r="F881" s="28"/>
      <c r="G881" s="28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33">
        <f t="shared" si="1"/>
        <v>0</v>
      </c>
      <c r="W881" s="27"/>
      <c r="X881" s="27"/>
      <c r="Y881" s="27"/>
      <c r="Z881" s="27"/>
      <c r="AA881" s="27"/>
    </row>
    <row r="882">
      <c r="A882" s="28"/>
      <c r="B882" s="28"/>
      <c r="C882" s="28"/>
      <c r="D882" s="28"/>
      <c r="E882" s="28"/>
      <c r="F882" s="28"/>
      <c r="G882" s="28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33">
        <f t="shared" si="1"/>
        <v>0</v>
      </c>
      <c r="W882" s="27"/>
      <c r="X882" s="27"/>
      <c r="Y882" s="27"/>
      <c r="Z882" s="27"/>
      <c r="AA882" s="27"/>
    </row>
    <row r="883">
      <c r="A883" s="28"/>
      <c r="B883" s="28"/>
      <c r="C883" s="28"/>
      <c r="D883" s="28"/>
      <c r="E883" s="28"/>
      <c r="F883" s="28"/>
      <c r="G883" s="28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33">
        <f t="shared" si="1"/>
        <v>0</v>
      </c>
      <c r="W883" s="27"/>
      <c r="X883" s="27"/>
      <c r="Y883" s="27"/>
      <c r="Z883" s="27"/>
      <c r="AA883" s="27"/>
    </row>
    <row r="884">
      <c r="A884" s="28"/>
      <c r="B884" s="28"/>
      <c r="C884" s="28"/>
      <c r="D884" s="28"/>
      <c r="E884" s="28"/>
      <c r="F884" s="28"/>
      <c r="G884" s="28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33">
        <f t="shared" si="1"/>
        <v>0</v>
      </c>
      <c r="W884" s="27"/>
      <c r="X884" s="27"/>
      <c r="Y884" s="27"/>
      <c r="Z884" s="27"/>
      <c r="AA884" s="27"/>
    </row>
    <row r="885">
      <c r="A885" s="28"/>
      <c r="B885" s="28"/>
      <c r="C885" s="28"/>
      <c r="D885" s="28"/>
      <c r="E885" s="28"/>
      <c r="F885" s="28"/>
      <c r="G885" s="28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33">
        <f t="shared" si="1"/>
        <v>0</v>
      </c>
      <c r="W885" s="27"/>
      <c r="X885" s="27"/>
      <c r="Y885" s="27"/>
      <c r="Z885" s="27"/>
      <c r="AA885" s="27"/>
    </row>
    <row r="886">
      <c r="A886" s="28"/>
      <c r="B886" s="28"/>
      <c r="C886" s="28"/>
      <c r="D886" s="28"/>
      <c r="E886" s="28"/>
      <c r="F886" s="28"/>
      <c r="G886" s="28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33">
        <f t="shared" si="1"/>
        <v>0</v>
      </c>
      <c r="W886" s="27"/>
      <c r="X886" s="27"/>
      <c r="Y886" s="27"/>
      <c r="Z886" s="27"/>
      <c r="AA886" s="27"/>
    </row>
    <row r="887">
      <c r="A887" s="28"/>
      <c r="B887" s="28"/>
      <c r="C887" s="28"/>
      <c r="D887" s="28"/>
      <c r="E887" s="28"/>
      <c r="F887" s="28"/>
      <c r="G887" s="28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33">
        <f t="shared" si="1"/>
        <v>0</v>
      </c>
      <c r="W887" s="27"/>
      <c r="X887" s="27"/>
      <c r="Y887" s="27"/>
      <c r="Z887" s="27"/>
      <c r="AA887" s="27"/>
    </row>
    <row r="888">
      <c r="A888" s="28"/>
      <c r="B888" s="28"/>
      <c r="C888" s="28"/>
      <c r="D888" s="28"/>
      <c r="E888" s="28"/>
      <c r="F888" s="28"/>
      <c r="G888" s="28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33">
        <f t="shared" si="1"/>
        <v>0</v>
      </c>
      <c r="W888" s="27"/>
      <c r="X888" s="27"/>
      <c r="Y888" s="27"/>
      <c r="Z888" s="27"/>
      <c r="AA888" s="27"/>
    </row>
    <row r="889">
      <c r="A889" s="28"/>
      <c r="B889" s="28"/>
      <c r="C889" s="28"/>
      <c r="D889" s="28"/>
      <c r="E889" s="28"/>
      <c r="F889" s="28"/>
      <c r="G889" s="28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33">
        <f t="shared" si="1"/>
        <v>0</v>
      </c>
      <c r="W889" s="27"/>
      <c r="X889" s="27"/>
      <c r="Y889" s="27"/>
      <c r="Z889" s="27"/>
      <c r="AA889" s="27"/>
    </row>
    <row r="890">
      <c r="A890" s="28"/>
      <c r="B890" s="28"/>
      <c r="C890" s="28"/>
      <c r="D890" s="28"/>
      <c r="E890" s="28"/>
      <c r="F890" s="28"/>
      <c r="G890" s="28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33">
        <f t="shared" si="1"/>
        <v>0</v>
      </c>
      <c r="W890" s="27"/>
      <c r="X890" s="27"/>
      <c r="Y890" s="27"/>
      <c r="Z890" s="27"/>
      <c r="AA890" s="27"/>
    </row>
    <row r="891">
      <c r="A891" s="28"/>
      <c r="B891" s="28"/>
      <c r="C891" s="28"/>
      <c r="D891" s="28"/>
      <c r="E891" s="28"/>
      <c r="F891" s="28"/>
      <c r="G891" s="28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33">
        <f t="shared" si="1"/>
        <v>0</v>
      </c>
      <c r="W891" s="27"/>
      <c r="X891" s="27"/>
      <c r="Y891" s="27"/>
      <c r="Z891" s="27"/>
      <c r="AA891" s="27"/>
    </row>
    <row r="892">
      <c r="A892" s="28"/>
      <c r="B892" s="28"/>
      <c r="C892" s="28"/>
      <c r="D892" s="28"/>
      <c r="E892" s="28"/>
      <c r="F892" s="28"/>
      <c r="G892" s="28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33">
        <f t="shared" si="1"/>
        <v>0</v>
      </c>
      <c r="W892" s="27"/>
      <c r="X892" s="27"/>
      <c r="Y892" s="27"/>
      <c r="Z892" s="27"/>
      <c r="AA892" s="27"/>
    </row>
    <row r="893">
      <c r="A893" s="28"/>
      <c r="B893" s="28"/>
      <c r="C893" s="28"/>
      <c r="D893" s="28"/>
      <c r="E893" s="28"/>
      <c r="F893" s="28"/>
      <c r="G893" s="28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33">
        <f t="shared" si="1"/>
        <v>0</v>
      </c>
      <c r="W893" s="27"/>
      <c r="X893" s="27"/>
      <c r="Y893" s="27"/>
      <c r="Z893" s="27"/>
      <c r="AA893" s="27"/>
    </row>
    <row r="894">
      <c r="A894" s="28"/>
      <c r="B894" s="28"/>
      <c r="C894" s="28"/>
      <c r="D894" s="28"/>
      <c r="E894" s="28"/>
      <c r="F894" s="28"/>
      <c r="G894" s="28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33">
        <f t="shared" si="1"/>
        <v>0</v>
      </c>
      <c r="W894" s="27"/>
      <c r="X894" s="27"/>
      <c r="Y894" s="27"/>
      <c r="Z894" s="27"/>
      <c r="AA894" s="27"/>
    </row>
    <row r="895">
      <c r="A895" s="28"/>
      <c r="B895" s="28"/>
      <c r="C895" s="28"/>
      <c r="D895" s="28"/>
      <c r="E895" s="28"/>
      <c r="F895" s="28"/>
      <c r="G895" s="28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33">
        <f t="shared" si="1"/>
        <v>0</v>
      </c>
      <c r="W895" s="27"/>
      <c r="X895" s="27"/>
      <c r="Y895" s="27"/>
      <c r="Z895" s="27"/>
      <c r="AA895" s="27"/>
    </row>
    <row r="896">
      <c r="A896" s="28"/>
      <c r="B896" s="28"/>
      <c r="C896" s="28"/>
      <c r="D896" s="28"/>
      <c r="E896" s="28"/>
      <c r="F896" s="28"/>
      <c r="G896" s="28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33">
        <f t="shared" si="1"/>
        <v>0</v>
      </c>
      <c r="W896" s="27"/>
      <c r="X896" s="27"/>
      <c r="Y896" s="27"/>
      <c r="Z896" s="27"/>
      <c r="AA896" s="27"/>
    </row>
    <row r="897">
      <c r="A897" s="28"/>
      <c r="B897" s="28"/>
      <c r="C897" s="28"/>
      <c r="D897" s="28"/>
      <c r="E897" s="28"/>
      <c r="F897" s="28"/>
      <c r="G897" s="28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33">
        <f t="shared" si="1"/>
        <v>0</v>
      </c>
      <c r="W897" s="27"/>
      <c r="X897" s="27"/>
      <c r="Y897" s="27"/>
      <c r="Z897" s="27"/>
      <c r="AA897" s="27"/>
    </row>
    <row r="898">
      <c r="A898" s="28"/>
      <c r="B898" s="28"/>
      <c r="C898" s="28"/>
      <c r="D898" s="28"/>
      <c r="E898" s="28"/>
      <c r="F898" s="28"/>
      <c r="G898" s="28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33">
        <f t="shared" si="1"/>
        <v>0</v>
      </c>
      <c r="W898" s="27"/>
      <c r="X898" s="27"/>
      <c r="Y898" s="27"/>
      <c r="Z898" s="27"/>
      <c r="AA898" s="27"/>
    </row>
    <row r="899">
      <c r="A899" s="28"/>
      <c r="B899" s="28"/>
      <c r="C899" s="28"/>
      <c r="D899" s="28"/>
      <c r="E899" s="28"/>
      <c r="F899" s="28"/>
      <c r="G899" s="28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33">
        <f t="shared" si="1"/>
        <v>0</v>
      </c>
      <c r="W899" s="27"/>
      <c r="X899" s="27"/>
      <c r="Y899" s="27"/>
      <c r="Z899" s="27"/>
      <c r="AA899" s="27"/>
    </row>
    <row r="900">
      <c r="A900" s="28"/>
      <c r="B900" s="28"/>
      <c r="C900" s="28"/>
      <c r="D900" s="28"/>
      <c r="E900" s="28"/>
      <c r="F900" s="28"/>
      <c r="G900" s="28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33">
        <f t="shared" si="1"/>
        <v>0</v>
      </c>
      <c r="W900" s="27"/>
      <c r="X900" s="27"/>
      <c r="Y900" s="27"/>
      <c r="Z900" s="27"/>
      <c r="AA900" s="27"/>
    </row>
    <row r="901">
      <c r="A901" s="28"/>
      <c r="B901" s="28"/>
      <c r="C901" s="28"/>
      <c r="D901" s="28"/>
      <c r="E901" s="28"/>
      <c r="F901" s="28"/>
      <c r="G901" s="28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33">
        <f t="shared" si="1"/>
        <v>0</v>
      </c>
      <c r="W901" s="27"/>
      <c r="X901" s="27"/>
      <c r="Y901" s="27"/>
      <c r="Z901" s="27"/>
      <c r="AA901" s="27"/>
    </row>
    <row r="902">
      <c r="A902" s="28"/>
      <c r="B902" s="28"/>
      <c r="C902" s="28"/>
      <c r="D902" s="28"/>
      <c r="E902" s="28"/>
      <c r="F902" s="28"/>
      <c r="G902" s="28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33">
        <f t="shared" si="1"/>
        <v>0</v>
      </c>
      <c r="W902" s="27"/>
      <c r="X902" s="27"/>
      <c r="Y902" s="27"/>
      <c r="Z902" s="27"/>
      <c r="AA902" s="27"/>
    </row>
    <row r="903">
      <c r="A903" s="28"/>
      <c r="B903" s="28"/>
      <c r="C903" s="28"/>
      <c r="D903" s="28"/>
      <c r="E903" s="28"/>
      <c r="F903" s="28"/>
      <c r="G903" s="28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33">
        <f t="shared" si="1"/>
        <v>0</v>
      </c>
      <c r="W903" s="27"/>
      <c r="X903" s="27"/>
      <c r="Y903" s="27"/>
      <c r="Z903" s="27"/>
      <c r="AA903" s="27"/>
    </row>
    <row r="904">
      <c r="A904" s="28"/>
      <c r="B904" s="28"/>
      <c r="C904" s="28"/>
      <c r="D904" s="28"/>
      <c r="E904" s="28"/>
      <c r="F904" s="28"/>
      <c r="G904" s="28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33">
        <f t="shared" si="1"/>
        <v>0</v>
      </c>
      <c r="W904" s="27"/>
      <c r="X904" s="27"/>
      <c r="Y904" s="27"/>
      <c r="Z904" s="27"/>
      <c r="AA904" s="27"/>
    </row>
    <row r="905">
      <c r="A905" s="28"/>
      <c r="B905" s="28"/>
      <c r="C905" s="28"/>
      <c r="D905" s="28"/>
      <c r="E905" s="28"/>
      <c r="F905" s="28"/>
      <c r="G905" s="28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33">
        <f t="shared" si="1"/>
        <v>0</v>
      </c>
      <c r="W905" s="27"/>
      <c r="X905" s="27"/>
      <c r="Y905" s="27"/>
      <c r="Z905" s="27"/>
      <c r="AA905" s="27"/>
    </row>
    <row r="906">
      <c r="A906" s="28"/>
      <c r="B906" s="28"/>
      <c r="C906" s="28"/>
      <c r="D906" s="28"/>
      <c r="E906" s="28"/>
      <c r="F906" s="28"/>
      <c r="G906" s="28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33">
        <f t="shared" si="1"/>
        <v>0</v>
      </c>
      <c r="W906" s="27"/>
      <c r="X906" s="27"/>
      <c r="Y906" s="27"/>
      <c r="Z906" s="27"/>
      <c r="AA906" s="27"/>
    </row>
    <row r="907">
      <c r="A907" s="28"/>
      <c r="B907" s="28"/>
      <c r="C907" s="28"/>
      <c r="D907" s="28"/>
      <c r="E907" s="28"/>
      <c r="F907" s="28"/>
      <c r="G907" s="28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33">
        <f t="shared" si="1"/>
        <v>0</v>
      </c>
      <c r="W907" s="27"/>
      <c r="X907" s="27"/>
      <c r="Y907" s="27"/>
      <c r="Z907" s="27"/>
      <c r="AA907" s="27"/>
    </row>
    <row r="908">
      <c r="A908" s="28"/>
      <c r="B908" s="28"/>
      <c r="C908" s="28"/>
      <c r="D908" s="28"/>
      <c r="E908" s="28"/>
      <c r="F908" s="28"/>
      <c r="G908" s="28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33">
        <f t="shared" si="1"/>
        <v>0</v>
      </c>
      <c r="W908" s="27"/>
      <c r="X908" s="27"/>
      <c r="Y908" s="27"/>
      <c r="Z908" s="27"/>
      <c r="AA908" s="27"/>
    </row>
    <row r="909">
      <c r="A909" s="28"/>
      <c r="B909" s="28"/>
      <c r="C909" s="28"/>
      <c r="D909" s="28"/>
      <c r="E909" s="28"/>
      <c r="F909" s="28"/>
      <c r="G909" s="28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33">
        <f t="shared" si="1"/>
        <v>0</v>
      </c>
      <c r="W909" s="27"/>
      <c r="X909" s="27"/>
      <c r="Y909" s="27"/>
      <c r="Z909" s="27"/>
      <c r="AA909" s="27"/>
    </row>
    <row r="910">
      <c r="A910" s="28"/>
      <c r="B910" s="28"/>
      <c r="C910" s="28"/>
      <c r="D910" s="28"/>
      <c r="E910" s="28"/>
      <c r="F910" s="28"/>
      <c r="G910" s="28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33">
        <f t="shared" si="1"/>
        <v>0</v>
      </c>
      <c r="W910" s="27"/>
      <c r="X910" s="27"/>
      <c r="Y910" s="27"/>
      <c r="Z910" s="27"/>
      <c r="AA910" s="27"/>
    </row>
    <row r="911">
      <c r="A911" s="28"/>
      <c r="B911" s="28"/>
      <c r="C911" s="28"/>
      <c r="D911" s="28"/>
      <c r="E911" s="28"/>
      <c r="F911" s="28"/>
      <c r="G911" s="28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33">
        <f t="shared" si="1"/>
        <v>0</v>
      </c>
      <c r="W911" s="27"/>
      <c r="X911" s="27"/>
      <c r="Y911" s="27"/>
      <c r="Z911" s="27"/>
      <c r="AA911" s="27"/>
    </row>
    <row r="912">
      <c r="A912" s="28"/>
      <c r="B912" s="28"/>
      <c r="C912" s="28"/>
      <c r="D912" s="28"/>
      <c r="E912" s="28"/>
      <c r="F912" s="28"/>
      <c r="G912" s="28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33">
        <f t="shared" si="1"/>
        <v>0</v>
      </c>
      <c r="W912" s="27"/>
      <c r="X912" s="27"/>
      <c r="Y912" s="27"/>
      <c r="Z912" s="27"/>
      <c r="AA912" s="27"/>
    </row>
    <row r="913">
      <c r="A913" s="28"/>
      <c r="B913" s="28"/>
      <c r="C913" s="28"/>
      <c r="D913" s="28"/>
      <c r="E913" s="28"/>
      <c r="F913" s="28"/>
      <c r="G913" s="28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33">
        <f t="shared" si="1"/>
        <v>0</v>
      </c>
      <c r="W913" s="27"/>
      <c r="X913" s="27"/>
      <c r="Y913" s="27"/>
      <c r="Z913" s="27"/>
      <c r="AA913" s="27"/>
    </row>
    <row r="914">
      <c r="A914" s="28"/>
      <c r="B914" s="28"/>
      <c r="C914" s="28"/>
      <c r="D914" s="28"/>
      <c r="E914" s="28"/>
      <c r="F914" s="28"/>
      <c r="G914" s="28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33">
        <f t="shared" si="1"/>
        <v>0</v>
      </c>
      <c r="W914" s="27"/>
      <c r="X914" s="27"/>
      <c r="Y914" s="27"/>
      <c r="Z914" s="27"/>
      <c r="AA914" s="27"/>
    </row>
    <row r="915">
      <c r="A915" s="28"/>
      <c r="B915" s="28"/>
      <c r="C915" s="28"/>
      <c r="D915" s="28"/>
      <c r="E915" s="28"/>
      <c r="F915" s="28"/>
      <c r="G915" s="28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33">
        <f t="shared" si="1"/>
        <v>0</v>
      </c>
      <c r="W915" s="27"/>
      <c r="X915" s="27"/>
      <c r="Y915" s="27"/>
      <c r="Z915" s="27"/>
      <c r="AA915" s="27"/>
    </row>
    <row r="916">
      <c r="A916" s="28"/>
      <c r="B916" s="28"/>
      <c r="C916" s="28"/>
      <c r="D916" s="28"/>
      <c r="E916" s="28"/>
      <c r="F916" s="28"/>
      <c r="G916" s="28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33">
        <f t="shared" si="1"/>
        <v>0</v>
      </c>
      <c r="W916" s="27"/>
      <c r="X916" s="27"/>
      <c r="Y916" s="27"/>
      <c r="Z916" s="27"/>
      <c r="AA916" s="27"/>
    </row>
    <row r="917">
      <c r="A917" s="28"/>
      <c r="B917" s="28"/>
      <c r="C917" s="28"/>
      <c r="D917" s="28"/>
      <c r="E917" s="28"/>
      <c r="F917" s="28"/>
      <c r="G917" s="28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33">
        <f t="shared" si="1"/>
        <v>0</v>
      </c>
      <c r="W917" s="27"/>
      <c r="X917" s="27"/>
      <c r="Y917" s="27"/>
      <c r="Z917" s="27"/>
      <c r="AA917" s="27"/>
    </row>
    <row r="918">
      <c r="A918" s="28"/>
      <c r="B918" s="28"/>
      <c r="C918" s="28"/>
      <c r="D918" s="28"/>
      <c r="E918" s="28"/>
      <c r="F918" s="28"/>
      <c r="G918" s="28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33">
        <f t="shared" si="1"/>
        <v>0</v>
      </c>
      <c r="W918" s="27"/>
      <c r="X918" s="27"/>
      <c r="Y918" s="27"/>
      <c r="Z918" s="27"/>
      <c r="AA918" s="27"/>
    </row>
    <row r="919">
      <c r="A919" s="28"/>
      <c r="B919" s="28"/>
      <c r="C919" s="28"/>
      <c r="D919" s="28"/>
      <c r="E919" s="28"/>
      <c r="F919" s="28"/>
      <c r="G919" s="28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33">
        <f t="shared" si="1"/>
        <v>0</v>
      </c>
      <c r="W919" s="27"/>
      <c r="X919" s="27"/>
      <c r="Y919" s="27"/>
      <c r="Z919" s="27"/>
      <c r="AA919" s="27"/>
    </row>
    <row r="920">
      <c r="A920" s="28"/>
      <c r="B920" s="28"/>
      <c r="C920" s="28"/>
      <c r="D920" s="28"/>
      <c r="E920" s="28"/>
      <c r="F920" s="28"/>
      <c r="G920" s="28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33">
        <f t="shared" si="1"/>
        <v>0</v>
      </c>
      <c r="W920" s="27"/>
      <c r="X920" s="27"/>
      <c r="Y920" s="27"/>
      <c r="Z920" s="27"/>
      <c r="AA920" s="27"/>
    </row>
    <row r="921">
      <c r="A921" s="28"/>
      <c r="B921" s="28"/>
      <c r="C921" s="28"/>
      <c r="D921" s="28"/>
      <c r="E921" s="28"/>
      <c r="F921" s="28"/>
      <c r="G921" s="28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33">
        <f t="shared" si="1"/>
        <v>0</v>
      </c>
      <c r="W921" s="27"/>
      <c r="X921" s="27"/>
      <c r="Y921" s="27"/>
      <c r="Z921" s="27"/>
      <c r="AA921" s="27"/>
    </row>
    <row r="922">
      <c r="A922" s="28"/>
      <c r="B922" s="28"/>
      <c r="C922" s="28"/>
      <c r="D922" s="28"/>
      <c r="E922" s="28"/>
      <c r="F922" s="28"/>
      <c r="G922" s="28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33">
        <f t="shared" si="1"/>
        <v>0</v>
      </c>
      <c r="W922" s="27"/>
      <c r="X922" s="27"/>
      <c r="Y922" s="27"/>
      <c r="Z922" s="27"/>
      <c r="AA922" s="27"/>
    </row>
    <row r="923">
      <c r="A923" s="28"/>
      <c r="B923" s="28"/>
      <c r="C923" s="28"/>
      <c r="D923" s="28"/>
      <c r="E923" s="28"/>
      <c r="F923" s="28"/>
      <c r="G923" s="28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33">
        <f t="shared" si="1"/>
        <v>0</v>
      </c>
      <c r="W923" s="27"/>
      <c r="X923" s="27"/>
      <c r="Y923" s="27"/>
      <c r="Z923" s="27"/>
      <c r="AA923" s="27"/>
    </row>
    <row r="924">
      <c r="A924" s="28"/>
      <c r="B924" s="28"/>
      <c r="C924" s="28"/>
      <c r="D924" s="28"/>
      <c r="E924" s="28"/>
      <c r="F924" s="28"/>
      <c r="G924" s="28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33">
        <f t="shared" si="1"/>
        <v>0</v>
      </c>
      <c r="W924" s="27"/>
      <c r="X924" s="27"/>
      <c r="Y924" s="27"/>
      <c r="Z924" s="27"/>
      <c r="AA924" s="27"/>
    </row>
    <row r="925">
      <c r="A925" s="28"/>
      <c r="B925" s="28"/>
      <c r="C925" s="28"/>
      <c r="D925" s="28"/>
      <c r="E925" s="28"/>
      <c r="F925" s="28"/>
      <c r="G925" s="28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33">
        <f t="shared" si="1"/>
        <v>0</v>
      </c>
      <c r="W925" s="27"/>
      <c r="X925" s="27"/>
      <c r="Y925" s="27"/>
      <c r="Z925" s="27"/>
      <c r="AA925" s="27"/>
    </row>
    <row r="926">
      <c r="A926" s="28"/>
      <c r="B926" s="28"/>
      <c r="C926" s="28"/>
      <c r="D926" s="28"/>
      <c r="E926" s="28"/>
      <c r="F926" s="28"/>
      <c r="G926" s="28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33">
        <f t="shared" si="1"/>
        <v>0</v>
      </c>
      <c r="W926" s="27"/>
      <c r="X926" s="27"/>
      <c r="Y926" s="27"/>
      <c r="Z926" s="27"/>
      <c r="AA926" s="27"/>
    </row>
    <row r="927">
      <c r="A927" s="28"/>
      <c r="B927" s="28"/>
      <c r="C927" s="28"/>
      <c r="D927" s="28"/>
      <c r="E927" s="28"/>
      <c r="F927" s="28"/>
      <c r="G927" s="28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33">
        <f t="shared" si="1"/>
        <v>0</v>
      </c>
      <c r="W927" s="27"/>
      <c r="X927" s="27"/>
      <c r="Y927" s="27"/>
      <c r="Z927" s="27"/>
      <c r="AA927" s="27"/>
    </row>
    <row r="928">
      <c r="A928" s="28"/>
      <c r="B928" s="28"/>
      <c r="C928" s="28"/>
      <c r="D928" s="28"/>
      <c r="E928" s="28"/>
      <c r="F928" s="28"/>
      <c r="G928" s="28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33">
        <f t="shared" si="1"/>
        <v>0</v>
      </c>
      <c r="W928" s="27"/>
      <c r="X928" s="27"/>
      <c r="Y928" s="27"/>
      <c r="Z928" s="27"/>
      <c r="AA928" s="27"/>
    </row>
    <row r="929">
      <c r="A929" s="28"/>
      <c r="B929" s="28"/>
      <c r="C929" s="28"/>
      <c r="D929" s="28"/>
      <c r="E929" s="28"/>
      <c r="F929" s="28"/>
      <c r="G929" s="28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33">
        <f t="shared" si="1"/>
        <v>0</v>
      </c>
      <c r="W929" s="27"/>
      <c r="X929" s="27"/>
      <c r="Y929" s="27"/>
      <c r="Z929" s="27"/>
      <c r="AA929" s="27"/>
    </row>
    <row r="930">
      <c r="A930" s="28"/>
      <c r="B930" s="28"/>
      <c r="C930" s="28"/>
      <c r="D930" s="28"/>
      <c r="E930" s="28"/>
      <c r="F930" s="28"/>
      <c r="G930" s="28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33">
        <f t="shared" si="1"/>
        <v>0</v>
      </c>
      <c r="W930" s="27"/>
      <c r="X930" s="27"/>
      <c r="Y930" s="27"/>
      <c r="Z930" s="27"/>
      <c r="AA930" s="27"/>
    </row>
    <row r="931">
      <c r="A931" s="28"/>
      <c r="B931" s="28"/>
      <c r="C931" s="28"/>
      <c r="D931" s="28"/>
      <c r="E931" s="28"/>
      <c r="F931" s="28"/>
      <c r="G931" s="28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33">
        <f t="shared" si="1"/>
        <v>0</v>
      </c>
      <c r="W931" s="27"/>
      <c r="X931" s="27"/>
      <c r="Y931" s="27"/>
      <c r="Z931" s="27"/>
      <c r="AA931" s="27"/>
    </row>
    <row r="932">
      <c r="A932" s="28"/>
      <c r="B932" s="28"/>
      <c r="C932" s="28"/>
      <c r="D932" s="28"/>
      <c r="E932" s="28"/>
      <c r="F932" s="28"/>
      <c r="G932" s="28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33">
        <f t="shared" si="1"/>
        <v>0</v>
      </c>
      <c r="W932" s="27"/>
      <c r="X932" s="27"/>
      <c r="Y932" s="27"/>
      <c r="Z932" s="27"/>
      <c r="AA932" s="27"/>
    </row>
    <row r="933">
      <c r="A933" s="28"/>
      <c r="B933" s="28"/>
      <c r="C933" s="28"/>
      <c r="D933" s="28"/>
      <c r="E933" s="28"/>
      <c r="F933" s="28"/>
      <c r="G933" s="28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33">
        <f t="shared" si="1"/>
        <v>0</v>
      </c>
      <c r="W933" s="27"/>
      <c r="X933" s="27"/>
      <c r="Y933" s="27"/>
      <c r="Z933" s="27"/>
      <c r="AA933" s="27"/>
    </row>
    <row r="934">
      <c r="A934" s="28"/>
      <c r="B934" s="28"/>
      <c r="C934" s="28"/>
      <c r="D934" s="28"/>
      <c r="E934" s="28"/>
      <c r="F934" s="28"/>
      <c r="G934" s="28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33">
        <f t="shared" si="1"/>
        <v>0</v>
      </c>
      <c r="W934" s="27"/>
      <c r="X934" s="27"/>
      <c r="Y934" s="27"/>
      <c r="Z934" s="27"/>
      <c r="AA934" s="27"/>
    </row>
    <row r="935">
      <c r="A935" s="28"/>
      <c r="B935" s="28"/>
      <c r="C935" s="28"/>
      <c r="D935" s="28"/>
      <c r="E935" s="28"/>
      <c r="F935" s="28"/>
      <c r="G935" s="28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33">
        <f t="shared" si="1"/>
        <v>0</v>
      </c>
      <c r="W935" s="27"/>
      <c r="X935" s="27"/>
      <c r="Y935" s="27"/>
      <c r="Z935" s="27"/>
      <c r="AA935" s="27"/>
    </row>
    <row r="936">
      <c r="A936" s="28"/>
      <c r="B936" s="28"/>
      <c r="C936" s="28"/>
      <c r="D936" s="28"/>
      <c r="E936" s="28"/>
      <c r="F936" s="28"/>
      <c r="G936" s="28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33">
        <f t="shared" si="1"/>
        <v>0</v>
      </c>
      <c r="W936" s="27"/>
      <c r="X936" s="27"/>
      <c r="Y936" s="27"/>
      <c r="Z936" s="27"/>
      <c r="AA936" s="27"/>
    </row>
    <row r="937">
      <c r="A937" s="28"/>
      <c r="B937" s="28"/>
      <c r="C937" s="28"/>
      <c r="D937" s="28"/>
      <c r="E937" s="28"/>
      <c r="F937" s="28"/>
      <c r="G937" s="28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33">
        <f t="shared" si="1"/>
        <v>0</v>
      </c>
      <c r="W937" s="27"/>
      <c r="X937" s="27"/>
      <c r="Y937" s="27"/>
      <c r="Z937" s="27"/>
      <c r="AA937" s="27"/>
    </row>
    <row r="938">
      <c r="A938" s="28"/>
      <c r="B938" s="28"/>
      <c r="C938" s="28"/>
      <c r="D938" s="28"/>
      <c r="E938" s="28"/>
      <c r="F938" s="28"/>
      <c r="G938" s="28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33">
        <f t="shared" si="1"/>
        <v>0</v>
      </c>
      <c r="W938" s="27"/>
      <c r="X938" s="27"/>
      <c r="Y938" s="27"/>
      <c r="Z938" s="27"/>
      <c r="AA938" s="27"/>
    </row>
    <row r="939">
      <c r="A939" s="28"/>
      <c r="B939" s="28"/>
      <c r="C939" s="28"/>
      <c r="D939" s="28"/>
      <c r="E939" s="28"/>
      <c r="F939" s="28"/>
      <c r="G939" s="28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33">
        <f t="shared" si="1"/>
        <v>0</v>
      </c>
      <c r="W939" s="27"/>
      <c r="X939" s="27"/>
      <c r="Y939" s="27"/>
      <c r="Z939" s="27"/>
      <c r="AA939" s="27"/>
    </row>
    <row r="940">
      <c r="A940" s="28"/>
      <c r="B940" s="28"/>
      <c r="C940" s="28"/>
      <c r="D940" s="28"/>
      <c r="E940" s="28"/>
      <c r="F940" s="28"/>
      <c r="G940" s="28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33">
        <f t="shared" si="1"/>
        <v>0</v>
      </c>
      <c r="W940" s="27"/>
      <c r="X940" s="27"/>
      <c r="Y940" s="27"/>
      <c r="Z940" s="27"/>
      <c r="AA940" s="27"/>
    </row>
    <row r="941">
      <c r="A941" s="28"/>
      <c r="B941" s="28"/>
      <c r="C941" s="28"/>
      <c r="D941" s="28"/>
      <c r="E941" s="28"/>
      <c r="F941" s="28"/>
      <c r="G941" s="28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33">
        <f t="shared" si="1"/>
        <v>0</v>
      </c>
      <c r="W941" s="27"/>
      <c r="X941" s="27"/>
      <c r="Y941" s="27"/>
      <c r="Z941" s="27"/>
      <c r="AA941" s="27"/>
    </row>
    <row r="942">
      <c r="A942" s="28"/>
      <c r="B942" s="28"/>
      <c r="C942" s="28"/>
      <c r="D942" s="28"/>
      <c r="E942" s="28"/>
      <c r="F942" s="28"/>
      <c r="G942" s="28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33">
        <f t="shared" si="1"/>
        <v>0</v>
      </c>
      <c r="W942" s="27"/>
      <c r="X942" s="27"/>
      <c r="Y942" s="27"/>
      <c r="Z942" s="27"/>
      <c r="AA942" s="27"/>
    </row>
    <row r="943">
      <c r="A943" s="28"/>
      <c r="B943" s="28"/>
      <c r="C943" s="28"/>
      <c r="D943" s="28"/>
      <c r="E943" s="28"/>
      <c r="F943" s="28"/>
      <c r="G943" s="28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33">
        <f t="shared" si="1"/>
        <v>0</v>
      </c>
      <c r="W943" s="27"/>
      <c r="X943" s="27"/>
      <c r="Y943" s="27"/>
      <c r="Z943" s="27"/>
      <c r="AA943" s="27"/>
    </row>
    <row r="944">
      <c r="A944" s="28"/>
      <c r="B944" s="28"/>
      <c r="C944" s="28"/>
      <c r="D944" s="28"/>
      <c r="E944" s="28"/>
      <c r="F944" s="28"/>
      <c r="G944" s="28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33">
        <f t="shared" si="1"/>
        <v>0</v>
      </c>
      <c r="W944" s="27"/>
      <c r="X944" s="27"/>
      <c r="Y944" s="27"/>
      <c r="Z944" s="27"/>
      <c r="AA944" s="27"/>
    </row>
    <row r="945">
      <c r="A945" s="28"/>
      <c r="B945" s="28"/>
      <c r="C945" s="28"/>
      <c r="D945" s="28"/>
      <c r="E945" s="28"/>
      <c r="F945" s="28"/>
      <c r="G945" s="28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33">
        <f t="shared" si="1"/>
        <v>0</v>
      </c>
      <c r="W945" s="27"/>
      <c r="X945" s="27"/>
      <c r="Y945" s="27"/>
      <c r="Z945" s="27"/>
      <c r="AA945" s="27"/>
    </row>
    <row r="946">
      <c r="A946" s="28"/>
      <c r="B946" s="28"/>
      <c r="C946" s="28"/>
      <c r="D946" s="28"/>
      <c r="E946" s="28"/>
      <c r="F946" s="28"/>
      <c r="G946" s="28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33">
        <f t="shared" si="1"/>
        <v>0</v>
      </c>
      <c r="W946" s="27"/>
      <c r="X946" s="27"/>
      <c r="Y946" s="27"/>
      <c r="Z946" s="27"/>
      <c r="AA946" s="27"/>
    </row>
    <row r="947">
      <c r="A947" s="28"/>
      <c r="B947" s="28"/>
      <c r="C947" s="28"/>
      <c r="D947" s="28"/>
      <c r="E947" s="28"/>
      <c r="F947" s="28"/>
      <c r="G947" s="28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33">
        <f t="shared" si="1"/>
        <v>0</v>
      </c>
      <c r="W947" s="27"/>
      <c r="X947" s="27"/>
      <c r="Y947" s="27"/>
      <c r="Z947" s="27"/>
      <c r="AA947" s="27"/>
    </row>
    <row r="948">
      <c r="A948" s="28"/>
      <c r="B948" s="28"/>
      <c r="C948" s="28"/>
      <c r="D948" s="28"/>
      <c r="E948" s="28"/>
      <c r="F948" s="28"/>
      <c r="G948" s="28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33">
        <f t="shared" si="1"/>
        <v>0</v>
      </c>
      <c r="W948" s="27"/>
      <c r="X948" s="27"/>
      <c r="Y948" s="27"/>
      <c r="Z948" s="27"/>
      <c r="AA948" s="27"/>
    </row>
    <row r="949">
      <c r="A949" s="28"/>
      <c r="B949" s="28"/>
      <c r="C949" s="28"/>
      <c r="D949" s="28"/>
      <c r="E949" s="28"/>
      <c r="F949" s="28"/>
      <c r="G949" s="28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33">
        <f t="shared" si="1"/>
        <v>0</v>
      </c>
      <c r="W949" s="27"/>
      <c r="X949" s="27"/>
      <c r="Y949" s="27"/>
      <c r="Z949" s="27"/>
      <c r="AA949" s="27"/>
    </row>
    <row r="950">
      <c r="A950" s="28"/>
      <c r="B950" s="28"/>
      <c r="C950" s="28"/>
      <c r="D950" s="28"/>
      <c r="E950" s="28"/>
      <c r="F950" s="28"/>
      <c r="G950" s="28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33">
        <f t="shared" si="1"/>
        <v>0</v>
      </c>
      <c r="W950" s="27"/>
      <c r="X950" s="27"/>
      <c r="Y950" s="27"/>
      <c r="Z950" s="27"/>
      <c r="AA950" s="27"/>
    </row>
    <row r="951">
      <c r="A951" s="28"/>
      <c r="B951" s="28"/>
      <c r="C951" s="28"/>
      <c r="D951" s="28"/>
      <c r="E951" s="28"/>
      <c r="F951" s="28"/>
      <c r="G951" s="28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33">
        <f t="shared" si="1"/>
        <v>0</v>
      </c>
      <c r="W951" s="27"/>
      <c r="X951" s="27"/>
      <c r="Y951" s="27"/>
      <c r="Z951" s="27"/>
      <c r="AA951" s="27"/>
    </row>
    <row r="952">
      <c r="A952" s="28"/>
      <c r="B952" s="28"/>
      <c r="C952" s="28"/>
      <c r="D952" s="28"/>
      <c r="E952" s="28"/>
      <c r="F952" s="28"/>
      <c r="G952" s="28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33">
        <f t="shared" si="1"/>
        <v>0</v>
      </c>
      <c r="W952" s="27"/>
      <c r="X952" s="27"/>
      <c r="Y952" s="27"/>
      <c r="Z952" s="27"/>
      <c r="AA952" s="27"/>
    </row>
    <row r="953">
      <c r="A953" s="28"/>
      <c r="B953" s="28"/>
      <c r="C953" s="28"/>
      <c r="D953" s="28"/>
      <c r="E953" s="28"/>
      <c r="F953" s="28"/>
      <c r="G953" s="28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33">
        <f t="shared" si="1"/>
        <v>0</v>
      </c>
      <c r="W953" s="27"/>
      <c r="X953" s="27"/>
      <c r="Y953" s="27"/>
      <c r="Z953" s="27"/>
      <c r="AA953" s="27"/>
    </row>
    <row r="954">
      <c r="A954" s="28"/>
      <c r="B954" s="28"/>
      <c r="C954" s="28"/>
      <c r="D954" s="28"/>
      <c r="E954" s="28"/>
      <c r="F954" s="28"/>
      <c r="G954" s="28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33">
        <f t="shared" si="1"/>
        <v>0</v>
      </c>
      <c r="W954" s="27"/>
      <c r="X954" s="27"/>
      <c r="Y954" s="27"/>
      <c r="Z954" s="27"/>
      <c r="AA954" s="27"/>
    </row>
    <row r="955">
      <c r="A955" s="28"/>
      <c r="B955" s="28"/>
      <c r="C955" s="28"/>
      <c r="D955" s="28"/>
      <c r="E955" s="28"/>
      <c r="F955" s="28"/>
      <c r="G955" s="28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33">
        <f t="shared" si="1"/>
        <v>0</v>
      </c>
      <c r="W955" s="27"/>
      <c r="X955" s="27"/>
      <c r="Y955" s="27"/>
      <c r="Z955" s="27"/>
      <c r="AA955" s="27"/>
    </row>
    <row r="956">
      <c r="A956" s="28"/>
      <c r="B956" s="28"/>
      <c r="C956" s="28"/>
      <c r="D956" s="28"/>
      <c r="E956" s="28"/>
      <c r="F956" s="28"/>
      <c r="G956" s="28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33">
        <f t="shared" si="1"/>
        <v>0</v>
      </c>
      <c r="W956" s="27"/>
      <c r="X956" s="27"/>
      <c r="Y956" s="27"/>
      <c r="Z956" s="27"/>
      <c r="AA956" s="27"/>
    </row>
    <row r="957">
      <c r="A957" s="28"/>
      <c r="B957" s="28"/>
      <c r="C957" s="28"/>
      <c r="D957" s="28"/>
      <c r="E957" s="28"/>
      <c r="F957" s="28"/>
      <c r="G957" s="28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33">
        <f t="shared" si="1"/>
        <v>0</v>
      </c>
      <c r="W957" s="27"/>
      <c r="X957" s="27"/>
      <c r="Y957" s="27"/>
      <c r="Z957" s="27"/>
      <c r="AA957" s="27"/>
    </row>
    <row r="958">
      <c r="A958" s="28"/>
      <c r="B958" s="28"/>
      <c r="C958" s="28"/>
      <c r="D958" s="28"/>
      <c r="E958" s="28"/>
      <c r="F958" s="28"/>
      <c r="G958" s="28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33">
        <f t="shared" si="1"/>
        <v>0</v>
      </c>
      <c r="W958" s="27"/>
      <c r="X958" s="27"/>
      <c r="Y958" s="27"/>
      <c r="Z958" s="27"/>
      <c r="AA958" s="27"/>
    </row>
    <row r="959">
      <c r="A959" s="28"/>
      <c r="B959" s="28"/>
      <c r="C959" s="28"/>
      <c r="D959" s="28"/>
      <c r="E959" s="28"/>
      <c r="F959" s="28"/>
      <c r="G959" s="28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33">
        <f t="shared" si="1"/>
        <v>0</v>
      </c>
      <c r="W959" s="27"/>
      <c r="X959" s="27"/>
      <c r="Y959" s="27"/>
      <c r="Z959" s="27"/>
      <c r="AA959" s="27"/>
    </row>
    <row r="960">
      <c r="A960" s="28"/>
      <c r="B960" s="28"/>
      <c r="C960" s="28"/>
      <c r="D960" s="28"/>
      <c r="E960" s="28"/>
      <c r="F960" s="28"/>
      <c r="G960" s="28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33">
        <f t="shared" si="1"/>
        <v>0</v>
      </c>
      <c r="W960" s="27"/>
      <c r="X960" s="27"/>
      <c r="Y960" s="27"/>
      <c r="Z960" s="27"/>
      <c r="AA960" s="27"/>
    </row>
    <row r="961">
      <c r="A961" s="28"/>
      <c r="B961" s="28"/>
      <c r="C961" s="28"/>
      <c r="D961" s="28"/>
      <c r="E961" s="28"/>
      <c r="F961" s="28"/>
      <c r="G961" s="28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33">
        <f t="shared" si="1"/>
        <v>0</v>
      </c>
      <c r="W961" s="27"/>
      <c r="X961" s="27"/>
      <c r="Y961" s="27"/>
      <c r="Z961" s="27"/>
      <c r="AA961" s="27"/>
    </row>
    <row r="962">
      <c r="A962" s="28"/>
      <c r="B962" s="28"/>
      <c r="C962" s="28"/>
      <c r="D962" s="28"/>
      <c r="E962" s="28"/>
      <c r="F962" s="28"/>
      <c r="G962" s="28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33">
        <f t="shared" si="1"/>
        <v>0</v>
      </c>
      <c r="W962" s="27"/>
      <c r="X962" s="27"/>
      <c r="Y962" s="27"/>
      <c r="Z962" s="27"/>
      <c r="AA962" s="27"/>
    </row>
    <row r="963">
      <c r="A963" s="28"/>
      <c r="B963" s="28"/>
      <c r="C963" s="28"/>
      <c r="D963" s="28"/>
      <c r="E963" s="28"/>
      <c r="F963" s="28"/>
      <c r="G963" s="28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33">
        <f t="shared" si="1"/>
        <v>0</v>
      </c>
      <c r="W963" s="27"/>
      <c r="X963" s="27"/>
      <c r="Y963" s="27"/>
      <c r="Z963" s="27"/>
      <c r="AA963" s="27"/>
    </row>
    <row r="964">
      <c r="A964" s="28"/>
      <c r="B964" s="28"/>
      <c r="C964" s="28"/>
      <c r="D964" s="28"/>
      <c r="E964" s="28"/>
      <c r="F964" s="28"/>
      <c r="G964" s="28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33">
        <f t="shared" si="1"/>
        <v>0</v>
      </c>
      <c r="W964" s="27"/>
      <c r="X964" s="27"/>
      <c r="Y964" s="27"/>
      <c r="Z964" s="27"/>
      <c r="AA964" s="27"/>
    </row>
    <row r="965">
      <c r="A965" s="28"/>
      <c r="B965" s="28"/>
      <c r="C965" s="28"/>
      <c r="D965" s="28"/>
      <c r="E965" s="28"/>
      <c r="F965" s="28"/>
      <c r="G965" s="28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33">
        <f t="shared" si="1"/>
        <v>0</v>
      </c>
      <c r="W965" s="27"/>
      <c r="X965" s="27"/>
      <c r="Y965" s="27"/>
      <c r="Z965" s="27"/>
      <c r="AA965" s="27"/>
    </row>
    <row r="966">
      <c r="A966" s="28"/>
      <c r="B966" s="28"/>
      <c r="C966" s="28"/>
      <c r="D966" s="28"/>
      <c r="E966" s="28"/>
      <c r="F966" s="28"/>
      <c r="G966" s="28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33">
        <f t="shared" si="1"/>
        <v>0</v>
      </c>
      <c r="W966" s="27"/>
      <c r="X966" s="27"/>
      <c r="Y966" s="27"/>
      <c r="Z966" s="27"/>
      <c r="AA966" s="27"/>
    </row>
    <row r="967">
      <c r="A967" s="28"/>
      <c r="B967" s="28"/>
      <c r="C967" s="28"/>
      <c r="D967" s="28"/>
      <c r="E967" s="28"/>
      <c r="F967" s="28"/>
      <c r="G967" s="28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33">
        <f t="shared" si="1"/>
        <v>0</v>
      </c>
      <c r="W967" s="27"/>
      <c r="X967" s="27"/>
      <c r="Y967" s="27"/>
      <c r="Z967" s="27"/>
      <c r="AA967" s="27"/>
    </row>
    <row r="968">
      <c r="A968" s="28"/>
      <c r="B968" s="28"/>
      <c r="C968" s="28"/>
      <c r="D968" s="28"/>
      <c r="E968" s="28"/>
      <c r="F968" s="28"/>
      <c r="G968" s="28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33">
        <f t="shared" si="1"/>
        <v>0</v>
      </c>
      <c r="W968" s="27"/>
      <c r="X968" s="27"/>
      <c r="Y968" s="27"/>
      <c r="Z968" s="27"/>
      <c r="AA968" s="27"/>
    </row>
    <row r="969">
      <c r="A969" s="28"/>
      <c r="B969" s="28"/>
      <c r="C969" s="28"/>
      <c r="D969" s="28"/>
      <c r="E969" s="28"/>
      <c r="F969" s="28"/>
      <c r="G969" s="28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33">
        <f t="shared" si="1"/>
        <v>0</v>
      </c>
      <c r="W969" s="27"/>
      <c r="X969" s="27"/>
      <c r="Y969" s="27"/>
      <c r="Z969" s="27"/>
      <c r="AA969" s="27"/>
    </row>
    <row r="970">
      <c r="A970" s="28"/>
      <c r="B970" s="28"/>
      <c r="C970" s="28"/>
      <c r="D970" s="28"/>
      <c r="E970" s="28"/>
      <c r="F970" s="28"/>
      <c r="G970" s="28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33">
        <f t="shared" si="1"/>
        <v>0</v>
      </c>
      <c r="W970" s="27"/>
      <c r="X970" s="27"/>
      <c r="Y970" s="27"/>
      <c r="Z970" s="27"/>
      <c r="AA970" s="27"/>
    </row>
    <row r="971">
      <c r="A971" s="28"/>
      <c r="B971" s="28"/>
      <c r="C971" s="28"/>
      <c r="D971" s="28"/>
      <c r="E971" s="28"/>
      <c r="F971" s="28"/>
      <c r="G971" s="28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33">
        <f t="shared" si="1"/>
        <v>0</v>
      </c>
      <c r="W971" s="27"/>
      <c r="X971" s="27"/>
      <c r="Y971" s="27"/>
      <c r="Z971" s="27"/>
      <c r="AA971" s="27"/>
    </row>
    <row r="972">
      <c r="A972" s="28"/>
      <c r="B972" s="28"/>
      <c r="C972" s="28"/>
      <c r="D972" s="28"/>
      <c r="E972" s="28"/>
      <c r="F972" s="28"/>
      <c r="G972" s="28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33">
        <f t="shared" si="1"/>
        <v>0</v>
      </c>
      <c r="W972" s="27"/>
      <c r="X972" s="27"/>
      <c r="Y972" s="27"/>
      <c r="Z972" s="27"/>
      <c r="AA972" s="27"/>
    </row>
    <row r="973">
      <c r="A973" s="28"/>
      <c r="B973" s="28"/>
      <c r="C973" s="28"/>
      <c r="D973" s="28"/>
      <c r="E973" s="28"/>
      <c r="F973" s="28"/>
      <c r="G973" s="28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33">
        <f t="shared" si="1"/>
        <v>0</v>
      </c>
      <c r="W973" s="27"/>
      <c r="X973" s="27"/>
      <c r="Y973" s="27"/>
      <c r="Z973" s="27"/>
      <c r="AA973" s="27"/>
    </row>
    <row r="974">
      <c r="A974" s="28"/>
      <c r="B974" s="28"/>
      <c r="C974" s="28"/>
      <c r="D974" s="28"/>
      <c r="E974" s="28"/>
      <c r="F974" s="28"/>
      <c r="G974" s="28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33">
        <f t="shared" si="1"/>
        <v>0</v>
      </c>
      <c r="W974" s="27"/>
      <c r="X974" s="27"/>
      <c r="Y974" s="27"/>
      <c r="Z974" s="27"/>
      <c r="AA974" s="27"/>
    </row>
    <row r="975">
      <c r="A975" s="28"/>
      <c r="B975" s="28"/>
      <c r="C975" s="28"/>
      <c r="D975" s="28"/>
      <c r="E975" s="28"/>
      <c r="F975" s="28"/>
      <c r="G975" s="28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33">
        <f t="shared" si="1"/>
        <v>0</v>
      </c>
      <c r="W975" s="27"/>
      <c r="X975" s="27"/>
      <c r="Y975" s="27"/>
      <c r="Z975" s="27"/>
      <c r="AA975" s="27"/>
    </row>
    <row r="976">
      <c r="A976" s="28"/>
      <c r="B976" s="28"/>
      <c r="C976" s="28"/>
      <c r="D976" s="28"/>
      <c r="E976" s="28"/>
      <c r="F976" s="28"/>
      <c r="G976" s="28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33">
        <f t="shared" si="1"/>
        <v>0</v>
      </c>
      <c r="W976" s="27"/>
      <c r="X976" s="27"/>
      <c r="Y976" s="27"/>
      <c r="Z976" s="27"/>
      <c r="AA976" s="27"/>
    </row>
    <row r="977">
      <c r="A977" s="28"/>
      <c r="B977" s="28"/>
      <c r="C977" s="28"/>
      <c r="D977" s="28"/>
      <c r="E977" s="28"/>
      <c r="F977" s="28"/>
      <c r="G977" s="28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33">
        <f t="shared" si="1"/>
        <v>0</v>
      </c>
      <c r="W977" s="27"/>
      <c r="X977" s="27"/>
      <c r="Y977" s="27"/>
      <c r="Z977" s="27"/>
      <c r="AA977" s="27"/>
    </row>
    <row r="978">
      <c r="A978" s="28"/>
      <c r="B978" s="28"/>
      <c r="C978" s="28"/>
      <c r="D978" s="28"/>
      <c r="E978" s="28"/>
      <c r="F978" s="28"/>
      <c r="G978" s="28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33">
        <f t="shared" si="1"/>
        <v>0</v>
      </c>
      <c r="W978" s="27"/>
      <c r="X978" s="27"/>
      <c r="Y978" s="27"/>
      <c r="Z978" s="27"/>
      <c r="AA978" s="27"/>
    </row>
    <row r="979">
      <c r="A979" s="28"/>
      <c r="B979" s="28"/>
      <c r="C979" s="28"/>
      <c r="D979" s="28"/>
      <c r="E979" s="28"/>
      <c r="F979" s="28"/>
      <c r="G979" s="28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33">
        <f t="shared" si="1"/>
        <v>0</v>
      </c>
      <c r="W979" s="27"/>
      <c r="X979" s="27"/>
      <c r="Y979" s="27"/>
      <c r="Z979" s="27"/>
      <c r="AA979" s="27"/>
    </row>
    <row r="980">
      <c r="A980" s="28"/>
      <c r="B980" s="28"/>
      <c r="C980" s="28"/>
      <c r="D980" s="28"/>
      <c r="E980" s="28"/>
      <c r="F980" s="28"/>
      <c r="G980" s="28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33">
        <f t="shared" si="1"/>
        <v>0</v>
      </c>
      <c r="W980" s="27"/>
      <c r="X980" s="27"/>
      <c r="Y980" s="27"/>
      <c r="Z980" s="27"/>
      <c r="AA980" s="27"/>
    </row>
    <row r="981">
      <c r="A981" s="28"/>
      <c r="B981" s="28"/>
      <c r="C981" s="28"/>
      <c r="D981" s="28"/>
      <c r="E981" s="28"/>
      <c r="F981" s="28"/>
      <c r="G981" s="28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33">
        <f t="shared" si="1"/>
        <v>0</v>
      </c>
      <c r="W981" s="27"/>
      <c r="X981" s="27"/>
      <c r="Y981" s="27"/>
      <c r="Z981" s="27"/>
      <c r="AA981" s="27"/>
    </row>
    <row r="982">
      <c r="A982" s="28"/>
      <c r="B982" s="28"/>
      <c r="C982" s="28"/>
      <c r="D982" s="28"/>
      <c r="E982" s="28"/>
      <c r="F982" s="28"/>
      <c r="G982" s="28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33">
        <f t="shared" si="1"/>
        <v>0</v>
      </c>
      <c r="W982" s="27"/>
      <c r="X982" s="27"/>
      <c r="Y982" s="27"/>
      <c r="Z982" s="27"/>
      <c r="AA982" s="27"/>
    </row>
    <row r="983">
      <c r="A983" s="28"/>
      <c r="B983" s="28"/>
      <c r="C983" s="28"/>
      <c r="D983" s="28"/>
      <c r="E983" s="28"/>
      <c r="F983" s="28"/>
      <c r="G983" s="28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33">
        <f t="shared" si="1"/>
        <v>0</v>
      </c>
      <c r="W983" s="27"/>
      <c r="X983" s="27"/>
      <c r="Y983" s="27"/>
      <c r="Z983" s="27"/>
      <c r="AA983" s="27"/>
    </row>
    <row r="984">
      <c r="A984" s="28"/>
      <c r="B984" s="28"/>
      <c r="C984" s="28"/>
      <c r="D984" s="28"/>
      <c r="E984" s="28"/>
      <c r="F984" s="28"/>
      <c r="G984" s="28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33">
        <f t="shared" si="1"/>
        <v>0</v>
      </c>
      <c r="W984" s="27"/>
      <c r="X984" s="27"/>
      <c r="Y984" s="27"/>
      <c r="Z984" s="27"/>
      <c r="AA984" s="27"/>
    </row>
    <row r="985">
      <c r="A985" s="28"/>
      <c r="B985" s="28"/>
      <c r="C985" s="28"/>
      <c r="D985" s="28"/>
      <c r="E985" s="28"/>
      <c r="F985" s="28"/>
      <c r="G985" s="28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33">
        <f t="shared" si="1"/>
        <v>0</v>
      </c>
      <c r="W985" s="27"/>
      <c r="X985" s="27"/>
      <c r="Y985" s="27"/>
      <c r="Z985" s="27"/>
      <c r="AA985" s="27"/>
    </row>
    <row r="986">
      <c r="A986" s="28"/>
      <c r="B986" s="28"/>
      <c r="C986" s="28"/>
      <c r="D986" s="28"/>
      <c r="E986" s="28"/>
      <c r="F986" s="28"/>
      <c r="G986" s="28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33">
        <f t="shared" si="1"/>
        <v>0</v>
      </c>
      <c r="W986" s="27"/>
      <c r="X986" s="27"/>
      <c r="Y986" s="27"/>
      <c r="Z986" s="27"/>
      <c r="AA986" s="27"/>
    </row>
    <row r="987">
      <c r="A987" s="28"/>
      <c r="B987" s="28"/>
      <c r="C987" s="28"/>
      <c r="D987" s="28"/>
      <c r="E987" s="28"/>
      <c r="F987" s="28"/>
      <c r="G987" s="28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33">
        <f t="shared" si="1"/>
        <v>0</v>
      </c>
      <c r="W987" s="27"/>
      <c r="X987" s="27"/>
      <c r="Y987" s="27"/>
      <c r="Z987" s="27"/>
      <c r="AA987" s="27"/>
    </row>
    <row r="988">
      <c r="A988" s="28"/>
      <c r="B988" s="28"/>
      <c r="C988" s="28"/>
      <c r="D988" s="28"/>
      <c r="E988" s="28"/>
      <c r="F988" s="28"/>
      <c r="G988" s="28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33">
        <f t="shared" si="1"/>
        <v>0</v>
      </c>
      <c r="W988" s="27"/>
      <c r="X988" s="27"/>
      <c r="Y988" s="27"/>
      <c r="Z988" s="27"/>
      <c r="AA988" s="27"/>
    </row>
    <row r="989">
      <c r="A989" s="28"/>
      <c r="B989" s="28"/>
      <c r="C989" s="28"/>
      <c r="D989" s="28"/>
      <c r="E989" s="28"/>
      <c r="F989" s="28"/>
      <c r="G989" s="28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33">
        <f t="shared" si="1"/>
        <v>0</v>
      </c>
      <c r="W989" s="27"/>
      <c r="X989" s="27"/>
      <c r="Y989" s="27"/>
      <c r="Z989" s="27"/>
      <c r="AA989" s="27"/>
    </row>
    <row r="990">
      <c r="A990" s="28"/>
      <c r="B990" s="28"/>
      <c r="C990" s="28"/>
      <c r="D990" s="28"/>
      <c r="E990" s="28"/>
      <c r="F990" s="28"/>
      <c r="G990" s="28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33">
        <f t="shared" si="1"/>
        <v>0</v>
      </c>
      <c r="W990" s="27"/>
      <c r="X990" s="27"/>
      <c r="Y990" s="27"/>
      <c r="Z990" s="27"/>
      <c r="AA990" s="27"/>
    </row>
    <row r="991">
      <c r="A991" s="28"/>
      <c r="B991" s="28"/>
      <c r="C991" s="28"/>
      <c r="D991" s="28"/>
      <c r="E991" s="28"/>
      <c r="F991" s="28"/>
      <c r="G991" s="28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33">
        <f t="shared" si="1"/>
        <v>0</v>
      </c>
      <c r="W991" s="27"/>
      <c r="X991" s="27"/>
      <c r="Y991" s="27"/>
      <c r="Z991" s="27"/>
      <c r="AA991" s="27"/>
    </row>
    <row r="992">
      <c r="A992" s="28"/>
      <c r="B992" s="28"/>
      <c r="C992" s="28"/>
      <c r="D992" s="28"/>
      <c r="E992" s="28"/>
      <c r="F992" s="28"/>
      <c r="G992" s="28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33">
        <f t="shared" si="1"/>
        <v>0</v>
      </c>
      <c r="W992" s="27"/>
      <c r="X992" s="27"/>
      <c r="Y992" s="27"/>
      <c r="Z992" s="27"/>
      <c r="AA992" s="27"/>
    </row>
    <row r="993">
      <c r="A993" s="28"/>
      <c r="B993" s="28"/>
      <c r="C993" s="28"/>
      <c r="D993" s="28"/>
      <c r="E993" s="28"/>
      <c r="F993" s="28"/>
      <c r="G993" s="28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33">
        <f t="shared" si="1"/>
        <v>0</v>
      </c>
      <c r="W993" s="27"/>
      <c r="X993" s="27"/>
      <c r="Y993" s="27"/>
      <c r="Z993" s="27"/>
      <c r="AA993" s="27"/>
    </row>
    <row r="994">
      <c r="A994" s="28"/>
      <c r="B994" s="28"/>
      <c r="C994" s="28"/>
      <c r="D994" s="28"/>
      <c r="E994" s="28"/>
      <c r="F994" s="28"/>
      <c r="G994" s="28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33">
        <f t="shared" si="1"/>
        <v>0</v>
      </c>
      <c r="W994" s="27"/>
      <c r="X994" s="27"/>
      <c r="Y994" s="27"/>
      <c r="Z994" s="27"/>
      <c r="AA994" s="27"/>
    </row>
    <row r="995">
      <c r="A995" s="28"/>
      <c r="B995" s="28"/>
      <c r="C995" s="28"/>
      <c r="D995" s="28"/>
      <c r="E995" s="28"/>
      <c r="F995" s="28"/>
      <c r="G995" s="28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33">
        <f t="shared" si="1"/>
        <v>0</v>
      </c>
      <c r="W995" s="27"/>
      <c r="X995" s="27"/>
      <c r="Y995" s="27"/>
      <c r="Z995" s="27"/>
      <c r="AA995" s="27"/>
    </row>
    <row r="996">
      <c r="A996" s="28"/>
      <c r="B996" s="28"/>
      <c r="C996" s="28"/>
      <c r="D996" s="28"/>
      <c r="E996" s="28"/>
      <c r="F996" s="28"/>
      <c r="G996" s="28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33">
        <f t="shared" si="1"/>
        <v>0</v>
      </c>
      <c r="W996" s="27"/>
      <c r="X996" s="27"/>
      <c r="Y996" s="27"/>
      <c r="Z996" s="27"/>
      <c r="AA996" s="27"/>
    </row>
    <row r="997">
      <c r="A997" s="28"/>
      <c r="B997" s="28"/>
      <c r="C997" s="28"/>
      <c r="D997" s="28"/>
      <c r="E997" s="28"/>
      <c r="F997" s="28"/>
      <c r="G997" s="28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33">
        <f t="shared" si="1"/>
        <v>0</v>
      </c>
      <c r="W997" s="27"/>
      <c r="X997" s="27"/>
      <c r="Y997" s="27"/>
      <c r="Z997" s="27"/>
      <c r="AA997" s="27"/>
    </row>
    <row r="998">
      <c r="A998" s="28"/>
      <c r="B998" s="28"/>
      <c r="C998" s="28"/>
      <c r="D998" s="28"/>
      <c r="E998" s="28"/>
      <c r="F998" s="28"/>
      <c r="G998" s="28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33">
        <f t="shared" si="1"/>
        <v>0</v>
      </c>
      <c r="W998" s="27"/>
      <c r="X998" s="27"/>
      <c r="Y998" s="27"/>
      <c r="Z998" s="27"/>
      <c r="AA998" s="27"/>
    </row>
    <row r="999">
      <c r="A999" s="28"/>
      <c r="B999" s="28"/>
      <c r="C999" s="28"/>
      <c r="D999" s="28"/>
      <c r="E999" s="28"/>
      <c r="F999" s="28"/>
      <c r="G999" s="28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33">
        <f t="shared" si="1"/>
        <v>0</v>
      </c>
      <c r="W999" s="27"/>
      <c r="X999" s="27"/>
      <c r="Y999" s="27"/>
      <c r="Z999" s="27"/>
      <c r="AA999" s="27"/>
    </row>
    <row r="1000">
      <c r="A1000" s="28"/>
      <c r="B1000" s="28"/>
      <c r="C1000" s="28"/>
      <c r="D1000" s="28"/>
      <c r="E1000" s="28"/>
      <c r="F1000" s="28"/>
      <c r="G1000" s="28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33">
        <f t="shared" si="1"/>
        <v>0</v>
      </c>
      <c r="W1000" s="27"/>
      <c r="X1000" s="27"/>
      <c r="Y1000" s="27"/>
      <c r="Z1000" s="27"/>
      <c r="AA1000" s="27"/>
    </row>
  </sheetData>
  <dataValidations>
    <dataValidation type="list" allowBlank="1" showErrorMessage="1" sqref="B2:B1000">
      <formula1>'預算欄位參數表'!$B$2:$B$22</formula1>
    </dataValidation>
    <dataValidation type="list" allowBlank="1" showErrorMessage="1" sqref="D2:D1000">
      <formula1>'預算欄位參數表'!$E$2:E1000</formula1>
    </dataValidation>
    <dataValidation type="list" allowBlank="1" showErrorMessage="1" sqref="E2:E1000">
      <formula1>"NA"</formula1>
    </dataValidation>
    <dataValidation type="list" allowBlank="1" showErrorMessage="1" sqref="G2:G1000">
      <formula1>'預算欄位參數表'!$G$2:G1000</formula1>
    </dataValidation>
    <dataValidation type="list" allowBlank="1" showErrorMessage="1" sqref="C2:C1000">
      <formula1>'預算欄位參數表'!$C$2:C1000</formula1>
    </dataValidation>
    <dataValidation type="list" allowBlank="1" showErrorMessage="1" sqref="A2:A1000">
      <formula1>'預算欄位參數表'!$A$2:$A1000</formula1>
    </dataValidation>
    <dataValidation type="list" allowBlank="1" showErrorMessage="1" sqref="F2:F1000">
      <formula1>'預算欄位參數表'!$H$2:$H1000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4" max="4" width="14.0"/>
    <col customWidth="1" min="5" max="5" width="21.13"/>
    <col customWidth="1" min="7" max="18" width="12.5"/>
  </cols>
  <sheetData>
    <row r="1">
      <c r="A1" s="27" t="s">
        <v>0</v>
      </c>
      <c r="B1" s="27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9">
        <v>46023.0</v>
      </c>
      <c r="K1" s="29">
        <v>46054.0</v>
      </c>
      <c r="L1" s="29">
        <v>46082.0</v>
      </c>
      <c r="M1" s="29">
        <v>46113.0</v>
      </c>
      <c r="N1" s="29">
        <v>46143.0</v>
      </c>
      <c r="O1" s="29">
        <v>46174.0</v>
      </c>
      <c r="P1" s="29">
        <v>46204.0</v>
      </c>
      <c r="Q1" s="29">
        <v>46235.0</v>
      </c>
      <c r="R1" s="29">
        <v>46266.0</v>
      </c>
      <c r="S1" s="29">
        <v>46296.0</v>
      </c>
      <c r="T1" s="29">
        <v>46327.0</v>
      </c>
      <c r="U1" s="29">
        <v>46357.0</v>
      </c>
      <c r="V1" s="27" t="s">
        <v>21</v>
      </c>
      <c r="W1" s="27"/>
      <c r="X1" s="27"/>
      <c r="Y1" s="27"/>
      <c r="Z1" s="27"/>
    </row>
    <row r="2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  <c r="S2" s="27"/>
      <c r="T2" s="27"/>
      <c r="U2" s="27"/>
      <c r="V2" s="27"/>
      <c r="W2" s="27"/>
      <c r="X2" s="27"/>
      <c r="Y2" s="27"/>
      <c r="Z2" s="27"/>
    </row>
    <row r="3">
      <c r="A3" s="34"/>
      <c r="B3" s="34"/>
      <c r="C3" s="27"/>
      <c r="D3" s="27"/>
      <c r="E3" s="34"/>
      <c r="F3" s="3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27"/>
      <c r="B4" s="27"/>
      <c r="C4" s="27"/>
      <c r="D4" s="27"/>
      <c r="E4" s="34"/>
      <c r="F4" s="34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27"/>
      <c r="B5" s="27"/>
      <c r="C5" s="27"/>
      <c r="D5" s="27"/>
      <c r="E5" s="34"/>
      <c r="F5" s="34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27"/>
      <c r="B6" s="27"/>
      <c r="C6" s="27"/>
      <c r="D6" s="27"/>
      <c r="E6" s="34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</sheetData>
  <dataValidations>
    <dataValidation type="list" allowBlank="1" showErrorMessage="1" sqref="F2:Q999">
      <formula1>'預算欄位參數表'!$B$2:$B$22</formula1>
    </dataValidation>
    <dataValidation type="list" allowBlank="1" showErrorMessage="1" sqref="B2:B999">
      <formula1>'預算欄位參數表'!$H$2:$H$69</formula1>
    </dataValidation>
    <dataValidation type="list" allowBlank="1" showErrorMessage="1" sqref="D2:D999">
      <formula1>'預算欄位參數表'!$K$2:$K$9</formula1>
    </dataValidation>
    <dataValidation type="list" allowBlank="1" showErrorMessage="1" sqref="A2:A999">
      <formula1>'預算欄位參數表'!$A$1:$A$21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0"/>
  </cols>
  <sheetData>
    <row r="1">
      <c r="A1" s="27" t="s">
        <v>0</v>
      </c>
      <c r="B1" s="34" t="s">
        <v>1</v>
      </c>
      <c r="C1" s="34" t="s">
        <v>2</v>
      </c>
      <c r="D1" s="27" t="s">
        <v>3</v>
      </c>
      <c r="E1" s="34" t="s">
        <v>4</v>
      </c>
      <c r="F1" s="27" t="s">
        <v>5</v>
      </c>
      <c r="G1" s="34" t="s">
        <v>6</v>
      </c>
      <c r="H1" s="38" t="s">
        <v>51</v>
      </c>
      <c r="J1" s="29">
        <v>46023.0</v>
      </c>
      <c r="K1" s="29">
        <v>46054.0</v>
      </c>
      <c r="L1" s="29">
        <v>46082.0</v>
      </c>
      <c r="M1" s="29">
        <v>46113.0</v>
      </c>
      <c r="N1" s="29">
        <v>46143.0</v>
      </c>
      <c r="O1" s="29">
        <v>46174.0</v>
      </c>
      <c r="P1" s="29">
        <v>46204.0</v>
      </c>
      <c r="Q1" s="29">
        <v>46235.0</v>
      </c>
      <c r="R1" s="29">
        <v>46266.0</v>
      </c>
      <c r="S1" s="29">
        <v>46296.0</v>
      </c>
      <c r="T1" s="29">
        <v>46327.0</v>
      </c>
      <c r="U1" s="29">
        <v>46357.0</v>
      </c>
      <c r="V1" s="27" t="s">
        <v>21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/>
    <row r="2"/>
    <row r="3"/>
    <row r="4"/>
    <row r="5"/>
  </sheetData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7.63"/>
    <col customWidth="1" min="3" max="3" width="35.5"/>
    <col customWidth="1" min="4" max="4" width="31.13"/>
  </cols>
  <sheetData>
    <row r="1">
      <c r="A1" s="37" t="str">
        <f>IFERROR(__xludf.DUMMYFUNCTION("IMPORTRANGE(""https://docs.google.com/spreadsheets/d/1-YuSlnwICv7dSIIRxQFJU2gwgM9OHTbandHa0RE3CW8/edit?gid=1671067433#gid=1671067433"",""集團共用費用分攤比例!A1:Z100"")"),"子公司")</f>
        <v>子公司</v>
      </c>
      <c r="B1" s="37" t="str">
        <f>IFERROR(__xludf.DUMMYFUNCTION("""COMPUTED_VALUE"""),"事業單位")</f>
        <v>事業單位</v>
      </c>
      <c r="C1" s="37" t="str">
        <f>IFERROR(__xludf.DUMMYFUNCTION("""COMPUTED_VALUE"""),"集團共用費用分攤比例")</f>
        <v>集團共用費用分攤比例</v>
      </c>
      <c r="D1" s="37" t="str">
        <f>IFERROR(__xludf.DUMMYFUNCTION("""COMPUTED_VALUE"""),"Maintenance Cost 分攤比例")</f>
        <v>Maintenance Cost 分攤比例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37"/>
      <c r="B2" s="37"/>
      <c r="C2" s="37" t="str">
        <f>IFERROR(__xludf.DUMMYFUNCTION("""COMPUTED_VALUE"""),"依 iCHEF POS, iCHEF OMO, QLR 營收比例分")</f>
        <v>依 iCHEF POS, iCHEF OMO, QLR 營收比例分</v>
      </c>
      <c r="D2" s="37" t="str">
        <f>IFERROR(__xludf.DUMMYFUNCTION("""COMPUTED_VALUE"""),"依 iCHEF POS, iCHEF OMO 營收比例分")</f>
        <v>依 iCHEF POS, iCHEF OMO 營收比例分</v>
      </c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A3" s="37" t="str">
        <f>IFERROR(__xludf.DUMMYFUNCTION("""COMPUTED_VALUE"""),"TW")</f>
        <v>TW</v>
      </c>
      <c r="B3" s="37" t="str">
        <f>IFERROR(__xludf.DUMMYFUNCTION("""COMPUTED_VALUE"""),"OMO")</f>
        <v>OMO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37" t="str">
        <f>IFERROR(__xludf.DUMMYFUNCTION("""COMPUTED_VALUE"""),"TW")</f>
        <v>TW</v>
      </c>
      <c r="B4" s="37" t="str">
        <f>IFERROR(__xludf.DUMMYFUNCTION("""COMPUTED_VALUE"""),"POS")</f>
        <v>POS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37" t="str">
        <f>IFERROR(__xludf.DUMMYFUNCTION("""COMPUTED_VALUE"""),"QLR")</f>
        <v>QLR</v>
      </c>
      <c r="B5" s="37" t="str">
        <f>IFERROR(__xludf.DUMMYFUNCTION("""COMPUTED_VALUE"""),"OMO")</f>
        <v>OMO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25"/>
  </cols>
  <sheetData>
    <row r="1">
      <c r="B1" s="37" t="str">
        <f>IFERROR(__xludf.DUMMYFUNCTION("IMPORTRANGE(""https://docs.google.com/spreadsheets/d/1fiD6EDAkov9pRwQ_8sXhwmAj-vJoUCNKTRov_ZiHklw/edit?gid=1913353331#gid=1913353331"",""2026 定版資料!A1:Z"")"),"#")</f>
        <v>#</v>
      </c>
      <c r="C1" s="37" t="str">
        <f>IFERROR(__xludf.DUMMYFUNCTION("""COMPUTED_VALUE"""),"費用類型")</f>
        <v>費用類型</v>
      </c>
      <c r="D1" s="37" t="str">
        <f>IFERROR(__xludf.DUMMYFUNCTION("""COMPUTED_VALUE"""),"子公司")</f>
        <v>子公司</v>
      </c>
      <c r="E1" s="37" t="str">
        <f>IFERROR(__xludf.DUMMYFUNCTION("""COMPUTED_VALUE"""),"會科代號")</f>
        <v>會科代號</v>
      </c>
      <c r="F1" s="37" t="str">
        <f>IFERROR(__xludf.DUMMYFUNCTION("""COMPUTED_VALUE"""),"會計科目")</f>
        <v>會計科目</v>
      </c>
      <c r="G1" s="37" t="str">
        <f>IFERROR(__xludf.DUMMYFUNCTION("""COMPUTED_VALUE"""),"明細科目")</f>
        <v>明細科目</v>
      </c>
      <c r="H1" s="37" t="str">
        <f>IFERROR(__xludf.DUMMYFUNCTION("""COMPUTED_VALUE"""),"說明")</f>
        <v>說明</v>
      </c>
      <c r="I1" s="37" t="str">
        <f>IFERROR(__xludf.DUMMYFUNCTION("""COMPUTED_VALUE"""),"月 額度
(每人)")</f>
        <v>月 額度
(每人)</v>
      </c>
      <c r="J1" s="37" t="str">
        <f>IFERROR(__xludf.DUMMYFUNCTION("""COMPUTED_VALUE"""),"年 額度
(每人)")</f>
        <v>年 額度
(每人)</v>
      </c>
      <c r="K1" s="37" t="str">
        <f>IFERROR(__xludf.DUMMYFUNCTION("""COMPUTED_VALUE"""),"預算編製、計算單位")</f>
        <v>預算編製、計算單位</v>
      </c>
      <c r="L1" s="37" t="str">
        <f>IFERROR(__xludf.DUMMYFUNCTION("""COMPUTED_VALUE"""),"預算歸屬單位")</f>
        <v>預算歸屬單位</v>
      </c>
      <c r="M1" s="37" t="str">
        <f>IFERROR(__xludf.DUMMYFUNCTION("""COMPUTED_VALUE"""),"備註")</f>
        <v>備註</v>
      </c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</row>
    <row r="2">
      <c r="B2" s="37">
        <f>IFERROR(__xludf.DUMMYFUNCTION("""COMPUTED_VALUE"""),1.0)</f>
        <v>1</v>
      </c>
      <c r="C2" s="37" t="str">
        <f>IFERROR(__xludf.DUMMYFUNCTION("""COMPUTED_VALUE"""),"人事費用")</f>
        <v>人事費用</v>
      </c>
      <c r="D2" s="37" t="str">
        <f>IFERROR(__xludf.DUMMYFUNCTION("""COMPUTED_VALUE"""),"iCHEF+QLR")</f>
        <v>iCHEF+QLR</v>
      </c>
      <c r="E2" s="37" t="str">
        <f>IFERROR(__xludf.DUMMYFUNCTION("""COMPUTED_VALUE"""),"6x1001")</f>
        <v>6x1001</v>
      </c>
      <c r="F2" s="37" t="str">
        <f>IFERROR(__xludf.DUMMYFUNCTION("""COMPUTED_VALUE"""),"薪資費用")</f>
        <v>薪資費用</v>
      </c>
      <c r="G2" s="37" t="str">
        <f>IFERROR(__xludf.DUMMYFUNCTION("""COMPUTED_VALUE"""),"本薪")</f>
        <v>本薪</v>
      </c>
      <c r="H2" s="37" t="str">
        <f>IFERROR(__xludf.DUMMYFUNCTION("""COMPUTED_VALUE"""),"薪資")</f>
        <v>薪資</v>
      </c>
      <c r="I2" s="37"/>
      <c r="J2" s="37"/>
      <c r="K2" s="37" t="str">
        <f>IFERROR(__xludf.DUMMYFUNCTION("""COMPUTED_VALUE"""),"管理中心提供薪資，各專業中心依人員配置編列")</f>
        <v>管理中心提供薪資，各專業中心依人員配置編列</v>
      </c>
      <c r="L2" s="37" t="str">
        <f>IFERROR(__xludf.DUMMYFUNCTION("""COMPUTED_VALUE"""),"各專業中心")</f>
        <v>各專業中心</v>
      </c>
      <c r="M2" s="37" t="str">
        <f>IFERROR(__xludf.DUMMYFUNCTION("""COMPUTED_VALUE"""),"金額由 HR 計算")</f>
        <v>金額由 HR 計算</v>
      </c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</row>
    <row r="3">
      <c r="B3" s="37">
        <f>IFERROR(__xludf.DUMMYFUNCTION("""COMPUTED_VALUE"""),2.0)</f>
        <v>2</v>
      </c>
      <c r="C3" s="37" t="str">
        <f>IFERROR(__xludf.DUMMYFUNCTION("""COMPUTED_VALUE"""),"人事費用")</f>
        <v>人事費用</v>
      </c>
      <c r="D3" s="37" t="str">
        <f>IFERROR(__xludf.DUMMYFUNCTION("""COMPUTED_VALUE"""),"iCHEF+QLR")</f>
        <v>iCHEF+QLR</v>
      </c>
      <c r="E3" s="37" t="str">
        <f>IFERROR(__xludf.DUMMYFUNCTION("""COMPUTED_VALUE"""),"6x27")</f>
        <v>6x27</v>
      </c>
      <c r="F3" s="37" t="str">
        <f>IFERROR(__xludf.DUMMYFUNCTION("""COMPUTED_VALUE"""),"伙食費")</f>
        <v>伙食費</v>
      </c>
      <c r="G3" s="37" t="str">
        <f>IFERROR(__xludf.DUMMYFUNCTION("""COMPUTED_VALUE"""),"伙食費")</f>
        <v>伙食費</v>
      </c>
      <c r="H3" s="37" t="str">
        <f>IFERROR(__xludf.DUMMYFUNCTION("""COMPUTED_VALUE"""),"伙食費")</f>
        <v>伙食費</v>
      </c>
      <c r="I3" s="37"/>
      <c r="J3" s="37"/>
      <c r="K3" s="37" t="str">
        <f>IFERROR(__xludf.DUMMYFUNCTION("""COMPUTED_VALUE"""),"管理中心提供薪資，各專業中心依人員配置編列")</f>
        <v>管理中心提供薪資，各專業中心依人員配置編列</v>
      </c>
      <c r="L3" s="37" t="str">
        <f>IFERROR(__xludf.DUMMYFUNCTION("""COMPUTED_VALUE"""),"各專業中心")</f>
        <v>各專業中心</v>
      </c>
      <c r="M3" s="37" t="str">
        <f>IFERROR(__xludf.DUMMYFUNCTION("""COMPUTED_VALUE"""),"金額由 HR 計算")</f>
        <v>金額由 HR 計算</v>
      </c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</row>
    <row r="4">
      <c r="B4" s="37">
        <f>IFERROR(__xludf.DUMMYFUNCTION("""COMPUTED_VALUE"""),3.0)</f>
        <v>3</v>
      </c>
      <c r="C4" s="37" t="str">
        <f>IFERROR(__xludf.DUMMYFUNCTION("""COMPUTED_VALUE"""),"人事費用")</f>
        <v>人事費用</v>
      </c>
      <c r="D4" s="37" t="str">
        <f>IFERROR(__xludf.DUMMYFUNCTION("""COMPUTED_VALUE"""),"iCHEF+QLR")</f>
        <v>iCHEF+QLR</v>
      </c>
      <c r="E4" s="37" t="str">
        <f>IFERROR(__xludf.DUMMYFUNCTION("""COMPUTED_VALUE"""),"6x1009")</f>
        <v>6x1009</v>
      </c>
      <c r="F4" s="37" t="str">
        <f>IFERROR(__xludf.DUMMYFUNCTION("""COMPUTED_VALUE"""),"薪資費用")</f>
        <v>薪資費用</v>
      </c>
      <c r="G4" s="37" t="str">
        <f>IFERROR(__xludf.DUMMYFUNCTION("""COMPUTED_VALUE"""),"主管津貼")</f>
        <v>主管津貼</v>
      </c>
      <c r="H4" s="37" t="str">
        <f>IFERROR(__xludf.DUMMYFUNCTION("""COMPUTED_VALUE"""),"主管津貼")</f>
        <v>主管津貼</v>
      </c>
      <c r="I4" s="37"/>
      <c r="J4" s="37"/>
      <c r="K4" s="37" t="str">
        <f>IFERROR(__xludf.DUMMYFUNCTION("""COMPUTED_VALUE"""),"管理中心提供薪資，各專業中心依人員配置編列")</f>
        <v>管理中心提供薪資，各專業中心依人員配置編列</v>
      </c>
      <c r="L4" s="37" t="str">
        <f>IFERROR(__xludf.DUMMYFUNCTION("""COMPUTED_VALUE"""),"各專業中心")</f>
        <v>各專業中心</v>
      </c>
      <c r="M4" s="37" t="str">
        <f>IFERROR(__xludf.DUMMYFUNCTION("""COMPUTED_VALUE"""),"金額由 HR 計算")</f>
        <v>金額由 HR 計算</v>
      </c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</row>
    <row r="5">
      <c r="B5" s="37">
        <f>IFERROR(__xludf.DUMMYFUNCTION("""COMPUTED_VALUE"""),4.0)</f>
        <v>4</v>
      </c>
      <c r="C5" s="37" t="str">
        <f>IFERROR(__xludf.DUMMYFUNCTION("""COMPUTED_VALUE"""),"人事費用")</f>
        <v>人事費用</v>
      </c>
      <c r="D5" s="37" t="str">
        <f>IFERROR(__xludf.DUMMYFUNCTION("""COMPUTED_VALUE"""),"iCHEF+QLR")</f>
        <v>iCHEF+QLR</v>
      </c>
      <c r="E5" s="37" t="str">
        <f>IFERROR(__xludf.DUMMYFUNCTION("""COMPUTED_VALUE"""),"6x1003")</f>
        <v>6x1003</v>
      </c>
      <c r="F5" s="37" t="str">
        <f>IFERROR(__xludf.DUMMYFUNCTION("""COMPUTED_VALUE"""),"薪資費用")</f>
        <v>薪資費用</v>
      </c>
      <c r="G5" s="37" t="str">
        <f>IFERROR(__xludf.DUMMYFUNCTION("""COMPUTED_VALUE"""),"加班費")</f>
        <v>加班費</v>
      </c>
      <c r="H5" s="37" t="str">
        <f>IFERROR(__xludf.DUMMYFUNCTION("""COMPUTED_VALUE"""),"加班費")</f>
        <v>加班費</v>
      </c>
      <c r="I5" s="37"/>
      <c r="J5" s="37"/>
      <c r="K5" s="37" t="str">
        <f>IFERROR(__xludf.DUMMYFUNCTION("""COMPUTED_VALUE"""),"管理中心提供薪資，各專業中心依人員配置編列")</f>
        <v>管理中心提供薪資，各專業中心依人員配置編列</v>
      </c>
      <c r="L5" s="37" t="str">
        <f>IFERROR(__xludf.DUMMYFUNCTION("""COMPUTED_VALUE"""),"各專業中心")</f>
        <v>各專業中心</v>
      </c>
      <c r="M5" s="37" t="str">
        <f>IFERROR(__xludf.DUMMYFUNCTION("""COMPUTED_VALUE"""),"金額由 HR 計算")</f>
        <v>金額由 HR 計算</v>
      </c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</row>
    <row r="6">
      <c r="B6" s="37">
        <f>IFERROR(__xludf.DUMMYFUNCTION("""COMPUTED_VALUE"""),5.0)</f>
        <v>5</v>
      </c>
      <c r="C6" s="37" t="str">
        <f>IFERROR(__xludf.DUMMYFUNCTION("""COMPUTED_VALUE"""),"人事費用")</f>
        <v>人事費用</v>
      </c>
      <c r="D6" s="37" t="str">
        <f>IFERROR(__xludf.DUMMYFUNCTION("""COMPUTED_VALUE"""),"iCHEF+QLR")</f>
        <v>iCHEF+QLR</v>
      </c>
      <c r="E6" s="37" t="str">
        <f>IFERROR(__xludf.DUMMYFUNCTION("""COMPUTED_VALUE"""),"6x1004")</f>
        <v>6x1004</v>
      </c>
      <c r="F6" s="37" t="str">
        <f>IFERROR(__xludf.DUMMYFUNCTION("""COMPUTED_VALUE"""),"薪資費用")</f>
        <v>薪資費用</v>
      </c>
      <c r="G6" s="37" t="str">
        <f>IFERROR(__xludf.DUMMYFUNCTION("""COMPUTED_VALUE"""),"退休金")</f>
        <v>退休金</v>
      </c>
      <c r="H6" s="37" t="str">
        <f>IFERROR(__xludf.DUMMYFUNCTION("""COMPUTED_VALUE"""),"退休金")</f>
        <v>退休金</v>
      </c>
      <c r="I6" s="37"/>
      <c r="J6" s="37"/>
      <c r="K6" s="37" t="str">
        <f>IFERROR(__xludf.DUMMYFUNCTION("""COMPUTED_VALUE"""),"管理中心提供薪資，各專業中心依人員配置編列")</f>
        <v>管理中心提供薪資，各專業中心依人員配置編列</v>
      </c>
      <c r="L6" s="37" t="str">
        <f>IFERROR(__xludf.DUMMYFUNCTION("""COMPUTED_VALUE"""),"各專業中心")</f>
        <v>各專業中心</v>
      </c>
      <c r="M6" s="37" t="str">
        <f>IFERROR(__xludf.DUMMYFUNCTION("""COMPUTED_VALUE"""),"金額由 HR 計算")</f>
        <v>金額由 HR 計算</v>
      </c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</row>
    <row r="7">
      <c r="B7" s="37">
        <f>IFERROR(__xludf.DUMMYFUNCTION("""COMPUTED_VALUE"""),6.0)</f>
        <v>6</v>
      </c>
      <c r="C7" s="37" t="str">
        <f>IFERROR(__xludf.DUMMYFUNCTION("""COMPUTED_VALUE"""),"人事費用")</f>
        <v>人事費用</v>
      </c>
      <c r="D7" s="37" t="str">
        <f>IFERROR(__xludf.DUMMYFUNCTION("""COMPUTED_VALUE"""),"iCHEF+QLR")</f>
        <v>iCHEF+QLR</v>
      </c>
      <c r="E7" s="37" t="str">
        <f>IFERROR(__xludf.DUMMYFUNCTION("""COMPUTED_VALUE"""),"6x1901")</f>
        <v>6x1901</v>
      </c>
      <c r="F7" s="37" t="str">
        <f>IFERROR(__xludf.DUMMYFUNCTION("""COMPUTED_VALUE"""),"保險費")</f>
        <v>保險費</v>
      </c>
      <c r="G7" s="37" t="str">
        <f>IFERROR(__xludf.DUMMYFUNCTION("""COMPUTED_VALUE"""),"健保費")</f>
        <v>健保費</v>
      </c>
      <c r="H7" s="37" t="str">
        <f>IFERROR(__xludf.DUMMYFUNCTION("""COMPUTED_VALUE"""),"健保費")</f>
        <v>健保費</v>
      </c>
      <c r="I7" s="37"/>
      <c r="J7" s="37"/>
      <c r="K7" s="37" t="str">
        <f>IFERROR(__xludf.DUMMYFUNCTION("""COMPUTED_VALUE"""),"管理中心提供薪資，各專業中心依人員配置編列")</f>
        <v>管理中心提供薪資，各專業中心依人員配置編列</v>
      </c>
      <c r="L7" s="37" t="str">
        <f>IFERROR(__xludf.DUMMYFUNCTION("""COMPUTED_VALUE"""),"各專業中心")</f>
        <v>各專業中心</v>
      </c>
      <c r="M7" s="37" t="str">
        <f>IFERROR(__xludf.DUMMYFUNCTION("""COMPUTED_VALUE"""),"金額由 HR 計算")</f>
        <v>金額由 HR 計算</v>
      </c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</row>
    <row r="8">
      <c r="B8" s="37">
        <f>IFERROR(__xludf.DUMMYFUNCTION("""COMPUTED_VALUE"""),7.0)</f>
        <v>7</v>
      </c>
      <c r="C8" s="37" t="str">
        <f>IFERROR(__xludf.DUMMYFUNCTION("""COMPUTED_VALUE"""),"人事費用")</f>
        <v>人事費用</v>
      </c>
      <c r="D8" s="37" t="str">
        <f>IFERROR(__xludf.DUMMYFUNCTION("""COMPUTED_VALUE"""),"iCHEF+QLR")</f>
        <v>iCHEF+QLR</v>
      </c>
      <c r="E8" s="37" t="str">
        <f>IFERROR(__xludf.DUMMYFUNCTION("""COMPUTED_VALUE"""),"6x1902")</f>
        <v>6x1902</v>
      </c>
      <c r="F8" s="37" t="str">
        <f>IFERROR(__xludf.DUMMYFUNCTION("""COMPUTED_VALUE"""),"保險費")</f>
        <v>保險費</v>
      </c>
      <c r="G8" s="37" t="str">
        <f>IFERROR(__xludf.DUMMYFUNCTION("""COMPUTED_VALUE"""),"勞保費")</f>
        <v>勞保費</v>
      </c>
      <c r="H8" s="37" t="str">
        <f>IFERROR(__xludf.DUMMYFUNCTION("""COMPUTED_VALUE"""),"勞保費")</f>
        <v>勞保費</v>
      </c>
      <c r="I8" s="37"/>
      <c r="J8" s="37"/>
      <c r="K8" s="37" t="str">
        <f>IFERROR(__xludf.DUMMYFUNCTION("""COMPUTED_VALUE"""),"管理中心提供薪資，各專業中心依人員配置編列")</f>
        <v>管理中心提供薪資，各專業中心依人員配置編列</v>
      </c>
      <c r="L8" s="37" t="str">
        <f>IFERROR(__xludf.DUMMYFUNCTION("""COMPUTED_VALUE"""),"各專業中心")</f>
        <v>各專業中心</v>
      </c>
      <c r="M8" s="37" t="str">
        <f>IFERROR(__xludf.DUMMYFUNCTION("""COMPUTED_VALUE"""),"金額由 HR 計算")</f>
        <v>金額由 HR 計算</v>
      </c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</row>
    <row r="9">
      <c r="B9" s="37">
        <f>IFERROR(__xludf.DUMMYFUNCTION("""COMPUTED_VALUE"""),8.0)</f>
        <v>8</v>
      </c>
      <c r="C9" s="37" t="str">
        <f>IFERROR(__xludf.DUMMYFUNCTION("""COMPUTED_VALUE"""),"人事費用")</f>
        <v>人事費用</v>
      </c>
      <c r="D9" s="37" t="str">
        <f>IFERROR(__xludf.DUMMYFUNCTION("""COMPUTED_VALUE"""),"iCHEF+QLR")</f>
        <v>iCHEF+QLR</v>
      </c>
      <c r="E9" s="37" t="str">
        <f>IFERROR(__xludf.DUMMYFUNCTION("""COMPUTED_VALUE"""),"6x1005")</f>
        <v>6x1005</v>
      </c>
      <c r="F9" s="37" t="str">
        <f>IFERROR(__xludf.DUMMYFUNCTION("""COMPUTED_VALUE"""),"薪資費用")</f>
        <v>薪資費用</v>
      </c>
      <c r="G9" s="37" t="str">
        <f>IFERROR(__xludf.DUMMYFUNCTION("""COMPUTED_VALUE"""),"年終獎金")</f>
        <v>年終獎金</v>
      </c>
      <c r="H9" s="37" t="str">
        <f>IFERROR(__xludf.DUMMYFUNCTION("""COMPUTED_VALUE"""),"第十三個月")</f>
        <v>第十三個月</v>
      </c>
      <c r="I9" s="37"/>
      <c r="J9" s="37"/>
      <c r="K9" s="37" t="str">
        <f>IFERROR(__xludf.DUMMYFUNCTION("""COMPUTED_VALUE"""),"管理中心提供薪資，各專業中心依人員配置編列")</f>
        <v>管理中心提供薪資，各專業中心依人員配置編列</v>
      </c>
      <c r="L9" s="37" t="str">
        <f>IFERROR(__xludf.DUMMYFUNCTION("""COMPUTED_VALUE"""),"各專業中心")</f>
        <v>各專業中心</v>
      </c>
      <c r="M9" s="37" t="str">
        <f>IFERROR(__xludf.DUMMYFUNCTION("""COMPUTED_VALUE"""),"金額由 HR 計算")</f>
        <v>金額由 HR 計算</v>
      </c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</row>
    <row r="10">
      <c r="B10" s="37">
        <f>IFERROR(__xludf.DUMMYFUNCTION("""COMPUTED_VALUE"""),9.0)</f>
        <v>9</v>
      </c>
      <c r="C10" s="37" t="str">
        <f>IFERROR(__xludf.DUMMYFUNCTION("""COMPUTED_VALUE"""),"人事費用")</f>
        <v>人事費用</v>
      </c>
      <c r="D10" s="37" t="str">
        <f>IFERROR(__xludf.DUMMYFUNCTION("""COMPUTED_VALUE"""),"iCHEF+QLR")</f>
        <v>iCHEF+QLR</v>
      </c>
      <c r="E10" s="37" t="str">
        <f>IFERROR(__xludf.DUMMYFUNCTION("""COMPUTED_VALUE"""),"6x1006")</f>
        <v>6x1006</v>
      </c>
      <c r="F10" s="37" t="str">
        <f>IFERROR(__xludf.DUMMYFUNCTION("""COMPUTED_VALUE"""),"薪資費用")</f>
        <v>薪資費用</v>
      </c>
      <c r="G10" s="37" t="str">
        <f>IFERROR(__xludf.DUMMYFUNCTION("""COMPUTED_VALUE"""),"績效獎金")</f>
        <v>績效獎金</v>
      </c>
      <c r="H10" s="37" t="str">
        <f>IFERROR(__xludf.DUMMYFUNCTION("""COMPUTED_VALUE"""),"團隊層級獎金 - IC職")</f>
        <v>團隊層級獎金 - IC職</v>
      </c>
      <c r="I10" s="39">
        <f>IFERROR(__xludf.DUMMYFUNCTION("""COMPUTED_VALUE"""),1667.0)</f>
        <v>1667</v>
      </c>
      <c r="J10" s="39">
        <f>IFERROR(__xludf.DUMMYFUNCTION("""COMPUTED_VALUE"""),20000.0)</f>
        <v>20000</v>
      </c>
      <c r="K10" s="37" t="str">
        <f>IFERROR(__xludf.DUMMYFUNCTION("""COMPUTED_VALUE"""),"各專業中心")</f>
        <v>各專業中心</v>
      </c>
      <c r="L10" s="37" t="str">
        <f>IFERROR(__xludf.DUMMYFUNCTION("""COMPUTED_VALUE"""),"各專業中心")</f>
        <v>各專業中心</v>
      </c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</row>
    <row r="11">
      <c r="B11" s="37">
        <f>IFERROR(__xludf.DUMMYFUNCTION("""COMPUTED_VALUE"""),10.0)</f>
        <v>10</v>
      </c>
      <c r="C11" s="37" t="str">
        <f>IFERROR(__xludf.DUMMYFUNCTION("""COMPUTED_VALUE"""),"人事費用")</f>
        <v>人事費用</v>
      </c>
      <c r="D11" s="37" t="str">
        <f>IFERROR(__xludf.DUMMYFUNCTION("""COMPUTED_VALUE"""),"iCHEF+QLR")</f>
        <v>iCHEF+QLR</v>
      </c>
      <c r="E11" s="37" t="str">
        <f>IFERROR(__xludf.DUMMYFUNCTION("""COMPUTED_VALUE"""),"6x1006")</f>
        <v>6x1006</v>
      </c>
      <c r="F11" s="37" t="str">
        <f>IFERROR(__xludf.DUMMYFUNCTION("""COMPUTED_VALUE"""),"薪資費用")</f>
        <v>薪資費用</v>
      </c>
      <c r="G11" s="37" t="str">
        <f>IFERROR(__xludf.DUMMYFUNCTION("""COMPUTED_VALUE"""),"績效獎金")</f>
        <v>績效獎金</v>
      </c>
      <c r="H11" s="37" t="str">
        <f>IFERROR(__xludf.DUMMYFUNCTION("""COMPUTED_VALUE"""),"團隊層級獎金 - 一級主管")</f>
        <v>團隊層級獎金 - 一級主管</v>
      </c>
      <c r="I11" s="39">
        <f>IFERROR(__xludf.DUMMYFUNCTION("""COMPUTED_VALUE"""),500.0)</f>
        <v>500</v>
      </c>
      <c r="J11" s="39">
        <f>IFERROR(__xludf.DUMMYFUNCTION("""COMPUTED_VALUE"""),6000.0)</f>
        <v>6000</v>
      </c>
      <c r="K11" s="37" t="str">
        <f>IFERROR(__xludf.DUMMYFUNCTION("""COMPUTED_VALUE"""),"各專業中心")</f>
        <v>各專業中心</v>
      </c>
      <c r="L11" s="37" t="str">
        <f>IFERROR(__xludf.DUMMYFUNCTION("""COMPUTED_VALUE"""),"各專業中心")</f>
        <v>各專業中心</v>
      </c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</row>
    <row r="12">
      <c r="B12" s="37">
        <f>IFERROR(__xludf.DUMMYFUNCTION("""COMPUTED_VALUE"""),11.0)</f>
        <v>11</v>
      </c>
      <c r="C12" s="37" t="str">
        <f>IFERROR(__xludf.DUMMYFUNCTION("""COMPUTED_VALUE"""),"人事費用")</f>
        <v>人事費用</v>
      </c>
      <c r="D12" s="37" t="str">
        <f>IFERROR(__xludf.DUMMYFUNCTION("""COMPUTED_VALUE"""),"iCHEF+QLR")</f>
        <v>iCHEF+QLR</v>
      </c>
      <c r="E12" s="37" t="str">
        <f>IFERROR(__xludf.DUMMYFUNCTION("""COMPUTED_VALUE"""),"6x1006")</f>
        <v>6x1006</v>
      </c>
      <c r="F12" s="37" t="str">
        <f>IFERROR(__xludf.DUMMYFUNCTION("""COMPUTED_VALUE"""),"薪資費用")</f>
        <v>薪資費用</v>
      </c>
      <c r="G12" s="37" t="str">
        <f>IFERROR(__xludf.DUMMYFUNCTION("""COMPUTED_VALUE"""),"績效獎金")</f>
        <v>績效獎金</v>
      </c>
      <c r="H12" s="37" t="str">
        <f>IFERROR(__xludf.DUMMYFUNCTION("""COMPUTED_VALUE"""),"團隊層級獎金 - 二級主管")</f>
        <v>團隊層級獎金 - 二級主管</v>
      </c>
      <c r="I12" s="39">
        <f>IFERROR(__xludf.DUMMYFUNCTION("""COMPUTED_VALUE"""),834.0)</f>
        <v>834</v>
      </c>
      <c r="J12" s="39">
        <f>IFERROR(__xludf.DUMMYFUNCTION("""COMPUTED_VALUE"""),10000.0)</f>
        <v>10000</v>
      </c>
      <c r="K12" s="37" t="str">
        <f>IFERROR(__xludf.DUMMYFUNCTION("""COMPUTED_VALUE"""),"各專業中心")</f>
        <v>各專業中心</v>
      </c>
      <c r="L12" s="37" t="str">
        <f>IFERROR(__xludf.DUMMYFUNCTION("""COMPUTED_VALUE"""),"各專業中心")</f>
        <v>各專業中心</v>
      </c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</row>
    <row r="13">
      <c r="B13" s="37">
        <f>IFERROR(__xludf.DUMMYFUNCTION("""COMPUTED_VALUE"""),12.0)</f>
        <v>12</v>
      </c>
      <c r="C13" s="37" t="str">
        <f>IFERROR(__xludf.DUMMYFUNCTION("""COMPUTED_VALUE"""),"人事費用")</f>
        <v>人事費用</v>
      </c>
      <c r="D13" s="37" t="str">
        <f>IFERROR(__xludf.DUMMYFUNCTION("""COMPUTED_VALUE"""),"iCHEF+QLR")</f>
        <v>iCHEF+QLR</v>
      </c>
      <c r="E13" s="37" t="str">
        <f>IFERROR(__xludf.DUMMYFUNCTION("""COMPUTED_VALUE"""),"6x1006")</f>
        <v>6x1006</v>
      </c>
      <c r="F13" s="37" t="str">
        <f>IFERROR(__xludf.DUMMYFUNCTION("""COMPUTED_VALUE"""),"薪資費用")</f>
        <v>薪資費用</v>
      </c>
      <c r="G13" s="37" t="str">
        <f>IFERROR(__xludf.DUMMYFUNCTION("""COMPUTED_VALUE"""),"績效獎金")</f>
        <v>績效獎金</v>
      </c>
      <c r="H13" s="37" t="str">
        <f>IFERROR(__xludf.DUMMYFUNCTION("""COMPUTED_VALUE"""),"團隊層級獎金 - 三級主管")</f>
        <v>團隊層級獎金 - 三級主管</v>
      </c>
      <c r="I13" s="39">
        <f>IFERROR(__xludf.DUMMYFUNCTION("""COMPUTED_VALUE"""),1167.0)</f>
        <v>1167</v>
      </c>
      <c r="J13" s="39">
        <f>IFERROR(__xludf.DUMMYFUNCTION("""COMPUTED_VALUE"""),14000.0)</f>
        <v>14000</v>
      </c>
      <c r="K13" s="37" t="str">
        <f>IFERROR(__xludf.DUMMYFUNCTION("""COMPUTED_VALUE"""),"各專業中心")</f>
        <v>各專業中心</v>
      </c>
      <c r="L13" s="37" t="str">
        <f>IFERROR(__xludf.DUMMYFUNCTION("""COMPUTED_VALUE"""),"各專業中心")</f>
        <v>各專業中心</v>
      </c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>
      <c r="B14" s="37">
        <f>IFERROR(__xludf.DUMMYFUNCTION("""COMPUTED_VALUE"""),13.0)</f>
        <v>13</v>
      </c>
      <c r="C14" s="37" t="str">
        <f>IFERROR(__xludf.DUMMYFUNCTION("""COMPUTED_VALUE"""),"人事費用")</f>
        <v>人事費用</v>
      </c>
      <c r="D14" s="37" t="str">
        <f>IFERROR(__xludf.DUMMYFUNCTION("""COMPUTED_VALUE"""),"iCHEF+QLR")</f>
        <v>iCHEF+QLR</v>
      </c>
      <c r="E14" s="37" t="str">
        <f>IFERROR(__xludf.DUMMYFUNCTION("""COMPUTED_VALUE"""),"6x1095")</f>
        <v>6x1095</v>
      </c>
      <c r="F14" s="37" t="str">
        <f>IFERROR(__xludf.DUMMYFUNCTION("""COMPUTED_VALUE"""),"薪資費用")</f>
        <v>薪資費用</v>
      </c>
      <c r="G14" s="37" t="str">
        <f>IFERROR(__xludf.DUMMYFUNCTION("""COMPUTED_VALUE"""),"公司層級獎金")</f>
        <v>公司層級獎金</v>
      </c>
      <c r="H14" s="37" t="str">
        <f>IFERROR(__xludf.DUMMYFUNCTION("""COMPUTED_VALUE"""),"公司層級獎金")</f>
        <v>公司層級獎金</v>
      </c>
      <c r="I14" s="37"/>
      <c r="J14" s="39" t="str">
        <f>IFERROR(__xludf.DUMMYFUNCTION("""COMPUTED_VALUE"""),"2.5% of ARR")</f>
        <v>2.5% of ARR</v>
      </c>
      <c r="K14" s="37" t="str">
        <f>IFERROR(__xludf.DUMMYFUNCTION("""COMPUTED_VALUE"""),"CEO")</f>
        <v>CEO</v>
      </c>
      <c r="L14" s="37" t="str">
        <f>IFERROR(__xludf.DUMMYFUNCTION("""COMPUTED_VALUE"""),"CEO")</f>
        <v>CEO</v>
      </c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>
      <c r="B15" s="37">
        <f>IFERROR(__xludf.DUMMYFUNCTION("""COMPUTED_VALUE"""),14.0)</f>
        <v>14</v>
      </c>
      <c r="C15" s="37" t="str">
        <f>IFERROR(__xludf.DUMMYFUNCTION("""COMPUTED_VALUE"""),"非人事費用")</f>
        <v>非人事費用</v>
      </c>
      <c r="D15" s="37" t="str">
        <f>IFERROR(__xludf.DUMMYFUNCTION("""COMPUTED_VALUE"""),"iCHEF")</f>
        <v>iCHEF</v>
      </c>
      <c r="E15" s="37" t="str">
        <f>IFERROR(__xludf.DUMMYFUNCTION("""COMPUTED_VALUE"""),"6x3299")</f>
        <v>6x3299</v>
      </c>
      <c r="F15" s="37" t="str">
        <f>IFERROR(__xludf.DUMMYFUNCTION("""COMPUTED_VALUE"""),"其他費用")</f>
        <v>其他費用</v>
      </c>
      <c r="G15" s="37" t="str">
        <f>IFERROR(__xludf.DUMMYFUNCTION("""COMPUTED_VALUE"""),"其他")</f>
        <v>其他</v>
      </c>
      <c r="H15" s="37" t="str">
        <f>IFERROR(__xludf.DUMMYFUNCTION("""COMPUTED_VALUE"""),"季度聚餐")</f>
        <v>季度聚餐</v>
      </c>
      <c r="I15" s="39">
        <f>IFERROR(__xludf.DUMMYFUNCTION("""COMPUTED_VALUE"""),334.0)</f>
        <v>334</v>
      </c>
      <c r="J15" s="39">
        <f>IFERROR(__xludf.DUMMYFUNCTION("""COMPUTED_VALUE"""),4000.0)</f>
        <v>4000</v>
      </c>
      <c r="K15" s="37" t="str">
        <f>IFERROR(__xludf.DUMMYFUNCTION("""COMPUTED_VALUE"""),"各專業中心")</f>
        <v>各專業中心</v>
      </c>
      <c r="L15" s="37" t="str">
        <f>IFERROR(__xludf.DUMMYFUNCTION("""COMPUTED_VALUE"""),"各專業中心")</f>
        <v>各專業中心</v>
      </c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>
      <c r="B16" s="37">
        <f>IFERROR(__xludf.DUMMYFUNCTION("""COMPUTED_VALUE"""),15.0)</f>
        <v>15</v>
      </c>
      <c r="C16" s="37" t="str">
        <f>IFERROR(__xludf.DUMMYFUNCTION("""COMPUTED_VALUE"""),"非人事費用")</f>
        <v>非人事費用</v>
      </c>
      <c r="D16" s="37" t="str">
        <f>IFERROR(__xludf.DUMMYFUNCTION("""COMPUTED_VALUE"""),"QLR")</f>
        <v>QLR</v>
      </c>
      <c r="E16" s="37" t="str">
        <f>IFERROR(__xludf.DUMMYFUNCTION("""COMPUTED_VALUE"""),"6x3299")</f>
        <v>6x3299</v>
      </c>
      <c r="F16" s="37" t="str">
        <f>IFERROR(__xludf.DUMMYFUNCTION("""COMPUTED_VALUE"""),"其他費用")</f>
        <v>其他費用</v>
      </c>
      <c r="G16" s="37" t="str">
        <f>IFERROR(__xludf.DUMMYFUNCTION("""COMPUTED_VALUE"""),"其他")</f>
        <v>其他</v>
      </c>
      <c r="H16" s="37" t="str">
        <f>IFERROR(__xludf.DUMMYFUNCTION("""COMPUTED_VALUE"""),"體驗基金")</f>
        <v>體驗基金</v>
      </c>
      <c r="I16" s="39">
        <f>IFERROR(__xludf.DUMMYFUNCTION("""COMPUTED_VALUE"""),334.0)</f>
        <v>334</v>
      </c>
      <c r="J16" s="39">
        <f>IFERROR(__xludf.DUMMYFUNCTION("""COMPUTED_VALUE"""),4000.0)</f>
        <v>4000</v>
      </c>
      <c r="K16" s="37" t="str">
        <f>IFERROR(__xludf.DUMMYFUNCTION("""COMPUTED_VALUE"""),"各專業中心")</f>
        <v>各專業中心</v>
      </c>
      <c r="L16" s="37" t="str">
        <f>IFERROR(__xludf.DUMMYFUNCTION("""COMPUTED_VALUE"""),"各專業中心")</f>
        <v>各專業中心</v>
      </c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>
      <c r="B17" s="37">
        <f>IFERROR(__xludf.DUMMYFUNCTION("""COMPUTED_VALUE"""),16.0)</f>
        <v>16</v>
      </c>
      <c r="C17" s="37" t="str">
        <f>IFERROR(__xludf.DUMMYFUNCTION("""COMPUTED_VALUE"""),"非人事費用")</f>
        <v>非人事費用</v>
      </c>
      <c r="D17" s="37" t="str">
        <f>IFERROR(__xludf.DUMMYFUNCTION("""COMPUTED_VALUE"""),"iCHEF")</f>
        <v>iCHEF</v>
      </c>
      <c r="E17" s="37" t="str">
        <f>IFERROR(__xludf.DUMMYFUNCTION("""COMPUTED_VALUE"""),"613299
612999")</f>
        <v>613299
612999</v>
      </c>
      <c r="F17" s="37" t="str">
        <f>IFERROR(__xludf.DUMMYFUNCTION("""COMPUTED_VALUE"""),"其他費用
勞務費")</f>
        <v>其他費用
勞務費</v>
      </c>
      <c r="G17" s="37" t="str">
        <f>IFERROR(__xludf.DUMMYFUNCTION("""COMPUTED_VALUE"""),"其他
其他")</f>
        <v>其他
其他</v>
      </c>
      <c r="H17" s="37" t="str">
        <f>IFERROR(__xludf.DUMMYFUNCTION("""COMPUTED_VALUE"""),"健康檢查 (在職滿一年)")</f>
        <v>健康檢查 (在職滿一年)</v>
      </c>
      <c r="I17" s="39">
        <f>IFERROR(__xludf.DUMMYFUNCTION("""COMPUTED_VALUE"""),250.0)</f>
        <v>250</v>
      </c>
      <c r="J17" s="39">
        <f>IFERROR(__xludf.DUMMYFUNCTION("""COMPUTED_VALUE"""),3000.0)</f>
        <v>3000</v>
      </c>
      <c r="K17" s="37" t="str">
        <f>IFERROR(__xludf.DUMMYFUNCTION("""COMPUTED_VALUE"""),"各專業中心")</f>
        <v>各專業中心</v>
      </c>
      <c r="L17" s="37" t="str">
        <f>IFERROR(__xludf.DUMMYFUNCTION("""COMPUTED_VALUE"""),"各專業中心")</f>
        <v>各專業中心</v>
      </c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>
      <c r="B18" s="37">
        <f>IFERROR(__xludf.DUMMYFUNCTION("""COMPUTED_VALUE"""),17.0)</f>
        <v>17</v>
      </c>
      <c r="C18" s="37" t="str">
        <f>IFERROR(__xludf.DUMMYFUNCTION("""COMPUTED_VALUE"""),"非人事費用")</f>
        <v>非人事費用</v>
      </c>
      <c r="D18" s="37" t="str">
        <f>IFERROR(__xludf.DUMMYFUNCTION("""COMPUTED_VALUE"""),"iCHEF")</f>
        <v>iCHEF</v>
      </c>
      <c r="E18" s="37" t="str">
        <f>IFERROR(__xludf.DUMMYFUNCTION("""COMPUTED_VALUE"""),"6x19")</f>
        <v>6x19</v>
      </c>
      <c r="F18" s="37" t="str">
        <f>IFERROR(__xludf.DUMMYFUNCTION("""COMPUTED_VALUE"""),"保險費")</f>
        <v>保險費</v>
      </c>
      <c r="G18" s="37" t="str">
        <f>IFERROR(__xludf.DUMMYFUNCTION("""COMPUTED_VALUE"""),"團體保險")</f>
        <v>團體保險</v>
      </c>
      <c r="H18" s="37" t="str">
        <f>IFERROR(__xludf.DUMMYFUNCTION("""COMPUTED_VALUE"""),"團體保險")</f>
        <v>團體保險</v>
      </c>
      <c r="I18" s="39">
        <f>IFERROR(__xludf.DUMMYFUNCTION("""COMPUTED_VALUE"""),135.0)</f>
        <v>135</v>
      </c>
      <c r="J18" s="39">
        <f>IFERROR(__xludf.DUMMYFUNCTION("""COMPUTED_VALUE"""),1625.0)</f>
        <v>1625</v>
      </c>
      <c r="K18" s="37" t="str">
        <f>IFERROR(__xludf.DUMMYFUNCTION("""COMPUTED_VALUE"""),"各專業中心")</f>
        <v>各專業中心</v>
      </c>
      <c r="L18" s="37" t="str">
        <f>IFERROR(__xludf.DUMMYFUNCTION("""COMPUTED_VALUE"""),"各專業中心")</f>
        <v>各專業中心</v>
      </c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>
      <c r="B19" s="37">
        <f>IFERROR(__xludf.DUMMYFUNCTION("""COMPUTED_VALUE"""),18.0)</f>
        <v>18</v>
      </c>
      <c r="C19" s="37" t="str">
        <f>IFERROR(__xludf.DUMMYFUNCTION("""COMPUTED_VALUE"""),"非人事費用")</f>
        <v>非人事費用</v>
      </c>
      <c r="D19" s="37" t="str">
        <f>IFERROR(__xludf.DUMMYFUNCTION("""COMPUTED_VALUE"""),"iCHEF")</f>
        <v>iCHEF</v>
      </c>
      <c r="E19" s="37" t="str">
        <f>IFERROR(__xludf.DUMMYFUNCTION("""COMPUTED_VALUE"""),"6x20")</f>
        <v>6x20</v>
      </c>
      <c r="F19" s="37" t="str">
        <f>IFERROR(__xludf.DUMMYFUNCTION("""COMPUTED_VALUE"""),"交際費")</f>
        <v>交際費</v>
      </c>
      <c r="G19" s="37" t="str">
        <f>IFERROR(__xludf.DUMMYFUNCTION("""COMPUTED_VALUE"""),"交際費")</f>
        <v>交際費</v>
      </c>
      <c r="H19" s="37" t="str">
        <f>IFERROR(__xludf.DUMMYFUNCTION("""COMPUTED_VALUE"""),"交際費 (CEO)")</f>
        <v>交際費 (CEO)</v>
      </c>
      <c r="I19" s="39">
        <f>IFERROR(__xludf.DUMMYFUNCTION("""COMPUTED_VALUE"""),10000.0)</f>
        <v>10000</v>
      </c>
      <c r="J19" s="39">
        <f>IFERROR(__xludf.DUMMYFUNCTION("""COMPUTED_VALUE"""),120000.0)</f>
        <v>120000</v>
      </c>
      <c r="K19" s="37" t="str">
        <f>IFERROR(__xludf.DUMMYFUNCTION("""COMPUTED_VALUE"""),"各專業中心")</f>
        <v>各專業中心</v>
      </c>
      <c r="L19" s="37" t="str">
        <f>IFERROR(__xludf.DUMMYFUNCTION("""COMPUTED_VALUE"""),"各專業中心")</f>
        <v>各專業中心</v>
      </c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</row>
    <row r="20">
      <c r="B20" s="37">
        <f>IFERROR(__xludf.DUMMYFUNCTION("""COMPUTED_VALUE"""),19.0)</f>
        <v>19</v>
      </c>
      <c r="C20" s="37" t="str">
        <f>IFERROR(__xludf.DUMMYFUNCTION("""COMPUTED_VALUE"""),"非人事費用")</f>
        <v>非人事費用</v>
      </c>
      <c r="D20" s="37" t="str">
        <f>IFERROR(__xludf.DUMMYFUNCTION("""COMPUTED_VALUE"""),"iCHEF+QLR")</f>
        <v>iCHEF+QLR</v>
      </c>
      <c r="E20" s="37" t="str">
        <f>IFERROR(__xludf.DUMMYFUNCTION("""COMPUTED_VALUE"""),"6x20")</f>
        <v>6x20</v>
      </c>
      <c r="F20" s="37" t="str">
        <f>IFERROR(__xludf.DUMMYFUNCTION("""COMPUTED_VALUE"""),"交際費")</f>
        <v>交際費</v>
      </c>
      <c r="G20" s="37" t="str">
        <f>IFERROR(__xludf.DUMMYFUNCTION("""COMPUTED_VALUE"""),"交際費")</f>
        <v>交際費</v>
      </c>
      <c r="H20" s="37" t="str">
        <f>IFERROR(__xludf.DUMMYFUNCTION("""COMPUTED_VALUE"""),"交際費 (一級主管)")</f>
        <v>交際費 (一級主管)</v>
      </c>
      <c r="I20" s="39">
        <f>IFERROR(__xludf.DUMMYFUNCTION("""COMPUTED_VALUE"""),8000.0)</f>
        <v>8000</v>
      </c>
      <c r="J20" s="39">
        <f>IFERROR(__xludf.DUMMYFUNCTION("""COMPUTED_VALUE"""),96000.0)</f>
        <v>96000</v>
      </c>
      <c r="K20" s="37" t="str">
        <f>IFERROR(__xludf.DUMMYFUNCTION("""COMPUTED_VALUE"""),"各專業中心")</f>
        <v>各專業中心</v>
      </c>
      <c r="L20" s="37" t="str">
        <f>IFERROR(__xludf.DUMMYFUNCTION("""COMPUTED_VALUE"""),"各專業中心")</f>
        <v>各專業中心</v>
      </c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</row>
    <row r="21">
      <c r="B21" s="37">
        <f>IFERROR(__xludf.DUMMYFUNCTION("""COMPUTED_VALUE"""),20.0)</f>
        <v>20</v>
      </c>
      <c r="C21" s="37" t="str">
        <f>IFERROR(__xludf.DUMMYFUNCTION("""COMPUTED_VALUE"""),"非人事費用")</f>
        <v>非人事費用</v>
      </c>
      <c r="D21" s="37" t="str">
        <f>IFERROR(__xludf.DUMMYFUNCTION("""COMPUTED_VALUE"""),"iCHEF+QLR")</f>
        <v>iCHEF+QLR</v>
      </c>
      <c r="E21" s="37" t="str">
        <f>IFERROR(__xludf.DUMMYFUNCTION("""COMPUTED_VALUE"""),"6x20")</f>
        <v>6x20</v>
      </c>
      <c r="F21" s="37" t="str">
        <f>IFERROR(__xludf.DUMMYFUNCTION("""COMPUTED_VALUE"""),"交際費")</f>
        <v>交際費</v>
      </c>
      <c r="G21" s="37" t="str">
        <f>IFERROR(__xludf.DUMMYFUNCTION("""COMPUTED_VALUE"""),"交際費")</f>
        <v>交際費</v>
      </c>
      <c r="H21" s="37" t="str">
        <f>IFERROR(__xludf.DUMMYFUNCTION("""COMPUTED_VALUE"""),"交際費 (二級主管)")</f>
        <v>交際費 (二級主管)</v>
      </c>
      <c r="I21" s="39">
        <f>IFERROR(__xludf.DUMMYFUNCTION("""COMPUTED_VALUE"""),3000.0)</f>
        <v>3000</v>
      </c>
      <c r="J21" s="39">
        <f>IFERROR(__xludf.DUMMYFUNCTION("""COMPUTED_VALUE"""),36000.0)</f>
        <v>36000</v>
      </c>
      <c r="K21" s="37" t="str">
        <f>IFERROR(__xludf.DUMMYFUNCTION("""COMPUTED_VALUE"""),"各專業中心")</f>
        <v>各專業中心</v>
      </c>
      <c r="L21" s="37" t="str">
        <f>IFERROR(__xludf.DUMMYFUNCTION("""COMPUTED_VALUE"""),"各專業中心")</f>
        <v>各專業中心</v>
      </c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</row>
    <row r="22">
      <c r="B22" s="37">
        <f>IFERROR(__xludf.DUMMYFUNCTION("""COMPUTED_VALUE"""),21.0)</f>
        <v>21</v>
      </c>
      <c r="C22" s="37" t="str">
        <f>IFERROR(__xludf.DUMMYFUNCTION("""COMPUTED_VALUE"""),"非人事費用")</f>
        <v>非人事費用</v>
      </c>
      <c r="D22" s="37" t="str">
        <f>IFERROR(__xludf.DUMMYFUNCTION("""COMPUTED_VALUE"""),"iCHEF+QLR")</f>
        <v>iCHEF+QLR</v>
      </c>
      <c r="E22" s="37" t="str">
        <f>IFERROR(__xludf.DUMMYFUNCTION("""COMPUTED_VALUE"""),"6x1302
6x1303")</f>
        <v>6x1302
6x1303</v>
      </c>
      <c r="F22" s="37" t="str">
        <f>IFERROR(__xludf.DUMMYFUNCTION("""COMPUTED_VALUE"""),"旅費
旅費")</f>
        <v>旅費
旅費</v>
      </c>
      <c r="G22" s="37" t="str">
        <f>IFERROR(__xludf.DUMMYFUNCTION("""COMPUTED_VALUE"""),"國內差旅費
國外差旅費")</f>
        <v>國內差旅費
國外差旅費</v>
      </c>
      <c r="H22" s="37" t="str">
        <f>IFERROR(__xludf.DUMMYFUNCTION("""COMPUTED_VALUE"""),"差旅費")</f>
        <v>差旅費</v>
      </c>
      <c r="I22" s="37"/>
      <c r="J22" s="37"/>
      <c r="K22" s="37" t="str">
        <f>IFERROR(__xludf.DUMMYFUNCTION("""COMPUTED_VALUE"""),"各專業中心")</f>
        <v>各專業中心</v>
      </c>
      <c r="L22" s="37" t="str">
        <f>IFERROR(__xludf.DUMMYFUNCTION("""COMPUTED_VALUE"""),"各專業中心")</f>
        <v>各專業中心</v>
      </c>
      <c r="M22" s="37" t="str">
        <f>IFERROR(__xludf.DUMMYFUNCTION("""COMPUTED_VALUE"""),"金額由各中心自行評估")</f>
        <v>金額由各中心自行評估</v>
      </c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</row>
    <row r="23">
      <c r="B23" s="37">
        <f>IFERROR(__xludf.DUMMYFUNCTION("""COMPUTED_VALUE"""),22.0)</f>
        <v>22</v>
      </c>
      <c r="C23" s="37" t="str">
        <f>IFERROR(__xludf.DUMMYFUNCTION("""COMPUTED_VALUE"""),"非人事費用")</f>
        <v>非人事費用</v>
      </c>
      <c r="D23" s="37" t="str">
        <f>IFERROR(__xludf.DUMMYFUNCTION("""COMPUTED_VALUE"""),"iCHEF+QLR")</f>
        <v>iCHEF+QLR</v>
      </c>
      <c r="E23" s="37" t="str">
        <f>IFERROR(__xludf.DUMMYFUNCTION("""COMPUTED_VALUE"""),"6x1301")</f>
        <v>6x1301</v>
      </c>
      <c r="F23" s="37" t="str">
        <f>IFERROR(__xludf.DUMMYFUNCTION("""COMPUTED_VALUE"""),"旅費")</f>
        <v>旅費</v>
      </c>
      <c r="G23" s="37" t="str">
        <f>IFERROR(__xludf.DUMMYFUNCTION("""COMPUTED_VALUE"""),"交通費")</f>
        <v>交通費</v>
      </c>
      <c r="H23" s="37" t="str">
        <f>IFERROR(__xludf.DUMMYFUNCTION("""COMPUTED_VALUE"""),"交通費")</f>
        <v>交通費</v>
      </c>
      <c r="I23" s="37"/>
      <c r="J23" s="37"/>
      <c r="K23" s="37" t="str">
        <f>IFERROR(__xludf.DUMMYFUNCTION("""COMPUTED_VALUE"""),"各專業中心")</f>
        <v>各專業中心</v>
      </c>
      <c r="L23" s="37" t="str">
        <f>IFERROR(__xludf.DUMMYFUNCTION("""COMPUTED_VALUE"""),"各專業中心")</f>
        <v>各專業中心</v>
      </c>
      <c r="M23" s="37" t="str">
        <f>IFERROR(__xludf.DUMMYFUNCTION("""COMPUTED_VALUE"""),"金額由各中心自行評估")</f>
        <v>金額由各中心自行評估</v>
      </c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</row>
    <row r="24">
      <c r="B24" s="37">
        <f>IFERROR(__xludf.DUMMYFUNCTION("""COMPUTED_VALUE"""),23.0)</f>
        <v>23</v>
      </c>
      <c r="C24" s="37" t="str">
        <f>IFERROR(__xludf.DUMMYFUNCTION("""COMPUTED_VALUE"""),"非人事費用")</f>
        <v>非人事費用</v>
      </c>
      <c r="D24" s="37" t="str">
        <f>IFERROR(__xludf.DUMMYFUNCTION("""COMPUTED_VALUE"""),"iCHEF")</f>
        <v>iCHEF</v>
      </c>
      <c r="E24" s="37">
        <f>IFERROR(__xludf.DUMMYFUNCTION("""COMPUTED_VALUE"""),613299.0)</f>
        <v>613299</v>
      </c>
      <c r="F24" s="37" t="str">
        <f>IFERROR(__xludf.DUMMYFUNCTION("""COMPUTED_VALUE"""),"其他費用")</f>
        <v>其他費用</v>
      </c>
      <c r="G24" s="37" t="str">
        <f>IFERROR(__xludf.DUMMYFUNCTION("""COMPUTED_VALUE"""),"其他")</f>
        <v>其他</v>
      </c>
      <c r="H24" s="37" t="str">
        <f>IFERROR(__xludf.DUMMYFUNCTION("""COMPUTED_VALUE"""),"新人到職第一餐")</f>
        <v>新人到職第一餐</v>
      </c>
      <c r="I24" s="39">
        <f>IFERROR(__xludf.DUMMYFUNCTION("""COMPUTED_VALUE"""),1000.0)</f>
        <v>1000</v>
      </c>
      <c r="J24" s="39" t="str">
        <f>IFERROR(__xludf.DUMMYFUNCTION("""COMPUTED_VALUE"""),"人")</f>
        <v>人</v>
      </c>
      <c r="K24" s="37" t="str">
        <f>IFERROR(__xludf.DUMMYFUNCTION("""COMPUTED_VALUE"""),"各專業中心")</f>
        <v>各專業中心</v>
      </c>
      <c r="L24" s="37" t="str">
        <f>IFERROR(__xludf.DUMMYFUNCTION("""COMPUTED_VALUE"""),"各專業中心")</f>
        <v>各專業中心</v>
      </c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</row>
    <row r="25">
      <c r="B25" s="37">
        <f>IFERROR(__xludf.DUMMYFUNCTION("""COMPUTED_VALUE"""),24.0)</f>
        <v>24</v>
      </c>
      <c r="C25" s="37" t="str">
        <f>IFERROR(__xludf.DUMMYFUNCTION("""COMPUTED_VALUE"""),"非人事費用")</f>
        <v>非人事費用</v>
      </c>
      <c r="D25" s="37" t="str">
        <f>IFERROR(__xludf.DUMMYFUNCTION("""COMPUTED_VALUE"""),"iCHEF")</f>
        <v>iCHEF</v>
      </c>
      <c r="E25" s="37" t="str">
        <f>IFERROR(__xludf.DUMMYFUNCTION("""COMPUTED_VALUE"""),"6x31")</f>
        <v>6x31</v>
      </c>
      <c r="F25" s="37" t="str">
        <f>IFERROR(__xludf.DUMMYFUNCTION("""COMPUTED_VALUE"""),"訓練費")</f>
        <v>訓練費</v>
      </c>
      <c r="G25" s="37" t="str">
        <f>IFERROR(__xludf.DUMMYFUNCTION("""COMPUTED_VALUE"""),"訓練費")</f>
        <v>訓練費</v>
      </c>
      <c r="H25" s="37" t="str">
        <f>IFERROR(__xludf.DUMMYFUNCTION("""COMPUTED_VALUE"""),"教育訓練")</f>
        <v>教育訓練</v>
      </c>
      <c r="I25" s="37"/>
      <c r="J25" s="39" t="str">
        <f>IFERROR(__xludf.DUMMYFUNCTION("""COMPUTED_VALUE"""),"由 HR 統一管理")</f>
        <v>由 HR 統一管理</v>
      </c>
      <c r="K25" s="37" t="str">
        <f>IFERROR(__xludf.DUMMYFUNCTION("""COMPUTED_VALUE"""),"管理中心")</f>
        <v>管理中心</v>
      </c>
      <c r="L25" s="37" t="str">
        <f>IFERROR(__xludf.DUMMYFUNCTION("""COMPUTED_VALUE"""),"管理中心")</f>
        <v>管理中心</v>
      </c>
      <c r="M25" s="37" t="str">
        <f>IFERROR(__xludf.DUMMYFUNCTION("""COMPUTED_VALUE"""),"由 HR 統一管理、安排教育訓練課程")</f>
        <v>由 HR 統一管理、安排教育訓練課程</v>
      </c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</row>
    <row r="26">
      <c r="B26" s="37">
        <f>IFERROR(__xludf.DUMMYFUNCTION("""COMPUTED_VALUE"""),25.0)</f>
        <v>25</v>
      </c>
      <c r="C26" s="37" t="str">
        <f>IFERROR(__xludf.DUMMYFUNCTION("""COMPUTED_VALUE"""),"非人事費用")</f>
        <v>非人事費用</v>
      </c>
      <c r="D26" s="37" t="str">
        <f>IFERROR(__xludf.DUMMYFUNCTION("""COMPUTED_VALUE"""),"iCHEF")</f>
        <v>iCHEF</v>
      </c>
      <c r="E26" s="37" t="str">
        <f>IFERROR(__xludf.DUMMYFUNCTION("""COMPUTED_VALUE"""),"6x19")</f>
        <v>6x19</v>
      </c>
      <c r="F26" s="37" t="str">
        <f>IFERROR(__xludf.DUMMYFUNCTION("""COMPUTED_VALUE"""),"保險費")</f>
        <v>保險費</v>
      </c>
      <c r="G26" s="37" t="str">
        <f>IFERROR(__xludf.DUMMYFUNCTION("""COMPUTED_VALUE"""),"其他")</f>
        <v>其他</v>
      </c>
      <c r="H26" s="37" t="str">
        <f>IFERROR(__xludf.DUMMYFUNCTION("""COMPUTED_VALUE"""),"火災保險")</f>
        <v>火災保險</v>
      </c>
      <c r="I26" s="39">
        <f>IFERROR(__xludf.DUMMYFUNCTION("""COMPUTED_VALUE"""),6.0)</f>
        <v>6</v>
      </c>
      <c r="J26" s="39">
        <f>IFERROR(__xludf.DUMMYFUNCTION("""COMPUTED_VALUE"""),69.0)</f>
        <v>69</v>
      </c>
      <c r="K26" s="37" t="str">
        <f>IFERROR(__xludf.DUMMYFUNCTION("""COMPUTED_VALUE"""),"管理中心")</f>
        <v>管理中心</v>
      </c>
      <c r="L26" s="37" t="str">
        <f>IFERROR(__xludf.DUMMYFUNCTION("""COMPUTED_VALUE"""),"管理中心")</f>
        <v>管理中心</v>
      </c>
      <c r="M26" s="37" t="str">
        <f>IFERROR(__xludf.DUMMYFUNCTION("""COMPUTED_VALUE"""),"2026 台中辦公室也要保火險、要估列
火險包含裝修、設備、存貨
總金額估在管理中心即可")</f>
        <v>2026 台中辦公室也要保火險、要估列
火險包含裝修、設備、存貨
總金額估在管理中心即可</v>
      </c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</row>
    <row r="27">
      <c r="B27" s="37">
        <f>IFERROR(__xludf.DUMMYFUNCTION("""COMPUTED_VALUE"""),26.0)</f>
        <v>26</v>
      </c>
      <c r="C27" s="37" t="str">
        <f>IFERROR(__xludf.DUMMYFUNCTION("""COMPUTED_VALUE"""),"非人事費用")</f>
        <v>非人事費用</v>
      </c>
      <c r="D27" s="37" t="str">
        <f>IFERROR(__xludf.DUMMYFUNCTION("""COMPUTED_VALUE"""),"iCHEF+QLR")</f>
        <v>iCHEF+QLR</v>
      </c>
      <c r="E27" s="37">
        <f>IFERROR(__xludf.DUMMYFUNCTION("""COMPUTED_VALUE"""),613299.0)</f>
        <v>613299</v>
      </c>
      <c r="F27" s="37" t="str">
        <f>IFERROR(__xludf.DUMMYFUNCTION("""COMPUTED_VALUE"""),"其他費用")</f>
        <v>其他費用</v>
      </c>
      <c r="G27" s="37" t="str">
        <f>IFERROR(__xludf.DUMMYFUNCTION("""COMPUTED_VALUE"""),"其他")</f>
        <v>其他</v>
      </c>
      <c r="H27" s="37" t="str">
        <f>IFERROR(__xludf.DUMMYFUNCTION("""COMPUTED_VALUE"""),"三節禮品")</f>
        <v>三節禮品</v>
      </c>
      <c r="I27" s="39">
        <f>IFERROR(__xludf.DUMMYFUNCTION("""COMPUTED_VALUE"""),175.0)</f>
        <v>175</v>
      </c>
      <c r="J27" s="39">
        <f>IFERROR(__xludf.DUMMYFUNCTION("""COMPUTED_VALUE"""),2100.0)</f>
        <v>2100</v>
      </c>
      <c r="K27" s="37" t="str">
        <f>IFERROR(__xludf.DUMMYFUNCTION("""COMPUTED_VALUE"""),"管理中心")</f>
        <v>管理中心</v>
      </c>
      <c r="L27" s="37" t="str">
        <f>IFERROR(__xludf.DUMMYFUNCTION("""COMPUTED_VALUE"""),"管理中心")</f>
        <v>管理中心</v>
      </c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</row>
    <row r="28">
      <c r="B28" s="37">
        <f>IFERROR(__xludf.DUMMYFUNCTION("""COMPUTED_VALUE"""),27.0)</f>
        <v>27</v>
      </c>
      <c r="C28" s="37" t="str">
        <f>IFERROR(__xludf.DUMMYFUNCTION("""COMPUTED_VALUE"""),"非人事費用")</f>
        <v>非人事費用</v>
      </c>
      <c r="D28" s="37" t="str">
        <f>IFERROR(__xludf.DUMMYFUNCTION("""COMPUTED_VALUE"""),"iCHEF+QLR")</f>
        <v>iCHEF+QLR</v>
      </c>
      <c r="E28" s="37">
        <f>IFERROR(__xludf.DUMMYFUNCTION("""COMPUTED_VALUE"""),613299.0)</f>
        <v>613299</v>
      </c>
      <c r="F28" s="37" t="str">
        <f>IFERROR(__xludf.DUMMYFUNCTION("""COMPUTED_VALUE"""),"其他費用")</f>
        <v>其他費用</v>
      </c>
      <c r="G28" s="37" t="str">
        <f>IFERROR(__xludf.DUMMYFUNCTION("""COMPUTED_VALUE"""),"其他")</f>
        <v>其他</v>
      </c>
      <c r="H28" s="37" t="str">
        <f>IFERROR(__xludf.DUMMYFUNCTION("""COMPUTED_VALUE"""),"尾牙/春酒")</f>
        <v>尾牙/春酒</v>
      </c>
      <c r="I28" s="39">
        <f>IFERROR(__xludf.DUMMYFUNCTION("""COMPUTED_VALUE"""),250.0)</f>
        <v>250</v>
      </c>
      <c r="J28" s="39">
        <f>IFERROR(__xludf.DUMMYFUNCTION("""COMPUTED_VALUE"""),3000.0)</f>
        <v>3000</v>
      </c>
      <c r="K28" s="37" t="str">
        <f>IFERROR(__xludf.DUMMYFUNCTION("""COMPUTED_VALUE"""),"管理中心")</f>
        <v>管理中心</v>
      </c>
      <c r="L28" s="37" t="str">
        <f>IFERROR(__xludf.DUMMYFUNCTION("""COMPUTED_VALUE"""),"管理中心")</f>
        <v>管理中心</v>
      </c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</row>
    <row r="29">
      <c r="B29" s="37">
        <f>IFERROR(__xludf.DUMMYFUNCTION("""COMPUTED_VALUE"""),28.0)</f>
        <v>28</v>
      </c>
      <c r="C29" s="37" t="str">
        <f>IFERROR(__xludf.DUMMYFUNCTION("""COMPUTED_VALUE"""),"非人事費用")</f>
        <v>非人事費用</v>
      </c>
      <c r="D29" s="37" t="str">
        <f>IFERROR(__xludf.DUMMYFUNCTION("""COMPUTED_VALUE"""),"iCHEF+QLR")</f>
        <v>iCHEF+QLR</v>
      </c>
      <c r="E29" s="37">
        <f>IFERROR(__xludf.DUMMYFUNCTION("""COMPUTED_VALUE"""),613299.0)</f>
        <v>613299</v>
      </c>
      <c r="F29" s="37" t="str">
        <f>IFERROR(__xludf.DUMMYFUNCTION("""COMPUTED_VALUE"""),"其他費用")</f>
        <v>其他費用</v>
      </c>
      <c r="G29" s="37" t="str">
        <f>IFERROR(__xludf.DUMMYFUNCTION("""COMPUTED_VALUE"""),"其他")</f>
        <v>其他</v>
      </c>
      <c r="H29" s="37" t="str">
        <f>IFERROR(__xludf.DUMMYFUNCTION("""COMPUTED_VALUE"""),"Pizza Meeting 餐費 (每週 NT$ 170)")</f>
        <v>Pizza Meeting 餐費 (每週 NT$ 170)</v>
      </c>
      <c r="I29" s="39">
        <f>IFERROR(__xludf.DUMMYFUNCTION("""COMPUTED_VALUE"""),600.0)</f>
        <v>600</v>
      </c>
      <c r="J29" s="39">
        <f>IFERROR(__xludf.DUMMYFUNCTION("""COMPUTED_VALUE"""),7200.0)</f>
        <v>7200</v>
      </c>
      <c r="K29" s="37" t="str">
        <f>IFERROR(__xludf.DUMMYFUNCTION("""COMPUTED_VALUE"""),"管理中心")</f>
        <v>管理中心</v>
      </c>
      <c r="L29" s="37" t="str">
        <f>IFERROR(__xludf.DUMMYFUNCTION("""COMPUTED_VALUE"""),"管理中心")</f>
        <v>管理中心</v>
      </c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</row>
    <row r="30">
      <c r="B30" s="37">
        <f>IFERROR(__xludf.DUMMYFUNCTION("""COMPUTED_VALUE"""),29.0)</f>
        <v>29</v>
      </c>
      <c r="C30" s="37" t="str">
        <f>IFERROR(__xludf.DUMMYFUNCTION("""COMPUTED_VALUE"""),"非人事費用")</f>
        <v>非人事費用</v>
      </c>
      <c r="D30" s="37" t="str">
        <f>IFERROR(__xludf.DUMMYFUNCTION("""COMPUTED_VALUE"""),"iCHEF")</f>
        <v>iCHEF</v>
      </c>
      <c r="E30" s="37"/>
      <c r="F30" s="37"/>
      <c r="G30" s="37"/>
      <c r="H30" s="37" t="str">
        <f>IFERROR(__xludf.DUMMYFUNCTION("""COMPUTED_VALUE"""),"業務 公務機津貼")</f>
        <v>業務 公務機津貼</v>
      </c>
      <c r="I30" s="39">
        <f>IFERROR(__xludf.DUMMYFUNCTION("""COMPUTED_VALUE"""),1200.0)</f>
        <v>1200</v>
      </c>
      <c r="J30" s="39">
        <f>IFERROR(__xludf.DUMMYFUNCTION("""COMPUTED_VALUE"""),14400.0)</f>
        <v>14400</v>
      </c>
      <c r="K30" s="37" t="str">
        <f>IFERROR(__xludf.DUMMYFUNCTION("""COMPUTED_VALUE"""),"行銷營運中心")</f>
        <v>行銷營運中心</v>
      </c>
      <c r="L30" s="37" t="str">
        <f>IFERROR(__xludf.DUMMYFUNCTION("""COMPUTED_VALUE"""),"行銷營運中心")</f>
        <v>行銷營運中心</v>
      </c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</row>
    <row r="31">
      <c r="B31" s="37">
        <f>IFERROR(__xludf.DUMMYFUNCTION("""COMPUTED_VALUE"""),30.0)</f>
        <v>30</v>
      </c>
      <c r="C31" s="37" t="str">
        <f>IFERROR(__xludf.DUMMYFUNCTION("""COMPUTED_VALUE"""),"非人事費用")</f>
        <v>非人事費用</v>
      </c>
      <c r="D31" s="37" t="str">
        <f>IFERROR(__xludf.DUMMYFUNCTION("""COMPUTED_VALUE"""),"iCHEF")</f>
        <v>iCHEF</v>
      </c>
      <c r="E31" s="37"/>
      <c r="F31" s="37"/>
      <c r="G31" s="37"/>
      <c r="H31" s="37" t="str">
        <f>IFERROR(__xludf.DUMMYFUNCTION("""COMPUTED_VALUE"""),"業務 多店顧問 交通費")</f>
        <v>業務 多店顧問 交通費</v>
      </c>
      <c r="I31" s="39">
        <f>IFERROR(__xludf.DUMMYFUNCTION("""COMPUTED_VALUE"""),15000.0)</f>
        <v>15000</v>
      </c>
      <c r="J31" s="39">
        <f>IFERROR(__xludf.DUMMYFUNCTION("""COMPUTED_VALUE"""),180000.0)</f>
        <v>180000</v>
      </c>
      <c r="K31" s="37" t="str">
        <f>IFERROR(__xludf.DUMMYFUNCTION("""COMPUTED_VALUE"""),"行銷營運中心")</f>
        <v>行銷營運中心</v>
      </c>
      <c r="L31" s="37" t="str">
        <f>IFERROR(__xludf.DUMMYFUNCTION("""COMPUTED_VALUE"""),"行銷營運中心")</f>
        <v>行銷營運中心</v>
      </c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</row>
    <row r="32">
      <c r="B32" s="37">
        <f>IFERROR(__xludf.DUMMYFUNCTION("""COMPUTED_VALUE"""),31.0)</f>
        <v>31</v>
      </c>
      <c r="C32" s="37" t="str">
        <f>IFERROR(__xludf.DUMMYFUNCTION("""COMPUTED_VALUE"""),"非人事費用")</f>
        <v>非人事費用</v>
      </c>
      <c r="D32" s="37" t="str">
        <f>IFERROR(__xludf.DUMMYFUNCTION("""COMPUTED_VALUE"""),"iCHEF")</f>
        <v>iCHEF</v>
      </c>
      <c r="E32" s="37"/>
      <c r="F32" s="37"/>
      <c r="G32" s="37"/>
      <c r="H32" s="37" t="str">
        <f>IFERROR(__xludf.DUMMYFUNCTION("""COMPUTED_VALUE"""),"業務 多店顧問 交際費")</f>
        <v>業務 多店顧問 交際費</v>
      </c>
      <c r="I32" s="39">
        <f>IFERROR(__xludf.DUMMYFUNCTION("""COMPUTED_VALUE"""),3000.0)</f>
        <v>3000</v>
      </c>
      <c r="J32" s="39">
        <f>IFERROR(__xludf.DUMMYFUNCTION("""COMPUTED_VALUE"""),36000.0)</f>
        <v>36000</v>
      </c>
      <c r="K32" s="37" t="str">
        <f>IFERROR(__xludf.DUMMYFUNCTION("""COMPUTED_VALUE"""),"行銷營運中心")</f>
        <v>行銷營運中心</v>
      </c>
      <c r="L32" s="37" t="str">
        <f>IFERROR(__xludf.DUMMYFUNCTION("""COMPUTED_VALUE"""),"行銷營運中心")</f>
        <v>行銷營運中心</v>
      </c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</row>
    <row r="33">
      <c r="B33" s="37">
        <f>IFERROR(__xludf.DUMMYFUNCTION("""COMPUTED_VALUE"""),32.0)</f>
        <v>32</v>
      </c>
      <c r="C33" s="37" t="str">
        <f>IFERROR(__xludf.DUMMYFUNCTION("""COMPUTED_VALUE"""),"人事費用")</f>
        <v>人事費用</v>
      </c>
      <c r="D33" s="37" t="str">
        <f>IFERROR(__xludf.DUMMYFUNCTION("""COMPUTED_VALUE"""),"iCHEF")</f>
        <v>iCHEF</v>
      </c>
      <c r="E33" s="37"/>
      <c r="F33" s="37"/>
      <c r="G33" s="37"/>
      <c r="H33" s="37" t="str">
        <f>IFERROR(__xludf.DUMMYFUNCTION("""COMPUTED_VALUE"""),"業務 季度績效獎金 (一般業務)")</f>
        <v>業務 季度績效獎金 (一般業務)</v>
      </c>
      <c r="I33" s="39">
        <f>IFERROR(__xludf.DUMMYFUNCTION("""COMPUTED_VALUE"""),3334.0)</f>
        <v>3334</v>
      </c>
      <c r="J33" s="39">
        <f>IFERROR(__xludf.DUMMYFUNCTION("""COMPUTED_VALUE"""),40000.0)</f>
        <v>40000</v>
      </c>
      <c r="K33" s="37" t="str">
        <f>IFERROR(__xludf.DUMMYFUNCTION("""COMPUTED_VALUE"""),"行銷營運中心")</f>
        <v>行銷營運中心</v>
      </c>
      <c r="L33" s="37" t="str">
        <f>IFERROR(__xludf.DUMMYFUNCTION("""COMPUTED_VALUE"""),"行銷營運中心")</f>
        <v>行銷營運中心</v>
      </c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</row>
    <row r="34">
      <c r="B34" s="37">
        <f>IFERROR(__xludf.DUMMYFUNCTION("""COMPUTED_VALUE"""),33.0)</f>
        <v>33</v>
      </c>
      <c r="C34" s="37" t="str">
        <f>IFERROR(__xludf.DUMMYFUNCTION("""COMPUTED_VALUE"""),"人事費用")</f>
        <v>人事費用</v>
      </c>
      <c r="D34" s="37" t="str">
        <f>IFERROR(__xludf.DUMMYFUNCTION("""COMPUTED_VALUE"""),"iCHEF")</f>
        <v>iCHEF</v>
      </c>
      <c r="E34" s="37"/>
      <c r="F34" s="37"/>
      <c r="G34" s="37"/>
      <c r="H34" s="37" t="str">
        <f>IFERROR(__xludf.DUMMYFUNCTION("""COMPUTED_VALUE"""),"業務 季度績效獎金 (資深業務)")</f>
        <v>業務 季度績效獎金 (資深業務)</v>
      </c>
      <c r="I34" s="39">
        <f>IFERROR(__xludf.DUMMYFUNCTION("""COMPUTED_VALUE"""),5000.0)</f>
        <v>5000</v>
      </c>
      <c r="J34" s="39">
        <f>IFERROR(__xludf.DUMMYFUNCTION("""COMPUTED_VALUE"""),60000.0)</f>
        <v>60000</v>
      </c>
      <c r="K34" s="37" t="str">
        <f>IFERROR(__xludf.DUMMYFUNCTION("""COMPUTED_VALUE"""),"行銷營運中心")</f>
        <v>行銷營運中心</v>
      </c>
      <c r="L34" s="37" t="str">
        <f>IFERROR(__xludf.DUMMYFUNCTION("""COMPUTED_VALUE"""),"行銷營運中心")</f>
        <v>行銷營運中心</v>
      </c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</row>
    <row r="35">
      <c r="B35" s="37">
        <f>IFERROR(__xludf.DUMMYFUNCTION("""COMPUTED_VALUE"""),34.0)</f>
        <v>34</v>
      </c>
      <c r="C35" s="37" t="str">
        <f>IFERROR(__xludf.DUMMYFUNCTION("""COMPUTED_VALUE"""),"人事費用")</f>
        <v>人事費用</v>
      </c>
      <c r="D35" s="37" t="str">
        <f>IFERROR(__xludf.DUMMYFUNCTION("""COMPUTED_VALUE"""),"iCHEF")</f>
        <v>iCHEF</v>
      </c>
      <c r="E35" s="37"/>
      <c r="F35" s="37"/>
      <c r="G35" s="37"/>
      <c r="H35" s="37" t="str">
        <f>IFERROR(__xludf.DUMMYFUNCTION("""COMPUTED_VALUE"""),"業務 季度績效獎金 (業務團隊主管)")</f>
        <v>業務 季度績效獎金 (業務團隊主管)</v>
      </c>
      <c r="I35" s="39">
        <f>IFERROR(__xludf.DUMMYFUNCTION("""COMPUTED_VALUE"""),15000.0)</f>
        <v>15000</v>
      </c>
      <c r="J35" s="39">
        <f>IFERROR(__xludf.DUMMYFUNCTION("""COMPUTED_VALUE"""),180000.0)</f>
        <v>180000</v>
      </c>
      <c r="K35" s="37" t="str">
        <f>IFERROR(__xludf.DUMMYFUNCTION("""COMPUTED_VALUE"""),"行銷營運中心")</f>
        <v>行銷營運中心</v>
      </c>
      <c r="L35" s="37" t="str">
        <f>IFERROR(__xludf.DUMMYFUNCTION("""COMPUTED_VALUE"""),"行銷營運中心")</f>
        <v>行銷營運中心</v>
      </c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</row>
    <row r="36">
      <c r="B36" s="37">
        <f>IFERROR(__xludf.DUMMYFUNCTION("""COMPUTED_VALUE"""),35.0)</f>
        <v>35</v>
      </c>
      <c r="C36" s="37" t="str">
        <f>IFERROR(__xludf.DUMMYFUNCTION("""COMPUTED_VALUE"""),"人事費用")</f>
        <v>人事費用</v>
      </c>
      <c r="D36" s="37" t="str">
        <f>IFERROR(__xludf.DUMMYFUNCTION("""COMPUTED_VALUE"""),"iCHEF")</f>
        <v>iCHEF</v>
      </c>
      <c r="E36" s="37"/>
      <c r="F36" s="37"/>
      <c r="G36" s="37"/>
      <c r="H36" s="37" t="str">
        <f>IFERROR(__xludf.DUMMYFUNCTION("""COMPUTED_VALUE"""),"業務 帳號啟用費獎金 (開發/混編)")</f>
        <v>業務 帳號啟用費獎金 (開發/混編)</v>
      </c>
      <c r="I36" s="39">
        <f>IFERROR(__xludf.DUMMYFUNCTION("""COMPUTED_VALUE"""),510.0)</f>
        <v>510</v>
      </c>
      <c r="J36" s="39" t="str">
        <f>IFERROR(__xludf.DUMMYFUNCTION("""COMPUTED_VALUE"""),"間")</f>
        <v>間</v>
      </c>
      <c r="K36" s="37" t="str">
        <f>IFERROR(__xludf.DUMMYFUNCTION("""COMPUTED_VALUE"""),"行銷營運中心")</f>
        <v>行銷營運中心</v>
      </c>
      <c r="L36" s="37" t="str">
        <f>IFERROR(__xludf.DUMMYFUNCTION("""COMPUTED_VALUE"""),"行銷營運中心")</f>
        <v>行銷營運中心</v>
      </c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</row>
    <row r="37">
      <c r="B37" s="37">
        <f>IFERROR(__xludf.DUMMYFUNCTION("""COMPUTED_VALUE"""),36.0)</f>
        <v>36</v>
      </c>
      <c r="C37" s="37" t="str">
        <f>IFERROR(__xludf.DUMMYFUNCTION("""COMPUTED_VALUE"""),"人事費用")</f>
        <v>人事費用</v>
      </c>
      <c r="D37" s="37" t="str">
        <f>IFERROR(__xludf.DUMMYFUNCTION("""COMPUTED_VALUE"""),"iCHEF")</f>
        <v>iCHEF</v>
      </c>
      <c r="E37" s="37"/>
      <c r="F37" s="37"/>
      <c r="G37" s="37"/>
      <c r="H37" s="37" t="str">
        <f>IFERROR(__xludf.DUMMYFUNCTION("""COMPUTED_VALUE"""),"業務 標準方案啟用獎金 (開發/混編)")</f>
        <v>業務 標準方案啟用獎金 (開發/混編)</v>
      </c>
      <c r="I37" s="39">
        <f>IFERROR(__xludf.DUMMYFUNCTION("""COMPUTED_VALUE"""),1500.0)</f>
        <v>1500</v>
      </c>
      <c r="J37" s="39" t="str">
        <f>IFERROR(__xludf.DUMMYFUNCTION("""COMPUTED_VALUE"""),"間")</f>
        <v>間</v>
      </c>
      <c r="K37" s="37" t="str">
        <f>IFERROR(__xludf.DUMMYFUNCTION("""COMPUTED_VALUE"""),"行銷營運中心")</f>
        <v>行銷營運中心</v>
      </c>
      <c r="L37" s="37" t="str">
        <f>IFERROR(__xludf.DUMMYFUNCTION("""COMPUTED_VALUE"""),"行銷營運中心")</f>
        <v>行銷營運中心</v>
      </c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</row>
    <row r="38">
      <c r="B38" s="37">
        <f>IFERROR(__xludf.DUMMYFUNCTION("""COMPUTED_VALUE"""),37.0)</f>
        <v>37</v>
      </c>
      <c r="C38" s="37" t="str">
        <f>IFERROR(__xludf.DUMMYFUNCTION("""COMPUTED_VALUE"""),"人事費用")</f>
        <v>人事費用</v>
      </c>
      <c r="D38" s="37" t="str">
        <f>IFERROR(__xludf.DUMMYFUNCTION("""COMPUTED_VALUE"""),"iCHEF")</f>
        <v>iCHEF</v>
      </c>
      <c r="E38" s="37"/>
      <c r="F38" s="37"/>
      <c r="G38" s="37"/>
      <c r="H38" s="37" t="str">
        <f>IFERROR(__xludf.DUMMYFUNCTION("""COMPUTED_VALUE"""),"業務 進階方案啟用獎金 (開發/混編)")</f>
        <v>業務 進階方案啟用獎金 (開發/混編)</v>
      </c>
      <c r="I38" s="39">
        <f>IFERROR(__xludf.DUMMYFUNCTION("""COMPUTED_VALUE"""),3500.0)</f>
        <v>3500</v>
      </c>
      <c r="J38" s="39" t="str">
        <f>IFERROR(__xludf.DUMMYFUNCTION("""COMPUTED_VALUE"""),"間")</f>
        <v>間</v>
      </c>
      <c r="K38" s="37" t="str">
        <f>IFERROR(__xludf.DUMMYFUNCTION("""COMPUTED_VALUE"""),"行銷營運中心")</f>
        <v>行銷營運中心</v>
      </c>
      <c r="L38" s="37" t="str">
        <f>IFERROR(__xludf.DUMMYFUNCTION("""COMPUTED_VALUE"""),"行銷營運中心")</f>
        <v>行銷營運中心</v>
      </c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</row>
    <row r="39">
      <c r="B39" s="37">
        <f>IFERROR(__xludf.DUMMYFUNCTION("""COMPUTED_VALUE"""),38.0)</f>
        <v>38</v>
      </c>
      <c r="C39" s="37" t="str">
        <f>IFERROR(__xludf.DUMMYFUNCTION("""COMPUTED_VALUE"""),"人事費用")</f>
        <v>人事費用</v>
      </c>
      <c r="D39" s="37" t="str">
        <f>IFERROR(__xludf.DUMMYFUNCTION("""COMPUTED_VALUE"""),"iCHEF")</f>
        <v>iCHEF</v>
      </c>
      <c r="E39" s="37"/>
      <c r="F39" s="37"/>
      <c r="G39" s="37"/>
      <c r="H39" s="37" t="str">
        <f>IFERROR(__xludf.DUMMYFUNCTION("""COMPUTED_VALUE"""),"業務 頂級方案啟用獎金 (開發/混編)")</f>
        <v>業務 頂級方案啟用獎金 (開發/混編)</v>
      </c>
      <c r="I39" s="39">
        <f>IFERROR(__xludf.DUMMYFUNCTION("""COMPUTED_VALUE"""),5500.0)</f>
        <v>5500</v>
      </c>
      <c r="J39" s="39" t="str">
        <f>IFERROR(__xludf.DUMMYFUNCTION("""COMPUTED_VALUE"""),"間")</f>
        <v>間</v>
      </c>
      <c r="K39" s="37" t="str">
        <f>IFERROR(__xludf.DUMMYFUNCTION("""COMPUTED_VALUE"""),"行銷營運中心")</f>
        <v>行銷營運中心</v>
      </c>
      <c r="L39" s="37" t="str">
        <f>IFERROR(__xludf.DUMMYFUNCTION("""COMPUTED_VALUE"""),"行銷營運中心")</f>
        <v>行銷營運中心</v>
      </c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</row>
    <row r="40">
      <c r="B40" s="37">
        <f>IFERROR(__xludf.DUMMYFUNCTION("""COMPUTED_VALUE"""),39.0)</f>
        <v>39</v>
      </c>
      <c r="C40" s="37" t="str">
        <f>IFERROR(__xludf.DUMMYFUNCTION("""COMPUTED_VALUE"""),"人事費用")</f>
        <v>人事費用</v>
      </c>
      <c r="D40" s="37" t="str">
        <f>IFERROR(__xludf.DUMMYFUNCTION("""COMPUTED_VALUE"""),"iCHEF")</f>
        <v>iCHEF</v>
      </c>
      <c r="E40" s="37"/>
      <c r="F40" s="37"/>
      <c r="G40" s="37"/>
      <c r="H40" s="37" t="str">
        <f>IFERROR(__xludf.DUMMYFUNCTION("""COMPUTED_VALUE"""),"業務 轉介通路獎金 (業務)")</f>
        <v>業務 轉介通路獎金 (業務)</v>
      </c>
      <c r="I40" s="39">
        <f>IFERROR(__xludf.DUMMYFUNCTION("""COMPUTED_VALUE"""),1500.0)</f>
        <v>1500</v>
      </c>
      <c r="J40" s="39" t="str">
        <f>IFERROR(__xludf.DUMMYFUNCTION("""COMPUTED_VALUE"""),"間")</f>
        <v>間</v>
      </c>
      <c r="K40" s="37" t="str">
        <f>IFERROR(__xludf.DUMMYFUNCTION("""COMPUTED_VALUE"""),"行銷營運中心")</f>
        <v>行銷營運中心</v>
      </c>
      <c r="L40" s="37" t="str">
        <f>IFERROR(__xludf.DUMMYFUNCTION("""COMPUTED_VALUE"""),"行銷營運中心")</f>
        <v>行銷營運中心</v>
      </c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</row>
    <row r="41">
      <c r="B41" s="37">
        <f>IFERROR(__xludf.DUMMYFUNCTION("""COMPUTED_VALUE"""),40.0)</f>
        <v>40</v>
      </c>
      <c r="C41" s="37" t="str">
        <f>IFERROR(__xludf.DUMMYFUNCTION("""COMPUTED_VALUE"""),"人事費用")</f>
        <v>人事費用</v>
      </c>
      <c r="D41" s="37" t="str">
        <f>IFERROR(__xludf.DUMMYFUNCTION("""COMPUTED_VALUE"""),"iCHEF")</f>
        <v>iCHEF</v>
      </c>
      <c r="E41" s="37"/>
      <c r="F41" s="37"/>
      <c r="G41" s="37"/>
      <c r="H41" s="37" t="str">
        <f>IFERROR(__xludf.DUMMYFUNCTION("""COMPUTED_VALUE"""),"業務 激勵獎金 (開發顧問)")</f>
        <v>業務 激勵獎金 (開發顧問)</v>
      </c>
      <c r="I41" s="39">
        <f>IFERROR(__xludf.DUMMYFUNCTION("""COMPUTED_VALUE"""),5000.0)</f>
        <v>5000</v>
      </c>
      <c r="J41" s="39" t="str">
        <f>IFERROR(__xludf.DUMMYFUNCTION("""COMPUTED_VALUE"""),"北區、非北區開發顧問各一名")</f>
        <v>北區、非北區開發顧問各一名</v>
      </c>
      <c r="K41" s="37" t="str">
        <f>IFERROR(__xludf.DUMMYFUNCTION("""COMPUTED_VALUE"""),"行銷營運中心")</f>
        <v>行銷營運中心</v>
      </c>
      <c r="L41" s="37" t="str">
        <f>IFERROR(__xludf.DUMMYFUNCTION("""COMPUTED_VALUE"""),"行銷營運中心")</f>
        <v>行銷營運中心</v>
      </c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</row>
    <row r="42">
      <c r="B42" s="37">
        <f>IFERROR(__xludf.DUMMYFUNCTION("""COMPUTED_VALUE"""),41.0)</f>
        <v>41</v>
      </c>
      <c r="C42" s="37" t="str">
        <f>IFERROR(__xludf.DUMMYFUNCTION("""COMPUTED_VALUE"""),"人事費用")</f>
        <v>人事費用</v>
      </c>
      <c r="D42" s="37" t="str">
        <f>IFERROR(__xludf.DUMMYFUNCTION("""COMPUTED_VALUE"""),"iCHEF")</f>
        <v>iCHEF</v>
      </c>
      <c r="E42" s="37"/>
      <c r="F42" s="37"/>
      <c r="G42" s="37"/>
      <c r="H42" s="37" t="str">
        <f>IFERROR(__xludf.DUMMYFUNCTION("""COMPUTED_VALUE"""),"業務 導入津貼 (混編顧問)")</f>
        <v>業務 導入津貼 (混編顧問)</v>
      </c>
      <c r="I42" s="39">
        <f>IFERROR(__xludf.DUMMYFUNCTION("""COMPUTED_VALUE"""),1500.0)</f>
        <v>1500</v>
      </c>
      <c r="J42" s="39" t="str">
        <f>IFERROR(__xludf.DUMMYFUNCTION("""COMPUTED_VALUE"""),"間")</f>
        <v>間</v>
      </c>
      <c r="K42" s="37" t="str">
        <f>IFERROR(__xludf.DUMMYFUNCTION("""COMPUTED_VALUE"""),"行銷營運中心")</f>
        <v>行銷營運中心</v>
      </c>
      <c r="L42" s="37" t="str">
        <f>IFERROR(__xludf.DUMMYFUNCTION("""COMPUTED_VALUE"""),"行銷營運中心")</f>
        <v>行銷營運中心</v>
      </c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</row>
    <row r="43">
      <c r="B43" s="37">
        <f>IFERROR(__xludf.DUMMYFUNCTION("""COMPUTED_VALUE"""),42.0)</f>
        <v>42</v>
      </c>
      <c r="C43" s="37" t="str">
        <f>IFERROR(__xludf.DUMMYFUNCTION("""COMPUTED_VALUE"""),"人事費用")</f>
        <v>人事費用</v>
      </c>
      <c r="D43" s="37" t="str">
        <f>IFERROR(__xludf.DUMMYFUNCTION("""COMPUTED_VALUE"""),"iCHEF")</f>
        <v>iCHEF</v>
      </c>
      <c r="E43" s="37"/>
      <c r="F43" s="37"/>
      <c r="G43" s="37"/>
      <c r="H43" s="37" t="str">
        <f>IFERROR(__xludf.DUMMYFUNCTION("""COMPUTED_VALUE"""),"業務 超額導入津貼 (導入教練)")</f>
        <v>業務 超額導入津貼 (導入教練)</v>
      </c>
      <c r="I43" s="39">
        <f>IFERROR(__xludf.DUMMYFUNCTION("""COMPUTED_VALUE"""),1500.0)</f>
        <v>1500</v>
      </c>
      <c r="J43" s="39" t="str">
        <f>IFERROR(__xludf.DUMMYFUNCTION("""COMPUTED_VALUE"""),"間")</f>
        <v>間</v>
      </c>
      <c r="K43" s="37" t="str">
        <f>IFERROR(__xludf.DUMMYFUNCTION("""COMPUTED_VALUE"""),"行銷營運中心")</f>
        <v>行銷營運中心</v>
      </c>
      <c r="L43" s="37" t="str">
        <f>IFERROR(__xludf.DUMMYFUNCTION("""COMPUTED_VALUE"""),"行銷營運中心")</f>
        <v>行銷營運中心</v>
      </c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</row>
    <row r="44">
      <c r="B44" s="37">
        <f>IFERROR(__xludf.DUMMYFUNCTION("""COMPUTED_VALUE"""),43.0)</f>
        <v>43</v>
      </c>
      <c r="C44" s="37" t="str">
        <f>IFERROR(__xludf.DUMMYFUNCTION("""COMPUTED_VALUE"""),"人事費用")</f>
        <v>人事費用</v>
      </c>
      <c r="D44" s="37" t="str">
        <f>IFERROR(__xludf.DUMMYFUNCTION("""COMPUTED_VALUE"""),"iCHEF")</f>
        <v>iCHEF</v>
      </c>
      <c r="E44" s="37"/>
      <c r="F44" s="37"/>
      <c r="G44" s="37"/>
      <c r="H44" s="37" t="str">
        <f>IFERROR(__xludf.DUMMYFUNCTION("""COMPUTED_VALUE"""),"業務 總店系統啟用獎金")</f>
        <v>業務 總店系統啟用獎金</v>
      </c>
      <c r="I44" s="39">
        <f>IFERROR(__xludf.DUMMYFUNCTION("""COMPUTED_VALUE"""),3000.0)</f>
        <v>3000</v>
      </c>
      <c r="J44" s="39" t="str">
        <f>IFERROR(__xludf.DUMMYFUNCTION("""COMPUTED_VALUE"""),"間")</f>
        <v>間</v>
      </c>
      <c r="K44" s="37" t="str">
        <f>IFERROR(__xludf.DUMMYFUNCTION("""COMPUTED_VALUE"""),"行銷營運中心")</f>
        <v>行銷營運中心</v>
      </c>
      <c r="L44" s="37" t="str">
        <f>IFERROR(__xludf.DUMMYFUNCTION("""COMPUTED_VALUE"""),"行銷營運中心")</f>
        <v>行銷營運中心</v>
      </c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</row>
    <row r="45">
      <c r="B45" s="37">
        <f>IFERROR(__xludf.DUMMYFUNCTION("""COMPUTED_VALUE"""),44.0)</f>
        <v>44</v>
      </c>
      <c r="C45" s="37" t="str">
        <f>IFERROR(__xludf.DUMMYFUNCTION("""COMPUTED_VALUE"""),"人事費用")</f>
        <v>人事費用</v>
      </c>
      <c r="D45" s="37" t="str">
        <f>IFERROR(__xludf.DUMMYFUNCTION("""COMPUTED_VALUE"""),"iCHEF")</f>
        <v>iCHEF</v>
      </c>
      <c r="E45" s="37"/>
      <c r="F45" s="37"/>
      <c r="G45" s="37"/>
      <c r="H45" s="37" t="str">
        <f>IFERROR(__xludf.DUMMYFUNCTION("""COMPUTED_VALUE"""),"業務 總店系統導入獎金")</f>
        <v>業務 總店系統導入獎金</v>
      </c>
      <c r="I45" s="39">
        <f>IFERROR(__xludf.DUMMYFUNCTION("""COMPUTED_VALUE"""),2000.0)</f>
        <v>2000</v>
      </c>
      <c r="J45" s="39" t="str">
        <f>IFERROR(__xludf.DUMMYFUNCTION("""COMPUTED_VALUE"""),"品牌")</f>
        <v>品牌</v>
      </c>
      <c r="K45" s="37" t="str">
        <f>IFERROR(__xludf.DUMMYFUNCTION("""COMPUTED_VALUE"""),"行銷營運中心")</f>
        <v>行銷營運中心</v>
      </c>
      <c r="L45" s="37" t="str">
        <f>IFERROR(__xludf.DUMMYFUNCTION("""COMPUTED_VALUE"""),"行銷營運中心")</f>
        <v>行銷營運中心</v>
      </c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</row>
    <row r="46">
      <c r="B46" s="37">
        <f>IFERROR(__xludf.DUMMYFUNCTION("""COMPUTED_VALUE"""),45.0)</f>
        <v>45</v>
      </c>
      <c r="C46" s="37" t="str">
        <f>IFERROR(__xludf.DUMMYFUNCTION("""COMPUTED_VALUE"""),"人事費用")</f>
        <v>人事費用</v>
      </c>
      <c r="D46" s="37" t="str">
        <f>IFERROR(__xludf.DUMMYFUNCTION("""COMPUTED_VALUE"""),"iCHEF")</f>
        <v>iCHEF</v>
      </c>
      <c r="E46" s="37"/>
      <c r="F46" s="37"/>
      <c r="G46" s="37"/>
      <c r="H46" s="37" t="str">
        <f>IFERROR(__xludf.DUMMYFUNCTION("""COMPUTED_VALUE"""),"業務 總店系統轉介獎金")</f>
        <v>業務 總店系統轉介獎金</v>
      </c>
      <c r="I46" s="39">
        <f>IFERROR(__xludf.DUMMYFUNCTION("""COMPUTED_VALUE"""),1500.0)</f>
        <v>1500</v>
      </c>
      <c r="J46" s="39" t="str">
        <f>IFERROR(__xludf.DUMMYFUNCTION("""COMPUTED_VALUE"""),"品牌")</f>
        <v>品牌</v>
      </c>
      <c r="K46" s="37" t="str">
        <f>IFERROR(__xludf.DUMMYFUNCTION("""COMPUTED_VALUE"""),"行銷營運中心")</f>
        <v>行銷營運中心</v>
      </c>
      <c r="L46" s="37" t="str">
        <f>IFERROR(__xludf.DUMMYFUNCTION("""COMPUTED_VALUE"""),"行銷營運中心")</f>
        <v>行銷營運中心</v>
      </c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</row>
    <row r="47">
      <c r="B47" s="37">
        <f>IFERROR(__xludf.DUMMYFUNCTION("""COMPUTED_VALUE"""),46.0)</f>
        <v>46</v>
      </c>
      <c r="C47" s="37" t="str">
        <f>IFERROR(__xludf.DUMMYFUNCTION("""COMPUTED_VALUE"""),"人事費用")</f>
        <v>人事費用</v>
      </c>
      <c r="D47" s="37" t="str">
        <f>IFERROR(__xludf.DUMMYFUNCTION("""COMPUTED_VALUE"""),"iCHEF")</f>
        <v>iCHEF</v>
      </c>
      <c r="E47" s="37"/>
      <c r="F47" s="37"/>
      <c r="G47" s="37"/>
      <c r="H47" s="37" t="str">
        <f>IFERROR(__xludf.DUMMYFUNCTION("""COMPUTED_VALUE"""),"業務 總店系統首批軟體獎金")</f>
        <v>業務 總店系統首批軟體獎金</v>
      </c>
      <c r="I47" s="39">
        <f>IFERROR(__xludf.DUMMYFUNCTION("""COMPUTED_VALUE"""),3200.0)</f>
        <v>3200</v>
      </c>
      <c r="J47" s="39" t="str">
        <f>IFERROR(__xludf.DUMMYFUNCTION("""COMPUTED_VALUE"""),"席")</f>
        <v>席</v>
      </c>
      <c r="K47" s="37" t="str">
        <f>IFERROR(__xludf.DUMMYFUNCTION("""COMPUTED_VALUE"""),"行銷營運中心")</f>
        <v>行銷營運中心</v>
      </c>
      <c r="L47" s="37" t="str">
        <f>IFERROR(__xludf.DUMMYFUNCTION("""COMPUTED_VALUE"""),"行銷營運中心")</f>
        <v>行銷營運中心</v>
      </c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</row>
    <row r="48">
      <c r="B48" s="37">
        <f>IFERROR(__xludf.DUMMYFUNCTION("""COMPUTED_VALUE"""),47.0)</f>
        <v>47</v>
      </c>
      <c r="C48" s="37" t="str">
        <f>IFERROR(__xludf.DUMMYFUNCTION("""COMPUTED_VALUE"""),"人事費用")</f>
        <v>人事費用</v>
      </c>
      <c r="D48" s="37" t="str">
        <f>IFERROR(__xludf.DUMMYFUNCTION("""COMPUTED_VALUE"""),"iCHEF")</f>
        <v>iCHEF</v>
      </c>
      <c r="E48" s="37"/>
      <c r="F48" s="37"/>
      <c r="G48" s="37"/>
      <c r="H48" s="37" t="str">
        <f>IFERROR(__xludf.DUMMYFUNCTION("""COMPUTED_VALUE"""),"業務 總店系統加購軟體獎金")</f>
        <v>業務 總店系統加購軟體獎金</v>
      </c>
      <c r="I48" s="39">
        <f>IFERROR(__xludf.DUMMYFUNCTION("""COMPUTED_VALUE"""),400.0)</f>
        <v>400</v>
      </c>
      <c r="J48" s="39" t="str">
        <f>IFERROR(__xludf.DUMMYFUNCTION("""COMPUTED_VALUE"""),"席")</f>
        <v>席</v>
      </c>
      <c r="K48" s="37" t="str">
        <f>IFERROR(__xludf.DUMMYFUNCTION("""COMPUTED_VALUE"""),"行銷營運中心")</f>
        <v>行銷營運中心</v>
      </c>
      <c r="L48" s="37" t="str">
        <f>IFERROR(__xludf.DUMMYFUNCTION("""COMPUTED_VALUE"""),"行銷營運中心")</f>
        <v>行銷營運中心</v>
      </c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</row>
    <row r="49">
      <c r="B49" s="37">
        <f>IFERROR(__xludf.DUMMYFUNCTION("""COMPUTED_VALUE"""),48.0)</f>
        <v>48</v>
      </c>
      <c r="C49" s="37" t="str">
        <f>IFERROR(__xludf.DUMMYFUNCTION("""COMPUTED_VALUE"""),"人事費用")</f>
        <v>人事費用</v>
      </c>
      <c r="D49" s="37" t="str">
        <f>IFERROR(__xludf.DUMMYFUNCTION("""COMPUTED_VALUE"""),"iCHEF")</f>
        <v>iCHEF</v>
      </c>
      <c r="E49" s="37"/>
      <c r="F49" s="37"/>
      <c r="G49" s="37"/>
      <c r="H49" s="37" t="str">
        <f>IFERROR(__xludf.DUMMYFUNCTION("""COMPUTED_VALUE"""),"業務 iDIS 軟體軟體獎金")</f>
        <v>業務 iDIS 軟體軟體獎金</v>
      </c>
      <c r="I49" s="39">
        <f>IFERROR(__xludf.DUMMYFUNCTION("""COMPUTED_VALUE"""),3000.0)</f>
        <v>3000</v>
      </c>
      <c r="J49" s="39" t="str">
        <f>IFERROR(__xludf.DUMMYFUNCTION("""COMPUTED_VALUE"""),"席")</f>
        <v>席</v>
      </c>
      <c r="K49" s="37" t="str">
        <f>IFERROR(__xludf.DUMMYFUNCTION("""COMPUTED_VALUE"""),"行銷營運中心")</f>
        <v>行銷營運中心</v>
      </c>
      <c r="L49" s="37" t="str">
        <f>IFERROR(__xludf.DUMMYFUNCTION("""COMPUTED_VALUE"""),"行銷營運中心")</f>
        <v>行銷營運中心</v>
      </c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</row>
    <row r="50">
      <c r="B50" s="37">
        <f>IFERROR(__xludf.DUMMYFUNCTION("""COMPUTED_VALUE"""),49.0)</f>
        <v>49</v>
      </c>
      <c r="C50" s="37" t="str">
        <f>IFERROR(__xludf.DUMMYFUNCTION("""COMPUTED_VALUE"""),"人事費用")</f>
        <v>人事費用</v>
      </c>
      <c r="D50" s="37" t="str">
        <f>IFERROR(__xludf.DUMMYFUNCTION("""COMPUTED_VALUE"""),"iCHEF")</f>
        <v>iCHEF</v>
      </c>
      <c r="E50" s="37"/>
      <c r="F50" s="37"/>
      <c r="G50" s="37"/>
      <c r="H50" s="37" t="str">
        <f>IFERROR(__xludf.DUMMYFUNCTION("""COMPUTED_VALUE"""),"業務 離職業務的二次教學")</f>
        <v>業務 離職業務的二次教學</v>
      </c>
      <c r="I50" s="39">
        <f>IFERROR(__xludf.DUMMYFUNCTION("""COMPUTED_VALUE"""),750.0)</f>
        <v>750</v>
      </c>
      <c r="J50" s="39" t="str">
        <f>IFERROR(__xludf.DUMMYFUNCTION("""COMPUTED_VALUE"""),"次")</f>
        <v>次</v>
      </c>
      <c r="K50" s="37" t="str">
        <f>IFERROR(__xludf.DUMMYFUNCTION("""COMPUTED_VALUE"""),"行銷營運中心")</f>
        <v>行銷營運中心</v>
      </c>
      <c r="L50" s="37" t="str">
        <f>IFERROR(__xludf.DUMMYFUNCTION("""COMPUTED_VALUE"""),"行銷營運中心")</f>
        <v>行銷營運中心</v>
      </c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</row>
    <row r="51">
      <c r="B51" s="37">
        <f>IFERROR(__xludf.DUMMYFUNCTION("""COMPUTED_VALUE"""),50.0)</f>
        <v>50</v>
      </c>
      <c r="C51" s="37" t="str">
        <f>IFERROR(__xludf.DUMMYFUNCTION("""COMPUTED_VALUE"""),"人事費用")</f>
        <v>人事費用</v>
      </c>
      <c r="D51" s="37" t="str">
        <f>IFERROR(__xludf.DUMMYFUNCTION("""COMPUTED_VALUE"""),"iCHEF")</f>
        <v>iCHEF</v>
      </c>
      <c r="E51" s="37"/>
      <c r="F51" s="37"/>
      <c r="G51" s="37"/>
      <c r="H51" s="37" t="str">
        <f>IFERROR(__xludf.DUMMYFUNCTION("""COMPUTED_VALUE"""),"業務 店家付費 2000 元移機安裝")</f>
        <v>業務 店家付費 2000 元移機安裝</v>
      </c>
      <c r="I51" s="39">
        <f>IFERROR(__xludf.DUMMYFUNCTION("""COMPUTED_VALUE"""),1500.0)</f>
        <v>1500</v>
      </c>
      <c r="J51" s="39" t="str">
        <f>IFERROR(__xludf.DUMMYFUNCTION("""COMPUTED_VALUE"""),"次")</f>
        <v>次</v>
      </c>
      <c r="K51" s="37" t="str">
        <f>IFERROR(__xludf.DUMMYFUNCTION("""COMPUTED_VALUE"""),"行銷營運中心")</f>
        <v>行銷營運中心</v>
      </c>
      <c r="L51" s="37" t="str">
        <f>IFERROR(__xludf.DUMMYFUNCTION("""COMPUTED_VALUE"""),"行銷營運中心")</f>
        <v>行銷營運中心</v>
      </c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</row>
    <row r="52">
      <c r="B52" s="37">
        <f>IFERROR(__xludf.DUMMYFUNCTION("""COMPUTED_VALUE"""),51.0)</f>
        <v>51</v>
      </c>
      <c r="C52" s="37" t="str">
        <f>IFERROR(__xludf.DUMMYFUNCTION("""COMPUTED_VALUE"""),"人事費用")</f>
        <v>人事費用</v>
      </c>
      <c r="D52" s="37" t="str">
        <f>IFERROR(__xludf.DUMMYFUNCTION("""COMPUTED_VALUE"""),"iCHEF")</f>
        <v>iCHEF</v>
      </c>
      <c r="E52" s="37"/>
      <c r="F52" s="37"/>
      <c r="G52" s="37"/>
      <c r="H52" s="37" t="str">
        <f>IFERROR(__xludf.DUMMYFUNCTION("""COMPUTED_VALUE"""),"業務 奶媽工單")</f>
        <v>業務 奶媽工單</v>
      </c>
      <c r="I52" s="39">
        <f>IFERROR(__xludf.DUMMYFUNCTION("""COMPUTED_VALUE"""),750.0)</f>
        <v>750</v>
      </c>
      <c r="J52" s="39" t="str">
        <f>IFERROR(__xludf.DUMMYFUNCTION("""COMPUTED_VALUE"""),"次")</f>
        <v>次</v>
      </c>
      <c r="K52" s="37" t="str">
        <f>IFERROR(__xludf.DUMMYFUNCTION("""COMPUTED_VALUE"""),"行銷營運中心")</f>
        <v>行銷營運中心</v>
      </c>
      <c r="L52" s="37" t="str">
        <f>IFERROR(__xludf.DUMMYFUNCTION("""COMPUTED_VALUE"""),"行銷營運中心")</f>
        <v>行銷營運中心</v>
      </c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</row>
    <row r="53">
      <c r="B53" s="37">
        <f>IFERROR(__xludf.DUMMYFUNCTION("""COMPUTED_VALUE"""),52.0)</f>
        <v>52</v>
      </c>
      <c r="C53" s="37" t="str">
        <f>IFERROR(__xludf.DUMMYFUNCTION("""COMPUTED_VALUE"""),"人事費用")</f>
        <v>人事費用</v>
      </c>
      <c r="D53" s="37" t="str">
        <f>IFERROR(__xludf.DUMMYFUNCTION("""COMPUTED_VALUE"""),"iCHEF")</f>
        <v>iCHEF</v>
      </c>
      <c r="E53" s="37"/>
      <c r="F53" s="37"/>
      <c r="G53" s="37"/>
      <c r="H53" s="37" t="str">
        <f>IFERROR(__xludf.DUMMYFUNCTION("""COMPUTED_VALUE"""),"業務 硬體設備到店安裝")</f>
        <v>業務 硬體設備到店安裝</v>
      </c>
      <c r="I53" s="39">
        <f>IFERROR(__xludf.DUMMYFUNCTION("""COMPUTED_VALUE"""),750.0)</f>
        <v>750</v>
      </c>
      <c r="J53" s="39" t="str">
        <f>IFERROR(__xludf.DUMMYFUNCTION("""COMPUTED_VALUE"""),"次")</f>
        <v>次</v>
      </c>
      <c r="K53" s="37" t="str">
        <f>IFERROR(__xludf.DUMMYFUNCTION("""COMPUTED_VALUE"""),"行銷營運中心")</f>
        <v>行銷營運中心</v>
      </c>
      <c r="L53" s="37" t="str">
        <f>IFERROR(__xludf.DUMMYFUNCTION("""COMPUTED_VALUE"""),"行銷營運中心")</f>
        <v>行銷營運中心</v>
      </c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</row>
    <row r="54">
      <c r="B54" s="37">
        <f>IFERROR(__xludf.DUMMYFUNCTION("""COMPUTED_VALUE"""),53.0)</f>
        <v>53</v>
      </c>
      <c r="C54" s="37" t="str">
        <f>IFERROR(__xludf.DUMMYFUNCTION("""COMPUTED_VALUE"""),"人事費用")</f>
        <v>人事費用</v>
      </c>
      <c r="D54" s="37" t="str">
        <f>IFERROR(__xludf.DUMMYFUNCTION("""COMPUTED_VALUE"""),"iCHEF")</f>
        <v>iCHEF</v>
      </c>
      <c r="E54" s="37"/>
      <c r="F54" s="37"/>
      <c r="G54" s="37"/>
      <c r="H54" s="37" t="str">
        <f>IFERROR(__xludf.DUMMYFUNCTION("""COMPUTED_VALUE"""),"業務 加值服務：系統教學")</f>
        <v>業務 加值服務：系統教學</v>
      </c>
      <c r="I54" s="39">
        <f>IFERROR(__xludf.DUMMYFUNCTION("""COMPUTED_VALUE"""),1500.0)</f>
        <v>1500</v>
      </c>
      <c r="J54" s="39" t="str">
        <f>IFERROR(__xludf.DUMMYFUNCTION("""COMPUTED_VALUE"""),"次")</f>
        <v>次</v>
      </c>
      <c r="K54" s="37" t="str">
        <f>IFERROR(__xludf.DUMMYFUNCTION("""COMPUTED_VALUE"""),"行銷營運中心")</f>
        <v>行銷營運中心</v>
      </c>
      <c r="L54" s="37" t="str">
        <f>IFERROR(__xludf.DUMMYFUNCTION("""COMPUTED_VALUE"""),"行銷營運中心")</f>
        <v>行銷營運中心</v>
      </c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</row>
    <row r="55">
      <c r="B55" s="37">
        <f>IFERROR(__xludf.DUMMYFUNCTION("""COMPUTED_VALUE"""),54.0)</f>
        <v>54</v>
      </c>
      <c r="C55" s="37" t="str">
        <f>IFERROR(__xludf.DUMMYFUNCTION("""COMPUTED_VALUE"""),"人事費用")</f>
        <v>人事費用</v>
      </c>
      <c r="D55" s="37" t="str">
        <f>IFERROR(__xludf.DUMMYFUNCTION("""COMPUTED_VALUE"""),"iCHEF")</f>
        <v>iCHEF</v>
      </c>
      <c r="E55" s="37"/>
      <c r="F55" s="37"/>
      <c r="G55" s="37"/>
      <c r="H55" s="37" t="str">
        <f>IFERROR(__xludf.DUMMYFUNCTION("""COMPUTED_VALUE"""),"業務 加值服務：硬體安裝")</f>
        <v>業務 加值服務：硬體安裝</v>
      </c>
      <c r="I55" s="39">
        <f>IFERROR(__xludf.DUMMYFUNCTION("""COMPUTED_VALUE"""),1500.0)</f>
        <v>1500</v>
      </c>
      <c r="J55" s="39" t="str">
        <f>IFERROR(__xludf.DUMMYFUNCTION("""COMPUTED_VALUE"""),"次")</f>
        <v>次</v>
      </c>
      <c r="K55" s="37" t="str">
        <f>IFERROR(__xludf.DUMMYFUNCTION("""COMPUTED_VALUE"""),"行銷營運中心")</f>
        <v>行銷營運中心</v>
      </c>
      <c r="L55" s="37" t="str">
        <f>IFERROR(__xludf.DUMMYFUNCTION("""COMPUTED_VALUE"""),"行銷營運中心")</f>
        <v>行銷營運中心</v>
      </c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</row>
    <row r="56">
      <c r="B56" s="37">
        <f>IFERROR(__xludf.DUMMYFUNCTION("""COMPUTED_VALUE"""),55.0)</f>
        <v>55</v>
      </c>
      <c r="C56" s="37" t="str">
        <f>IFERROR(__xludf.DUMMYFUNCTION("""COMPUTED_VALUE"""),"人事費用")</f>
        <v>人事費用</v>
      </c>
      <c r="D56" s="37" t="str">
        <f>IFERROR(__xludf.DUMMYFUNCTION("""COMPUTED_VALUE"""),"iCHEF")</f>
        <v>iCHEF</v>
      </c>
      <c r="E56" s="37"/>
      <c r="F56" s="37"/>
      <c r="G56" s="37"/>
      <c r="H56" s="37" t="str">
        <f>IFERROR(__xludf.DUMMYFUNCTION("""COMPUTED_VALUE"""),"業務 加值服務：UberEats 菜單設定")</f>
        <v>業務 加值服務：UberEats 菜單設定</v>
      </c>
      <c r="I56" s="39">
        <f>IFERROR(__xludf.DUMMYFUNCTION("""COMPUTED_VALUE"""),1500.0)</f>
        <v>1500</v>
      </c>
      <c r="J56" s="39" t="str">
        <f>IFERROR(__xludf.DUMMYFUNCTION("""COMPUTED_VALUE"""),"次")</f>
        <v>次</v>
      </c>
      <c r="K56" s="37" t="str">
        <f>IFERROR(__xludf.DUMMYFUNCTION("""COMPUTED_VALUE"""),"行銷營運中心")</f>
        <v>行銷營運中心</v>
      </c>
      <c r="L56" s="37" t="str">
        <f>IFERROR(__xludf.DUMMYFUNCTION("""COMPUTED_VALUE"""),"行銷營運中心")</f>
        <v>行銷營運中心</v>
      </c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</row>
    <row r="57">
      <c r="B57" s="37">
        <f>IFERROR(__xludf.DUMMYFUNCTION("""COMPUTED_VALUE"""),56.0)</f>
        <v>56</v>
      </c>
      <c r="C57" s="37" t="str">
        <f>IFERROR(__xludf.DUMMYFUNCTION("""COMPUTED_VALUE"""),"人事費用")</f>
        <v>人事費用</v>
      </c>
      <c r="D57" s="37" t="str">
        <f>IFERROR(__xludf.DUMMYFUNCTION("""COMPUTED_VALUE"""),"iCHEF")</f>
        <v>iCHEF</v>
      </c>
      <c r="E57" s="37"/>
      <c r="F57" s="37"/>
      <c r="G57" s="37"/>
      <c r="H57" s="37" t="str">
        <f>IFERROR(__xludf.DUMMYFUNCTION("""COMPUTED_VALUE"""),"業務 加值服務：foodpanda 菜單設定")</f>
        <v>業務 加值服務：foodpanda 菜單設定</v>
      </c>
      <c r="I57" s="39">
        <f>IFERROR(__xludf.DUMMYFUNCTION("""COMPUTED_VALUE"""),1500.0)</f>
        <v>1500</v>
      </c>
      <c r="J57" s="39" t="str">
        <f>IFERROR(__xludf.DUMMYFUNCTION("""COMPUTED_VALUE"""),"次")</f>
        <v>次</v>
      </c>
      <c r="K57" s="37" t="str">
        <f>IFERROR(__xludf.DUMMYFUNCTION("""COMPUTED_VALUE"""),"行銷營運中心")</f>
        <v>行銷營運中心</v>
      </c>
      <c r="L57" s="37" t="str">
        <f>IFERROR(__xludf.DUMMYFUNCTION("""COMPUTED_VALUE"""),"行銷營運中心")</f>
        <v>行銷營運中心</v>
      </c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</row>
    <row r="58">
      <c r="B58" s="37">
        <f>IFERROR(__xludf.DUMMYFUNCTION("""COMPUTED_VALUE"""),57.0)</f>
        <v>57</v>
      </c>
      <c r="C58" s="37" t="str">
        <f>IFERROR(__xludf.DUMMYFUNCTION("""COMPUTED_VALUE"""),"人事費用")</f>
        <v>人事費用</v>
      </c>
      <c r="D58" s="37" t="str">
        <f>IFERROR(__xludf.DUMMYFUNCTION("""COMPUTED_VALUE"""),"iCHEF")</f>
        <v>iCHEF</v>
      </c>
      <c r="E58" s="37"/>
      <c r="F58" s="37"/>
      <c r="G58" s="37"/>
      <c r="H58" s="37" t="str">
        <f>IFERROR(__xludf.DUMMYFUNCTION("""COMPUTED_VALUE"""),"社群工單 課程講師費 (授課）")</f>
        <v>社群工單 課程講師費 (授課）</v>
      </c>
      <c r="I58" s="39">
        <f>IFERROR(__xludf.DUMMYFUNCTION("""COMPUTED_VALUE"""),2000.0)</f>
        <v>2000</v>
      </c>
      <c r="J58" s="39" t="str">
        <f>IFERROR(__xludf.DUMMYFUNCTION("""COMPUTED_VALUE"""),"次")</f>
        <v>次</v>
      </c>
      <c r="K58" s="37" t="str">
        <f>IFERROR(__xludf.DUMMYFUNCTION("""COMPUTED_VALUE"""),"行銷營運中心")</f>
        <v>行銷營運中心</v>
      </c>
      <c r="L58" s="37" t="str">
        <f>IFERROR(__xludf.DUMMYFUNCTION("""COMPUTED_VALUE"""),"行銷營運中心")</f>
        <v>行銷營運中心</v>
      </c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</row>
    <row r="59">
      <c r="B59" s="37">
        <f>IFERROR(__xludf.DUMMYFUNCTION("""COMPUTED_VALUE"""),58.0)</f>
        <v>58</v>
      </c>
      <c r="C59" s="37" t="str">
        <f>IFERROR(__xludf.DUMMYFUNCTION("""COMPUTED_VALUE"""),"人事費用")</f>
        <v>人事費用</v>
      </c>
      <c r="D59" s="37" t="str">
        <f>IFERROR(__xludf.DUMMYFUNCTION("""COMPUTED_VALUE"""),"iCHEF")</f>
        <v>iCHEF</v>
      </c>
      <c r="E59" s="37"/>
      <c r="F59" s="37"/>
      <c r="G59" s="37"/>
      <c r="H59" s="37" t="str">
        <f>IFERROR(__xludf.DUMMYFUNCTION("""COMPUTED_VALUE"""),"社群工單 課程講師費 (錄影）")</f>
        <v>社群工單 課程講師費 (錄影）</v>
      </c>
      <c r="I59" s="39">
        <f>IFERROR(__xludf.DUMMYFUNCTION("""COMPUTED_VALUE"""),3000.0)</f>
        <v>3000</v>
      </c>
      <c r="J59" s="39" t="str">
        <f>IFERROR(__xludf.DUMMYFUNCTION("""COMPUTED_VALUE"""),"次")</f>
        <v>次</v>
      </c>
      <c r="K59" s="37" t="str">
        <f>IFERROR(__xludf.DUMMYFUNCTION("""COMPUTED_VALUE"""),"行銷營運中心")</f>
        <v>行銷營運中心</v>
      </c>
      <c r="L59" s="37" t="str">
        <f>IFERROR(__xludf.DUMMYFUNCTION("""COMPUTED_VALUE"""),"行銷營運中心")</f>
        <v>行銷營運中心</v>
      </c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</row>
    <row r="60">
      <c r="B60" s="37">
        <f>IFERROR(__xludf.DUMMYFUNCTION("""COMPUTED_VALUE"""),59.0)</f>
        <v>59</v>
      </c>
      <c r="C60" s="37" t="str">
        <f>IFERROR(__xludf.DUMMYFUNCTION("""COMPUTED_VALUE"""),"人事費用")</f>
        <v>人事費用</v>
      </c>
      <c r="D60" s="37" t="str">
        <f>IFERROR(__xludf.DUMMYFUNCTION("""COMPUTED_VALUE"""),"iCHEF")</f>
        <v>iCHEF</v>
      </c>
      <c r="E60" s="37"/>
      <c r="F60" s="37"/>
      <c r="G60" s="37"/>
      <c r="H60" s="37" t="str">
        <f>IFERROR(__xludf.DUMMYFUNCTION("""COMPUTED_VALUE"""),"社群工單 課程講師費 (授課＋簡報）")</f>
        <v>社群工單 課程講師費 (授課＋簡報）</v>
      </c>
      <c r="I60" s="39">
        <f>IFERROR(__xludf.DUMMYFUNCTION("""COMPUTED_VALUE"""),4000.0)</f>
        <v>4000</v>
      </c>
      <c r="J60" s="39" t="str">
        <f>IFERROR(__xludf.DUMMYFUNCTION("""COMPUTED_VALUE"""),"次")</f>
        <v>次</v>
      </c>
      <c r="K60" s="37" t="str">
        <f>IFERROR(__xludf.DUMMYFUNCTION("""COMPUTED_VALUE"""),"行銷營運中心")</f>
        <v>行銷營運中心</v>
      </c>
      <c r="L60" s="37" t="str">
        <f>IFERROR(__xludf.DUMMYFUNCTION("""COMPUTED_VALUE"""),"行銷營運中心")</f>
        <v>行銷營運中心</v>
      </c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</row>
    <row r="61">
      <c r="B61" s="37">
        <f>IFERROR(__xludf.DUMMYFUNCTION("""COMPUTED_VALUE"""),60.0)</f>
        <v>60</v>
      </c>
      <c r="C61" s="37" t="str">
        <f>IFERROR(__xludf.DUMMYFUNCTION("""COMPUTED_VALUE"""),"人事費用")</f>
        <v>人事費用</v>
      </c>
      <c r="D61" s="37" t="str">
        <f>IFERROR(__xludf.DUMMYFUNCTION("""COMPUTED_VALUE"""),"iCHEF")</f>
        <v>iCHEF</v>
      </c>
      <c r="E61" s="37"/>
      <c r="F61" s="37"/>
      <c r="G61" s="37"/>
      <c r="H61" s="37" t="str">
        <f>IFERROR(__xludf.DUMMYFUNCTION("""COMPUTED_VALUE"""),"社群工單 課程講師費 (授課＋簡報＋錄影）")</f>
        <v>社群工單 課程講師費 (授課＋簡報＋錄影）</v>
      </c>
      <c r="I61" s="39">
        <f>IFERROR(__xludf.DUMMYFUNCTION("""COMPUTED_VALUE"""),5000.0)</f>
        <v>5000</v>
      </c>
      <c r="J61" s="39" t="str">
        <f>IFERROR(__xludf.DUMMYFUNCTION("""COMPUTED_VALUE"""),"次")</f>
        <v>次</v>
      </c>
      <c r="K61" s="37" t="str">
        <f>IFERROR(__xludf.DUMMYFUNCTION("""COMPUTED_VALUE"""),"行銷營運中心")</f>
        <v>行銷營運中心</v>
      </c>
      <c r="L61" s="37" t="str">
        <f>IFERROR(__xludf.DUMMYFUNCTION("""COMPUTED_VALUE"""),"行銷營運中心")</f>
        <v>行銷營運中心</v>
      </c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</row>
    <row r="62">
      <c r="B62" s="37">
        <f>IFERROR(__xludf.DUMMYFUNCTION("""COMPUTED_VALUE"""),61.0)</f>
        <v>61</v>
      </c>
      <c r="C62" s="37" t="str">
        <f>IFERROR(__xludf.DUMMYFUNCTION("""COMPUTED_VALUE"""),"人事費用")</f>
        <v>人事費用</v>
      </c>
      <c r="D62" s="37" t="str">
        <f>IFERROR(__xludf.DUMMYFUNCTION("""COMPUTED_VALUE"""),"iCHEF")</f>
        <v>iCHEF</v>
      </c>
      <c r="E62" s="37"/>
      <c r="F62" s="37"/>
      <c r="G62" s="37"/>
      <c r="H62" s="37" t="str">
        <f>IFERROR(__xludf.DUMMYFUNCTION("""COMPUTED_VALUE"""),"社群工單 小聚活動")</f>
        <v>社群工單 小聚活動</v>
      </c>
      <c r="I62" s="39">
        <f>IFERROR(__xludf.DUMMYFUNCTION("""COMPUTED_VALUE"""),1500.0)</f>
        <v>1500</v>
      </c>
      <c r="J62" s="39" t="str">
        <f>IFERROR(__xludf.DUMMYFUNCTION("""COMPUTED_VALUE"""),"次")</f>
        <v>次</v>
      </c>
      <c r="K62" s="37" t="str">
        <f>IFERROR(__xludf.DUMMYFUNCTION("""COMPUTED_VALUE"""),"行銷營運中心")</f>
        <v>行銷營運中心</v>
      </c>
      <c r="L62" s="37" t="str">
        <f>IFERROR(__xludf.DUMMYFUNCTION("""COMPUTED_VALUE"""),"行銷營運中心")</f>
        <v>行銷營運中心</v>
      </c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</row>
    <row r="63">
      <c r="B63" s="37">
        <f>IFERROR(__xludf.DUMMYFUNCTION("""COMPUTED_VALUE"""),62.0)</f>
        <v>62</v>
      </c>
      <c r="C63" s="37" t="str">
        <f>IFERROR(__xludf.DUMMYFUNCTION("""COMPUTED_VALUE"""),"人事費用")</f>
        <v>人事費用</v>
      </c>
      <c r="D63" s="37" t="str">
        <f>IFERROR(__xludf.DUMMYFUNCTION("""COMPUTED_VALUE"""),"iCHEF")</f>
        <v>iCHEF</v>
      </c>
      <c r="E63" s="37"/>
      <c r="F63" s="37"/>
      <c r="G63" s="37"/>
      <c r="H63" s="37" t="str">
        <f>IFERROR(__xludf.DUMMYFUNCTION("""COMPUTED_VALUE"""),"社群工單 複雜專案")</f>
        <v>社群工單 複雜專案</v>
      </c>
      <c r="I63" s="39">
        <f>IFERROR(__xludf.DUMMYFUNCTION("""COMPUTED_VALUE"""),2250.0)</f>
        <v>2250</v>
      </c>
      <c r="J63" s="39" t="str">
        <f>IFERROR(__xludf.DUMMYFUNCTION("""COMPUTED_VALUE"""),"次")</f>
        <v>次</v>
      </c>
      <c r="K63" s="37" t="str">
        <f>IFERROR(__xludf.DUMMYFUNCTION("""COMPUTED_VALUE"""),"行銷營運中心")</f>
        <v>行銷營運中心</v>
      </c>
      <c r="L63" s="37" t="str">
        <f>IFERROR(__xludf.DUMMYFUNCTION("""COMPUTED_VALUE"""),"行銷營運中心")</f>
        <v>行銷營運中心</v>
      </c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</row>
    <row r="64">
      <c r="B64" s="37">
        <f>IFERROR(__xludf.DUMMYFUNCTION("""COMPUTED_VALUE"""),63.0)</f>
        <v>63</v>
      </c>
      <c r="C64" s="37" t="str">
        <f>IFERROR(__xludf.DUMMYFUNCTION("""COMPUTED_VALUE"""),"人事費用")</f>
        <v>人事費用</v>
      </c>
      <c r="D64" s="37" t="str">
        <f>IFERROR(__xludf.DUMMYFUNCTION("""COMPUTED_VALUE"""),"iCHEF")</f>
        <v>iCHEF</v>
      </c>
      <c r="E64" s="37"/>
      <c r="F64" s="37"/>
      <c r="G64" s="37"/>
      <c r="H64" s="37" t="str">
        <f>IFERROR(__xludf.DUMMYFUNCTION("""COMPUTED_VALUE"""),"社群工單 複雜專案 超時費")</f>
        <v>社群工單 複雜專案 超時費</v>
      </c>
      <c r="I64" s="39">
        <f>IFERROR(__xludf.DUMMYFUNCTION("""COMPUTED_VALUE"""),750.0)</f>
        <v>750</v>
      </c>
      <c r="J64" s="39" t="str">
        <f>IFERROR(__xludf.DUMMYFUNCTION("""COMPUTED_VALUE"""),"小時")</f>
        <v>小時</v>
      </c>
      <c r="K64" s="37" t="str">
        <f>IFERROR(__xludf.DUMMYFUNCTION("""COMPUTED_VALUE"""),"行銷營運中心")</f>
        <v>行銷營運中心</v>
      </c>
      <c r="L64" s="37" t="str">
        <f>IFERROR(__xludf.DUMMYFUNCTION("""COMPUTED_VALUE"""),"行銷營運中心")</f>
        <v>行銷營運中心</v>
      </c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</row>
    <row r="65">
      <c r="B65" s="37">
        <f>IFERROR(__xludf.DUMMYFUNCTION("""COMPUTED_VALUE"""),64.0)</f>
        <v>64</v>
      </c>
      <c r="C65" s="37" t="str">
        <f>IFERROR(__xludf.DUMMYFUNCTION("""COMPUTED_VALUE"""),"人事費用")</f>
        <v>人事費用</v>
      </c>
      <c r="D65" s="37" t="str">
        <f>IFERROR(__xludf.DUMMYFUNCTION("""COMPUTED_VALUE"""),"iCHEF")</f>
        <v>iCHEF</v>
      </c>
      <c r="E65" s="37"/>
      <c r="F65" s="37"/>
      <c r="G65" s="37"/>
      <c r="H65" s="37" t="str">
        <f>IFERROR(__xludf.DUMMYFUNCTION("""COMPUTED_VALUE"""),"社群工單 一般專案")</f>
        <v>社群工單 一般專案</v>
      </c>
      <c r="I65" s="39">
        <f>IFERROR(__xludf.DUMMYFUNCTION("""COMPUTED_VALUE"""),1000.0)</f>
        <v>1000</v>
      </c>
      <c r="J65" s="39" t="str">
        <f>IFERROR(__xludf.DUMMYFUNCTION("""COMPUTED_VALUE"""),"次")</f>
        <v>次</v>
      </c>
      <c r="K65" s="37" t="str">
        <f>IFERROR(__xludf.DUMMYFUNCTION("""COMPUTED_VALUE"""),"行銷營運中心")</f>
        <v>行銷營運中心</v>
      </c>
      <c r="L65" s="37" t="str">
        <f>IFERROR(__xludf.DUMMYFUNCTION("""COMPUTED_VALUE"""),"行銷營運中心")</f>
        <v>行銷營運中心</v>
      </c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</row>
    <row r="66">
      <c r="B66" s="37">
        <f>IFERROR(__xludf.DUMMYFUNCTION("""COMPUTED_VALUE"""),65.0)</f>
        <v>65</v>
      </c>
      <c r="C66" s="37" t="str">
        <f>IFERROR(__xludf.DUMMYFUNCTION("""COMPUTED_VALUE"""),"人事費用")</f>
        <v>人事費用</v>
      </c>
      <c r="D66" s="37" t="str">
        <f>IFERROR(__xludf.DUMMYFUNCTION("""COMPUTED_VALUE"""),"iCHEF")</f>
        <v>iCHEF</v>
      </c>
      <c r="E66" s="37"/>
      <c r="F66" s="37"/>
      <c r="G66" s="37"/>
      <c r="H66" s="37" t="str">
        <f>IFERROR(__xludf.DUMMYFUNCTION("""COMPUTED_VALUE"""),"社群工單 一般專案 超時費")</f>
        <v>社群工單 一般專案 超時費</v>
      </c>
      <c r="I66" s="39">
        <f>IFERROR(__xludf.DUMMYFUNCTION("""COMPUTED_VALUE"""),400.0)</f>
        <v>400</v>
      </c>
      <c r="J66" s="39" t="str">
        <f>IFERROR(__xludf.DUMMYFUNCTION("""COMPUTED_VALUE"""),"小時")</f>
        <v>小時</v>
      </c>
      <c r="K66" s="37" t="str">
        <f>IFERROR(__xludf.DUMMYFUNCTION("""COMPUTED_VALUE"""),"行銷營運中心")</f>
        <v>行銷營運中心</v>
      </c>
      <c r="L66" s="37" t="str">
        <f>IFERROR(__xludf.DUMMYFUNCTION("""COMPUTED_VALUE"""),"行銷營運中心")</f>
        <v>行銷營運中心</v>
      </c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</row>
    <row r="67">
      <c r="B67" s="37">
        <f>IFERROR(__xludf.DUMMYFUNCTION("""COMPUTED_VALUE"""),66.0)</f>
        <v>66</v>
      </c>
      <c r="C67" s="37" t="str">
        <f>IFERROR(__xludf.DUMMYFUNCTION("""COMPUTED_VALUE"""),"人事費用")</f>
        <v>人事費用</v>
      </c>
      <c r="D67" s="37" t="str">
        <f>IFERROR(__xludf.DUMMYFUNCTION("""COMPUTED_VALUE"""),"iCHEF")</f>
        <v>iCHEF</v>
      </c>
      <c r="E67" s="37"/>
      <c r="F67" s="37"/>
      <c r="G67" s="37"/>
      <c r="H67" s="37" t="str">
        <f>IFERROR(__xludf.DUMMYFUNCTION("""COMPUTED_VALUE"""),"客服 一般工單")</f>
        <v>客服 一般工單</v>
      </c>
      <c r="I67" s="39">
        <f>IFERROR(__xludf.DUMMYFUNCTION("""COMPUTED_VALUE"""),750.0)</f>
        <v>750</v>
      </c>
      <c r="J67" s="39" t="str">
        <f>IFERROR(__xludf.DUMMYFUNCTION("""COMPUTED_VALUE"""),"次")</f>
        <v>次</v>
      </c>
      <c r="K67" s="37" t="str">
        <f>IFERROR(__xludf.DUMMYFUNCTION("""COMPUTED_VALUE"""),"研發中心")</f>
        <v>研發中心</v>
      </c>
      <c r="L67" s="37" t="str">
        <f>IFERROR(__xludf.DUMMYFUNCTION("""COMPUTED_VALUE"""),"研發中心")</f>
        <v>研發中心</v>
      </c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</row>
    <row r="68">
      <c r="B68" s="37">
        <f>IFERROR(__xludf.DUMMYFUNCTION("""COMPUTED_VALUE"""),67.0)</f>
        <v>67</v>
      </c>
      <c r="C68" s="37" t="str">
        <f>IFERROR(__xludf.DUMMYFUNCTION("""COMPUTED_VALUE"""),"人事費用")</f>
        <v>人事費用</v>
      </c>
      <c r="D68" s="37" t="str">
        <f>IFERROR(__xludf.DUMMYFUNCTION("""COMPUTED_VALUE"""),"iCHEF")</f>
        <v>iCHEF</v>
      </c>
      <c r="E68" s="37"/>
      <c r="F68" s="37"/>
      <c r="G68" s="37"/>
      <c r="H68" s="37" t="str">
        <f>IFERROR(__xludf.DUMMYFUNCTION("""COMPUTED_VALUE"""),"RD 值班費 ")</f>
        <v>RD 值班費 </v>
      </c>
      <c r="I68" s="39" t="str">
        <f>IFERROR(__xludf.DUMMYFUNCTION("""COMPUTED_VALUE"""),"不定")</f>
        <v>不定</v>
      </c>
      <c r="J68" s="39" t="str">
        <f>IFERROR(__xludf.DUMMYFUNCTION("""COMPUTED_VALUE"""),"每月 $1,667 (BE, iOS)")</f>
        <v>每月 $1,667 (BE, iOS)</v>
      </c>
      <c r="K68" s="37" t="str">
        <f>IFERROR(__xludf.DUMMYFUNCTION("""COMPUTED_VALUE"""),"研發中心")</f>
        <v>研發中心</v>
      </c>
      <c r="L68" s="37" t="str">
        <f>IFERROR(__xludf.DUMMYFUNCTION("""COMPUTED_VALUE"""),"研發中心")</f>
        <v>研發中心</v>
      </c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</row>
    <row r="69">
      <c r="B69" s="37">
        <f>IFERROR(__xludf.DUMMYFUNCTION("""COMPUTED_VALUE"""),68.0)</f>
        <v>68</v>
      </c>
      <c r="C69" s="37" t="str">
        <f>IFERROR(__xludf.DUMMYFUNCTION("""COMPUTED_VALUE"""),"人事費用")</f>
        <v>人事費用</v>
      </c>
      <c r="D69" s="37" t="str">
        <f>IFERROR(__xludf.DUMMYFUNCTION("""COMPUTED_VALUE"""),"iCHEF")</f>
        <v>iCHEF</v>
      </c>
      <c r="E69" s="37"/>
      <c r="F69" s="37"/>
      <c r="G69" s="37"/>
      <c r="H69" s="37" t="str">
        <f>IFERROR(__xludf.DUMMYFUNCTION("""COMPUTED_VALUE"""),"RD 加班費")</f>
        <v>RD 加班費</v>
      </c>
      <c r="I69" s="39" t="str">
        <f>IFERROR(__xludf.DUMMYFUNCTION("""COMPUTED_VALUE"""),"不定")</f>
        <v>不定</v>
      </c>
      <c r="J69" s="39" t="str">
        <f>IFERROR(__xludf.DUMMYFUNCTION("""COMPUTED_VALUE"""),"每月 $2,354 (SE, PM, DSN,QA,PE)")</f>
        <v>每月 $2,354 (SE, PM, DSN,QA,PE)</v>
      </c>
      <c r="K69" s="37" t="str">
        <f>IFERROR(__xludf.DUMMYFUNCTION("""COMPUTED_VALUE"""),"研發中心")</f>
        <v>研發中心</v>
      </c>
      <c r="L69" s="37" t="str">
        <f>IFERROR(__xludf.DUMMYFUNCTION("""COMPUTED_VALUE"""),"研發中心")</f>
        <v>研發中心</v>
      </c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</row>
    <row r="70">
      <c r="B70" s="37">
        <f>IFERROR(__xludf.DUMMYFUNCTION("""COMPUTED_VALUE"""),69.0)</f>
        <v>69</v>
      </c>
      <c r="C70" s="37" t="str">
        <f>IFERROR(__xludf.DUMMYFUNCTION("""COMPUTED_VALUE"""),"非人事費用")</f>
        <v>非人事費用</v>
      </c>
      <c r="D70" s="37" t="str">
        <f>IFERROR(__xludf.DUMMYFUNCTION("""COMPUTED_VALUE"""),"iCHEF")</f>
        <v>iCHEF</v>
      </c>
      <c r="E70" s="37"/>
      <c r="F70" s="37"/>
      <c r="G70" s="37"/>
      <c r="H70" s="37" t="str">
        <f>IFERROR(__xludf.DUMMYFUNCTION("""COMPUTED_VALUE"""),"資訊裝置")</f>
        <v>資訊裝置</v>
      </c>
      <c r="I70" s="39" t="str">
        <f>IFERROR(__xludf.DUMMYFUNCTION("""COMPUTED_VALUE"""),"計算參照：中心設備明細（滿三年、新人）")</f>
        <v>計算參照：中心設備明細（滿三年、新人）</v>
      </c>
      <c r="J70" s="39" t="str">
        <f>IFERROR(__xludf.DUMMYFUNCTION("""COMPUTED_VALUE"""),"4年/人")</f>
        <v>4年/人</v>
      </c>
      <c r="K70" s="37" t="str">
        <f>IFERROR(__xludf.DUMMYFUNCTION("""COMPUTED_VALUE"""),"各專業中心")</f>
        <v>各專業中心</v>
      </c>
      <c r="L70" s="37" t="str">
        <f>IFERROR(__xludf.DUMMYFUNCTION("""COMPUTED_VALUE"""),"各專業中心")</f>
        <v>各專業中心</v>
      </c>
      <c r="M70" s="37" t="str">
        <f>IFERROR(__xludf.DUMMYFUNCTION("""COMPUTED_VALUE"""),"金額請參考中心設備明細（滿三年、新人）")</f>
        <v>金額請參考中心設備明細（滿三年、新人）</v>
      </c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</row>
    <row r="71">
      <c r="B71" s="37">
        <f>IFERROR(__xludf.DUMMYFUNCTION("""COMPUTED_VALUE"""),70.0)</f>
        <v>70</v>
      </c>
      <c r="C71" s="37" t="str">
        <f>IFERROR(__xludf.DUMMYFUNCTION("""COMPUTED_VALUE"""),"非人事費用")</f>
        <v>非人事費用</v>
      </c>
      <c r="D71" s="37" t="str">
        <f>IFERROR(__xludf.DUMMYFUNCTION("""COMPUTED_VALUE"""),"iCHEF")</f>
        <v>iCHEF</v>
      </c>
      <c r="E71" s="37" t="str">
        <f>IFERROR(__xludf.DUMMYFUNCTION("""COMPUTED_VALUE"""),"6x3201")</f>
        <v>6x3201</v>
      </c>
      <c r="F71" s="37" t="str">
        <f>IFERROR(__xludf.DUMMYFUNCTION("""COMPUTED_VALUE"""),"其他費用")</f>
        <v>其他費用</v>
      </c>
      <c r="G71" s="37" t="str">
        <f>IFERROR(__xludf.DUMMYFUNCTION("""COMPUTED_VALUE"""),"辦公軟體")</f>
        <v>辦公軟體</v>
      </c>
      <c r="H71" s="37" t="str">
        <f>IFERROR(__xludf.DUMMYFUNCTION("""COMPUTED_VALUE"""),"通用軟體 GWS")</f>
        <v>通用軟體 GWS</v>
      </c>
      <c r="I71" s="39">
        <f>IFERROR(__xludf.DUMMYFUNCTION("""COMPUTED_VALUE"""),412.0)</f>
        <v>412</v>
      </c>
      <c r="J71" s="39">
        <f>IFERROR(__xludf.DUMMYFUNCTION("""COMPUTED_VALUE"""),4944.0)</f>
        <v>4944</v>
      </c>
      <c r="K71" s="37" t="str">
        <f>IFERROR(__xludf.DUMMYFUNCTION("""COMPUTED_VALUE"""),"各專業中心")</f>
        <v>各專業中心</v>
      </c>
      <c r="L71" s="37" t="str">
        <f>IFERROR(__xludf.DUMMYFUNCTION("""COMPUTED_VALUE"""),"各專業中心")</f>
        <v>各專業中心</v>
      </c>
      <c r="M71" s="37" t="str">
        <f>IFERROR(__xludf.DUMMYFUNCTION("""COMPUTED_VALUE"""),"牌價上漲USD 12/月 -&gt; USD 14/月")</f>
        <v>牌價上漲USD 12/月 -&gt; USD 14/月</v>
      </c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</row>
    <row r="72">
      <c r="B72" s="37">
        <f>IFERROR(__xludf.DUMMYFUNCTION("""COMPUTED_VALUE"""),71.0)</f>
        <v>71</v>
      </c>
      <c r="C72" s="37" t="str">
        <f>IFERROR(__xludf.DUMMYFUNCTION("""COMPUTED_VALUE"""),"非人事費用")</f>
        <v>非人事費用</v>
      </c>
      <c r="D72" s="37" t="str">
        <f>IFERROR(__xludf.DUMMYFUNCTION("""COMPUTED_VALUE"""),"iCHEF")</f>
        <v>iCHEF</v>
      </c>
      <c r="E72" s="37" t="str">
        <f>IFERROR(__xludf.DUMMYFUNCTION("""COMPUTED_VALUE"""),"6x3201")</f>
        <v>6x3201</v>
      </c>
      <c r="F72" s="37" t="str">
        <f>IFERROR(__xludf.DUMMYFUNCTION("""COMPUTED_VALUE"""),"其他費用")</f>
        <v>其他費用</v>
      </c>
      <c r="G72" s="37" t="str">
        <f>IFERROR(__xludf.DUMMYFUNCTION("""COMPUTED_VALUE"""),"辦公軟體")</f>
        <v>辦公軟體</v>
      </c>
      <c r="H72" s="37" t="str">
        <f>IFERROR(__xludf.DUMMYFUNCTION("""COMPUTED_VALUE"""),"專用軟體 MAC (JAMF) 裝置控管")</f>
        <v>專用軟體 MAC (JAMF) 裝置控管</v>
      </c>
      <c r="I72" s="39">
        <f>IFERROR(__xludf.DUMMYFUNCTION("""COMPUTED_VALUE"""),300.0)</f>
        <v>300</v>
      </c>
      <c r="J72" s="39">
        <f>IFERROR(__xludf.DUMMYFUNCTION("""COMPUTED_VALUE"""),3600.0)</f>
        <v>3600</v>
      </c>
      <c r="K72" s="37" t="str">
        <f>IFERROR(__xludf.DUMMYFUNCTION("""COMPUTED_VALUE"""),"各專業中心")</f>
        <v>各專業中心</v>
      </c>
      <c r="L72" s="37" t="str">
        <f>IFERROR(__xludf.DUMMYFUNCTION("""COMPUTED_VALUE"""),"各專業中心")</f>
        <v>各專業中心</v>
      </c>
      <c r="M72" s="37" t="str">
        <f>IFERROR(__xludf.DUMMYFUNCTION("""COMPUTED_VALUE"""),"2025 新方案, 單價下降 NT 4548 -&gt; NT 3600")</f>
        <v>2025 新方案, 單價下降 NT 4548 -&gt; NT 3600</v>
      </c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</row>
    <row r="73">
      <c r="B73" s="37">
        <f>IFERROR(__xludf.DUMMYFUNCTION("""COMPUTED_VALUE"""),72.0)</f>
        <v>72</v>
      </c>
      <c r="C73" s="37" t="str">
        <f>IFERROR(__xludf.DUMMYFUNCTION("""COMPUTED_VALUE"""),"非人事費用")</f>
        <v>非人事費用</v>
      </c>
      <c r="D73" s="37" t="str">
        <f>IFERROR(__xludf.DUMMYFUNCTION("""COMPUTED_VALUE"""),"iCHEF")</f>
        <v>iCHEF</v>
      </c>
      <c r="E73" s="37" t="str">
        <f>IFERROR(__xludf.DUMMYFUNCTION("""COMPUTED_VALUE"""),"6x3201")</f>
        <v>6x3201</v>
      </c>
      <c r="F73" s="37" t="str">
        <f>IFERROR(__xludf.DUMMYFUNCTION("""COMPUTED_VALUE"""),"其他費用")</f>
        <v>其他費用</v>
      </c>
      <c r="G73" s="37" t="str">
        <f>IFERROR(__xludf.DUMMYFUNCTION("""COMPUTED_VALUE"""),"辦公軟體")</f>
        <v>辦公軟體</v>
      </c>
      <c r="H73" s="37" t="str">
        <f>IFERROR(__xludf.DUMMYFUNCTION("""COMPUTED_VALUE"""),"通用軟體 Apollo")</f>
        <v>通用軟體 Apollo</v>
      </c>
      <c r="I73" s="39">
        <f>IFERROR(__xludf.DUMMYFUNCTION("""COMPUTED_VALUE"""),124.0)</f>
        <v>124</v>
      </c>
      <c r="J73" s="39">
        <f>IFERROR(__xludf.DUMMYFUNCTION("""COMPUTED_VALUE"""),1482.0)</f>
        <v>1482</v>
      </c>
      <c r="K73" s="37" t="str">
        <f>IFERROR(__xludf.DUMMYFUNCTION("""COMPUTED_VALUE"""),"各專業中心")</f>
        <v>各專業中心</v>
      </c>
      <c r="L73" s="37" t="str">
        <f>IFERROR(__xludf.DUMMYFUNCTION("""COMPUTED_VALUE"""),"各專業中心")</f>
        <v>各專業中心</v>
      </c>
      <c r="M73" s="37" t="str">
        <f>IFERROR(__xludf.DUMMYFUNCTION("""COMPUTED_VALUE"""),"2026/1/1 改成 通用軟體 104人資系統")</f>
        <v>2026/1/1 改成 通用軟體 104人資系統</v>
      </c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</row>
    <row r="74">
      <c r="B74" s="37">
        <f>IFERROR(__xludf.DUMMYFUNCTION("""COMPUTED_VALUE"""),73.0)</f>
        <v>73</v>
      </c>
      <c r="C74" s="37" t="str">
        <f>IFERROR(__xludf.DUMMYFUNCTION("""COMPUTED_VALUE"""),"非人事費用")</f>
        <v>非人事費用</v>
      </c>
      <c r="D74" s="37" t="str">
        <f>IFERROR(__xludf.DUMMYFUNCTION("""COMPUTED_VALUE"""),"iCHEF")</f>
        <v>iCHEF</v>
      </c>
      <c r="E74" s="37" t="str">
        <f>IFERROR(__xludf.DUMMYFUNCTION("""COMPUTED_VALUE"""),"6x3201")</f>
        <v>6x3201</v>
      </c>
      <c r="F74" s="37" t="str">
        <f>IFERROR(__xludf.DUMMYFUNCTION("""COMPUTED_VALUE"""),"其他費用")</f>
        <v>其他費用</v>
      </c>
      <c r="G74" s="37" t="str">
        <f>IFERROR(__xludf.DUMMYFUNCTION("""COMPUTED_VALUE"""),"辦公軟體")</f>
        <v>辦公軟體</v>
      </c>
      <c r="H74" s="37" t="str">
        <f>IFERROR(__xludf.DUMMYFUNCTION("""COMPUTED_VALUE"""),"專用軟體 Netsuite 主管/看管報帳號")</f>
        <v>專用軟體 Netsuite 主管/看管報帳號</v>
      </c>
      <c r="I74" s="40">
        <f>IFERROR(__xludf.DUMMYFUNCTION("""COMPUTED_VALUE"""),1384.0)</f>
        <v>1384</v>
      </c>
      <c r="J74" s="40">
        <f>IFERROR(__xludf.DUMMYFUNCTION("""COMPUTED_VALUE"""),16608.0)</f>
        <v>16608</v>
      </c>
      <c r="K74" s="37" t="str">
        <f>IFERROR(__xludf.DUMMYFUNCTION("""COMPUTED_VALUE"""),"各專業中心")</f>
        <v>各專業中心</v>
      </c>
      <c r="L74" s="37" t="str">
        <f>IFERROR(__xludf.DUMMYFUNCTION("""COMPUTED_VALUE"""),"各專業中心")</f>
        <v>各專業中心</v>
      </c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</row>
    <row r="75">
      <c r="B75" s="37">
        <f>IFERROR(__xludf.DUMMYFUNCTION("""COMPUTED_VALUE"""),74.0)</f>
        <v>74</v>
      </c>
      <c r="C75" s="37" t="str">
        <f>IFERROR(__xludf.DUMMYFUNCTION("""COMPUTED_VALUE"""),"非人事費用")</f>
        <v>非人事費用</v>
      </c>
      <c r="D75" s="37" t="str">
        <f>IFERROR(__xludf.DUMMYFUNCTION("""COMPUTED_VALUE"""),"iCHEF")</f>
        <v>iCHEF</v>
      </c>
      <c r="E75" s="37" t="str">
        <f>IFERROR(__xludf.DUMMYFUNCTION("""COMPUTED_VALUE"""),"6x3201")</f>
        <v>6x3201</v>
      </c>
      <c r="F75" s="37" t="str">
        <f>IFERROR(__xludf.DUMMYFUNCTION("""COMPUTED_VALUE"""),"其他費用")</f>
        <v>其他費用</v>
      </c>
      <c r="G75" s="37" t="str">
        <f>IFERROR(__xludf.DUMMYFUNCTION("""COMPUTED_VALUE"""),"辦公軟體")</f>
        <v>辦公軟體</v>
      </c>
      <c r="H75" s="37" t="str">
        <f>IFERROR(__xludf.DUMMYFUNCTION("""COMPUTED_VALUE"""),"專用軟體 Netsuite 員工帳號")</f>
        <v>專用軟體 Netsuite 員工帳號</v>
      </c>
      <c r="I75" s="40">
        <f>IFERROR(__xludf.DUMMYFUNCTION("""COMPUTED_VALUE"""),229.0)</f>
        <v>229</v>
      </c>
      <c r="J75" s="40">
        <f>IFERROR(__xludf.DUMMYFUNCTION("""COMPUTED_VALUE"""),2748.0)</f>
        <v>2748</v>
      </c>
      <c r="K75" s="37" t="str">
        <f>IFERROR(__xludf.DUMMYFUNCTION("""COMPUTED_VALUE"""),"各專業中心")</f>
        <v>各專業中心</v>
      </c>
      <c r="L75" s="37" t="str">
        <f>IFERROR(__xludf.DUMMYFUNCTION("""COMPUTED_VALUE"""),"各專業中心")</f>
        <v>各專業中心</v>
      </c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</row>
    <row r="76">
      <c r="B76" s="37">
        <f>IFERROR(__xludf.DUMMYFUNCTION("""COMPUTED_VALUE"""),75.0)</f>
        <v>75</v>
      </c>
      <c r="C76" s="37" t="str">
        <f>IFERROR(__xludf.DUMMYFUNCTION("""COMPUTED_VALUE"""),"非人事費用")</f>
        <v>非人事費用</v>
      </c>
      <c r="D76" s="37" t="str">
        <f>IFERROR(__xludf.DUMMYFUNCTION("""COMPUTED_VALUE"""),"iCHEF")</f>
        <v>iCHEF</v>
      </c>
      <c r="E76" s="37" t="str">
        <f>IFERROR(__xludf.DUMMYFUNCTION("""COMPUTED_VALUE"""),"6x3201")</f>
        <v>6x3201</v>
      </c>
      <c r="F76" s="37" t="str">
        <f>IFERROR(__xludf.DUMMYFUNCTION("""COMPUTED_VALUE"""),"其他費用")</f>
        <v>其他費用</v>
      </c>
      <c r="G76" s="37" t="str">
        <f>IFERROR(__xludf.DUMMYFUNCTION("""COMPUTED_VALUE"""),"辦公軟體")</f>
        <v>辦公軟體</v>
      </c>
      <c r="H76" s="37" t="str">
        <f>IFERROR(__xludf.DUMMYFUNCTION("""COMPUTED_VALUE"""),"專用軟體 Office")</f>
        <v>專用軟體 Office</v>
      </c>
      <c r="I76" s="39">
        <f>IFERROR(__xludf.DUMMYFUNCTION("""COMPUTED_VALUE"""),282.0)</f>
        <v>282</v>
      </c>
      <c r="J76" s="39">
        <f>IFERROR(__xludf.DUMMYFUNCTION("""COMPUTED_VALUE"""),3381.0)</f>
        <v>3381</v>
      </c>
      <c r="K76" s="37" t="str">
        <f>IFERROR(__xludf.DUMMYFUNCTION("""COMPUTED_VALUE"""),"各專業中心")</f>
        <v>各專業中心</v>
      </c>
      <c r="L76" s="37" t="str">
        <f>IFERROR(__xludf.DUMMYFUNCTION("""COMPUTED_VALUE"""),"各專業中心")</f>
        <v>各專業中心</v>
      </c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</row>
    <row r="77">
      <c r="B77" s="37">
        <f>IFERROR(__xludf.DUMMYFUNCTION("""COMPUTED_VALUE"""),76.0)</f>
        <v>76</v>
      </c>
      <c r="C77" s="37" t="str">
        <f>IFERROR(__xludf.DUMMYFUNCTION("""COMPUTED_VALUE"""),"非人事費用")</f>
        <v>非人事費用</v>
      </c>
      <c r="D77" s="37" t="str">
        <f>IFERROR(__xludf.DUMMYFUNCTION("""COMPUTED_VALUE"""),"iCHEF")</f>
        <v>iCHEF</v>
      </c>
      <c r="E77" s="37" t="str">
        <f>IFERROR(__xludf.DUMMYFUNCTION("""COMPUTED_VALUE"""),"6x3201")</f>
        <v>6x3201</v>
      </c>
      <c r="F77" s="37" t="str">
        <f>IFERROR(__xludf.DUMMYFUNCTION("""COMPUTED_VALUE"""),"其他費用")</f>
        <v>其他費用</v>
      </c>
      <c r="G77" s="37" t="str">
        <f>IFERROR(__xludf.DUMMYFUNCTION("""COMPUTED_VALUE"""),"辦公軟體")</f>
        <v>辦公軟體</v>
      </c>
      <c r="H77" s="37" t="str">
        <f>IFERROR(__xludf.DUMMYFUNCTION("""COMPUTED_VALUE"""),"專用軟體 Tableau Viewer")</f>
        <v>專用軟體 Tableau Viewer</v>
      </c>
      <c r="I77" s="40">
        <f>IFERROR(__xludf.DUMMYFUNCTION("""COMPUTED_VALUE"""),352.0)</f>
        <v>352</v>
      </c>
      <c r="J77" s="40">
        <f>IFERROR(__xludf.DUMMYFUNCTION("""COMPUTED_VALUE"""),4224.0)</f>
        <v>4224</v>
      </c>
      <c r="K77" s="37" t="str">
        <f>IFERROR(__xludf.DUMMYFUNCTION("""COMPUTED_VALUE"""),"各專業中心")</f>
        <v>各專業中心</v>
      </c>
      <c r="L77" s="37" t="str">
        <f>IFERROR(__xludf.DUMMYFUNCTION("""COMPUTED_VALUE"""),"各專業中心")</f>
        <v>各專業中心</v>
      </c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</row>
    <row r="78">
      <c r="B78" s="37">
        <f>IFERROR(__xludf.DUMMYFUNCTION("""COMPUTED_VALUE"""),77.0)</f>
        <v>77</v>
      </c>
      <c r="C78" s="37" t="str">
        <f>IFERROR(__xludf.DUMMYFUNCTION("""COMPUTED_VALUE"""),"非人事費用")</f>
        <v>非人事費用</v>
      </c>
      <c r="D78" s="37" t="str">
        <f>IFERROR(__xludf.DUMMYFUNCTION("""COMPUTED_VALUE"""),"iCHEF")</f>
        <v>iCHEF</v>
      </c>
      <c r="E78" s="37" t="str">
        <f>IFERROR(__xludf.DUMMYFUNCTION("""COMPUTED_VALUE"""),"6x3201")</f>
        <v>6x3201</v>
      </c>
      <c r="F78" s="37" t="str">
        <f>IFERROR(__xludf.DUMMYFUNCTION("""COMPUTED_VALUE"""),"其他費用")</f>
        <v>其他費用</v>
      </c>
      <c r="G78" s="37" t="str">
        <f>IFERROR(__xludf.DUMMYFUNCTION("""COMPUTED_VALUE"""),"辦公軟體")</f>
        <v>辦公軟體</v>
      </c>
      <c r="H78" s="37" t="str">
        <f>IFERROR(__xludf.DUMMYFUNCTION("""COMPUTED_VALUE"""),"專用軟體 Tableau Creator")</f>
        <v>專用軟體 Tableau Creator</v>
      </c>
      <c r="I78" s="40">
        <f>IFERROR(__xludf.DUMMYFUNCTION("""COMPUTED_VALUE"""),2354.0)</f>
        <v>2354</v>
      </c>
      <c r="J78" s="40">
        <f>IFERROR(__xludf.DUMMYFUNCTION("""COMPUTED_VALUE"""),28248.0)</f>
        <v>28248</v>
      </c>
      <c r="K78" s="37" t="str">
        <f>IFERROR(__xludf.DUMMYFUNCTION("""COMPUTED_VALUE"""),"各專業中心")</f>
        <v>各專業中心</v>
      </c>
      <c r="L78" s="37" t="str">
        <f>IFERROR(__xludf.DUMMYFUNCTION("""COMPUTED_VALUE"""),"各專業中心")</f>
        <v>各專業中心</v>
      </c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</row>
    <row r="79">
      <c r="B79" s="37">
        <f>IFERROR(__xludf.DUMMYFUNCTION("""COMPUTED_VALUE"""),78.0)</f>
        <v>78</v>
      </c>
      <c r="C79" s="37" t="str">
        <f>IFERROR(__xludf.DUMMYFUNCTION("""COMPUTED_VALUE"""),"非人事費用")</f>
        <v>非人事費用</v>
      </c>
      <c r="D79" s="37" t="str">
        <f>IFERROR(__xludf.DUMMYFUNCTION("""COMPUTED_VALUE"""),"iCHEF")</f>
        <v>iCHEF</v>
      </c>
      <c r="E79" s="37" t="str">
        <f>IFERROR(__xludf.DUMMYFUNCTION("""COMPUTED_VALUE"""),"6x3201")</f>
        <v>6x3201</v>
      </c>
      <c r="F79" s="37" t="str">
        <f>IFERROR(__xludf.DUMMYFUNCTION("""COMPUTED_VALUE"""),"其他費用")</f>
        <v>其他費用</v>
      </c>
      <c r="G79" s="37" t="str">
        <f>IFERROR(__xludf.DUMMYFUNCTION("""COMPUTED_VALUE"""),"辦公軟體")</f>
        <v>辦公軟體</v>
      </c>
      <c r="H79" s="37" t="str">
        <f>IFERROR(__xludf.DUMMYFUNCTION("""COMPUTED_VALUE"""),"專用軟體 Adobe Std")</f>
        <v>專用軟體 Adobe Std</v>
      </c>
      <c r="I79" s="39">
        <f>IFERROR(__xludf.DUMMYFUNCTION("""COMPUTED_VALUE"""),510.0)</f>
        <v>510</v>
      </c>
      <c r="J79" s="39">
        <f>IFERROR(__xludf.DUMMYFUNCTION("""COMPUTED_VALUE"""),6120.0)</f>
        <v>6120</v>
      </c>
      <c r="K79" s="37" t="str">
        <f>IFERROR(__xludf.DUMMYFUNCTION("""COMPUTED_VALUE"""),"各專業中心")</f>
        <v>各專業中心</v>
      </c>
      <c r="L79" s="37" t="str">
        <f>IFERROR(__xludf.DUMMYFUNCTION("""COMPUTED_VALUE"""),"各專業中心")</f>
        <v>各專業中心</v>
      </c>
      <c r="M79" s="37" t="str">
        <f>IFERROR(__xludf.DUMMYFUNCTION("""COMPUTED_VALUE"""),"匯差")</f>
        <v>匯差</v>
      </c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</row>
    <row r="80">
      <c r="B80" s="37">
        <f>IFERROR(__xludf.DUMMYFUNCTION("""COMPUTED_VALUE"""),79.0)</f>
        <v>79</v>
      </c>
      <c r="C80" s="37" t="str">
        <f>IFERROR(__xludf.DUMMYFUNCTION("""COMPUTED_VALUE"""),"非人事費用")</f>
        <v>非人事費用</v>
      </c>
      <c r="D80" s="37" t="str">
        <f>IFERROR(__xludf.DUMMYFUNCTION("""COMPUTED_VALUE"""),"iCHEF")</f>
        <v>iCHEF</v>
      </c>
      <c r="E80" s="37" t="str">
        <f>IFERROR(__xludf.DUMMYFUNCTION("""COMPUTED_VALUE"""),"6x3201")</f>
        <v>6x3201</v>
      </c>
      <c r="F80" s="37" t="str">
        <f>IFERROR(__xludf.DUMMYFUNCTION("""COMPUTED_VALUE"""),"其他費用")</f>
        <v>其他費用</v>
      </c>
      <c r="G80" s="37" t="str">
        <f>IFERROR(__xludf.DUMMYFUNCTION("""COMPUTED_VALUE"""),"辦公軟體")</f>
        <v>辦公軟體</v>
      </c>
      <c r="H80" s="37" t="str">
        <f>IFERROR(__xludf.DUMMYFUNCTION("""COMPUTED_VALUE"""),"專用軟體 Adobe Creative Cloud")</f>
        <v>專用軟體 Adobe Creative Cloud</v>
      </c>
      <c r="I80" s="39">
        <f>IFERROR(__xludf.DUMMYFUNCTION("""COMPUTED_VALUE"""),3000.0)</f>
        <v>3000</v>
      </c>
      <c r="J80" s="39">
        <f>IFERROR(__xludf.DUMMYFUNCTION("""COMPUTED_VALUE"""),36000.0)</f>
        <v>36000</v>
      </c>
      <c r="K80" s="37" t="str">
        <f>IFERROR(__xludf.DUMMYFUNCTION("""COMPUTED_VALUE"""),"各專業中心")</f>
        <v>各專業中心</v>
      </c>
      <c r="L80" s="37" t="str">
        <f>IFERROR(__xludf.DUMMYFUNCTION("""COMPUTED_VALUE"""),"各專業中心")</f>
        <v>各專業中心</v>
      </c>
      <c r="M80" s="37" t="str">
        <f>IFERROR(__xludf.DUMMYFUNCTION("""COMPUTED_VALUE"""),"匯差")</f>
        <v>匯差</v>
      </c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</row>
    <row r="81">
      <c r="B81" s="37">
        <f>IFERROR(__xludf.DUMMYFUNCTION("""COMPUTED_VALUE"""),80.0)</f>
        <v>80</v>
      </c>
      <c r="C81" s="37" t="str">
        <f>IFERROR(__xludf.DUMMYFUNCTION("""COMPUTED_VALUE"""),"非人事費用")</f>
        <v>非人事費用</v>
      </c>
      <c r="D81" s="37" t="str">
        <f>IFERROR(__xludf.DUMMYFUNCTION("""COMPUTED_VALUE"""),"iCHEF")</f>
        <v>iCHEF</v>
      </c>
      <c r="E81" s="37" t="str">
        <f>IFERROR(__xludf.DUMMYFUNCTION("""COMPUTED_VALUE"""),"6x3201")</f>
        <v>6x3201</v>
      </c>
      <c r="F81" s="37" t="str">
        <f>IFERROR(__xludf.DUMMYFUNCTION("""COMPUTED_VALUE"""),"其他費用")</f>
        <v>其他費用</v>
      </c>
      <c r="G81" s="37" t="str">
        <f>IFERROR(__xludf.DUMMYFUNCTION("""COMPUTED_VALUE"""),"辦公軟體")</f>
        <v>辦公軟體</v>
      </c>
      <c r="H81" s="37" t="str">
        <f>IFERROR(__xludf.DUMMYFUNCTION("""COMPUTED_VALUE"""),"專用軟體 Salesforce Sales Cloud")</f>
        <v>專用軟體 Salesforce Sales Cloud</v>
      </c>
      <c r="I81" s="39">
        <f>IFERROR(__xludf.DUMMYFUNCTION("""COMPUTED_VALUE"""),3728.0)</f>
        <v>3728</v>
      </c>
      <c r="J81" s="39">
        <f>IFERROR(__xludf.DUMMYFUNCTION("""COMPUTED_VALUE"""),44730.0)</f>
        <v>44730</v>
      </c>
      <c r="K81" s="37" t="str">
        <f>IFERROR(__xludf.DUMMYFUNCTION("""COMPUTED_VALUE"""),"各專業中心")</f>
        <v>各專業中心</v>
      </c>
      <c r="L81" s="37" t="str">
        <f>IFERROR(__xludf.DUMMYFUNCTION("""COMPUTED_VALUE"""),"各專業中心")</f>
        <v>各專業中心</v>
      </c>
      <c r="M81" s="37" t="str">
        <f>IFERROR(__xludf.DUMMYFUNCTION("""COMPUTED_VALUE"""),"續約單價上漲 USD 115.5 -&gt; USD 124.25, 匯率下降")</f>
        <v>續約單價上漲 USD 115.5 -&gt; USD 124.25, 匯率下降</v>
      </c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</row>
    <row r="82">
      <c r="B82" s="37">
        <f>IFERROR(__xludf.DUMMYFUNCTION("""COMPUTED_VALUE"""),81.0)</f>
        <v>81</v>
      </c>
      <c r="C82" s="37" t="str">
        <f>IFERROR(__xludf.DUMMYFUNCTION("""COMPUTED_VALUE"""),"非人事費用")</f>
        <v>非人事費用</v>
      </c>
      <c r="D82" s="37" t="str">
        <f>IFERROR(__xludf.DUMMYFUNCTION("""COMPUTED_VALUE"""),"iCHEF")</f>
        <v>iCHEF</v>
      </c>
      <c r="E82" s="37" t="str">
        <f>IFERROR(__xludf.DUMMYFUNCTION("""COMPUTED_VALUE"""),"6x3201")</f>
        <v>6x3201</v>
      </c>
      <c r="F82" s="37" t="str">
        <f>IFERROR(__xludf.DUMMYFUNCTION("""COMPUTED_VALUE"""),"其他費用")</f>
        <v>其他費用</v>
      </c>
      <c r="G82" s="37" t="str">
        <f>IFERROR(__xludf.DUMMYFUNCTION("""COMPUTED_VALUE"""),"辦公軟體")</f>
        <v>辦公軟體</v>
      </c>
      <c r="H82" s="37" t="str">
        <f>IFERROR(__xludf.DUMMYFUNCTION("""COMPUTED_VALUE"""),"專用軟體 Salesforce Service Cloud")</f>
        <v>專用軟體 Salesforce Service Cloud</v>
      </c>
      <c r="I82" s="39">
        <f>IFERROR(__xludf.DUMMYFUNCTION("""COMPUTED_VALUE"""),3728.0)</f>
        <v>3728</v>
      </c>
      <c r="J82" s="39">
        <f>IFERROR(__xludf.DUMMYFUNCTION("""COMPUTED_VALUE"""),44730.0)</f>
        <v>44730</v>
      </c>
      <c r="K82" s="37" t="str">
        <f>IFERROR(__xludf.DUMMYFUNCTION("""COMPUTED_VALUE"""),"各專業中心")</f>
        <v>各專業中心</v>
      </c>
      <c r="L82" s="37" t="str">
        <f>IFERROR(__xludf.DUMMYFUNCTION("""COMPUTED_VALUE"""),"各專業中心")</f>
        <v>各專業中心</v>
      </c>
      <c r="M82" s="37" t="str">
        <f>IFERROR(__xludf.DUMMYFUNCTION("""COMPUTED_VALUE"""),"續約單價上漲 USD 115.5 -&gt; USD 124.25, 匯率下降")</f>
        <v>續約單價上漲 USD 115.5 -&gt; USD 124.25, 匯率下降</v>
      </c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</row>
    <row r="83">
      <c r="B83" s="37">
        <f>IFERROR(__xludf.DUMMYFUNCTION("""COMPUTED_VALUE"""),82.0)</f>
        <v>82</v>
      </c>
      <c r="C83" s="37" t="str">
        <f>IFERROR(__xludf.DUMMYFUNCTION("""COMPUTED_VALUE"""),"非人事費用")</f>
        <v>非人事費用</v>
      </c>
      <c r="D83" s="37" t="str">
        <f>IFERROR(__xludf.DUMMYFUNCTION("""COMPUTED_VALUE"""),"iCHEF")</f>
        <v>iCHEF</v>
      </c>
      <c r="E83" s="37" t="str">
        <f>IFERROR(__xludf.DUMMYFUNCTION("""COMPUTED_VALUE"""),"6x3201")</f>
        <v>6x3201</v>
      </c>
      <c r="F83" s="37" t="str">
        <f>IFERROR(__xludf.DUMMYFUNCTION("""COMPUTED_VALUE"""),"其他費用")</f>
        <v>其他費用</v>
      </c>
      <c r="G83" s="37" t="str">
        <f>IFERROR(__xludf.DUMMYFUNCTION("""COMPUTED_VALUE"""),"辦公軟體")</f>
        <v>辦公軟體</v>
      </c>
      <c r="H83" s="37" t="str">
        <f>IFERROR(__xludf.DUMMYFUNCTION("""COMPUTED_VALUE"""),"專用軟體 Salesforce Sales+Service Cloud")</f>
        <v>專用軟體 Salesforce Sales+Service Cloud</v>
      </c>
      <c r="I83" s="39">
        <f>IFERROR(__xludf.DUMMYFUNCTION("""COMPUTED_VALUE"""),4680.0)</f>
        <v>4680</v>
      </c>
      <c r="J83" s="39">
        <f>IFERROR(__xludf.DUMMYFUNCTION("""COMPUTED_VALUE"""),56160.0)</f>
        <v>56160</v>
      </c>
      <c r="K83" s="37" t="str">
        <f>IFERROR(__xludf.DUMMYFUNCTION("""COMPUTED_VALUE"""),"各專業中心")</f>
        <v>各專業中心</v>
      </c>
      <c r="L83" s="37" t="str">
        <f>IFERROR(__xludf.DUMMYFUNCTION("""COMPUTED_VALUE"""),"各專業中心")</f>
        <v>各專業中心</v>
      </c>
      <c r="M83" s="37" t="str">
        <f>IFERROR(__xludf.DUMMYFUNCTION("""COMPUTED_VALUE"""),"續約單價上漲 USD 147-&gt; USD 156, 匯率下降")</f>
        <v>續約單價上漲 USD 147-&gt; USD 156, 匯率下降</v>
      </c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</row>
    <row r="84">
      <c r="B84" s="37">
        <f>IFERROR(__xludf.DUMMYFUNCTION("""COMPUTED_VALUE"""),83.0)</f>
        <v>83</v>
      </c>
      <c r="C84" s="37" t="str">
        <f>IFERROR(__xludf.DUMMYFUNCTION("""COMPUTED_VALUE"""),"非人事費用")</f>
        <v>非人事費用</v>
      </c>
      <c r="D84" s="37" t="str">
        <f>IFERROR(__xludf.DUMMYFUNCTION("""COMPUTED_VALUE"""),"iCHEF")</f>
        <v>iCHEF</v>
      </c>
      <c r="E84" s="37" t="str">
        <f>IFERROR(__xludf.DUMMYFUNCTION("""COMPUTED_VALUE"""),"6x3201")</f>
        <v>6x3201</v>
      </c>
      <c r="F84" s="37" t="str">
        <f>IFERROR(__xludf.DUMMYFUNCTION("""COMPUTED_VALUE"""),"其他費用")</f>
        <v>其他費用</v>
      </c>
      <c r="G84" s="37" t="str">
        <f>IFERROR(__xludf.DUMMYFUNCTION("""COMPUTED_VALUE"""),"辦公軟體")</f>
        <v>辦公軟體</v>
      </c>
      <c r="H84" s="37" t="str">
        <f>IFERROR(__xludf.DUMMYFUNCTION("""COMPUTED_VALUE"""),"通用軟體 Asana")</f>
        <v>通用軟體 Asana</v>
      </c>
      <c r="I84" s="39">
        <f>IFERROR(__xludf.DUMMYFUNCTION("""COMPUTED_VALUE"""),830.0)</f>
        <v>830</v>
      </c>
      <c r="J84" s="39">
        <f>IFERROR(__xludf.DUMMYFUNCTION("""COMPUTED_VALUE"""),9960.0)</f>
        <v>9960</v>
      </c>
      <c r="K84" s="37" t="str">
        <f>IFERROR(__xludf.DUMMYFUNCTION("""COMPUTED_VALUE"""),"各專業中心")</f>
        <v>各專業中心</v>
      </c>
      <c r="L84" s="37" t="str">
        <f>IFERROR(__xludf.DUMMYFUNCTION("""COMPUTED_VALUE"""),"各專業中心")</f>
        <v>各專業中心</v>
      </c>
      <c r="M84" s="37" t="str">
        <f>IFERROR(__xludf.DUMMYFUNCTION("""COMPUTED_VALUE"""),"新項目, 通用軟體單獨計算")</f>
        <v>新項目, 通用軟體單獨計算</v>
      </c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</row>
    <row r="85">
      <c r="B85" s="37">
        <f>IFERROR(__xludf.DUMMYFUNCTION("""COMPUTED_VALUE"""),84.0)</f>
        <v>84</v>
      </c>
      <c r="C85" s="37" t="str">
        <f>IFERROR(__xludf.DUMMYFUNCTION("""COMPUTED_VALUE"""),"非人事費用")</f>
        <v>非人事費用</v>
      </c>
      <c r="D85" s="37" t="str">
        <f>IFERROR(__xludf.DUMMYFUNCTION("""COMPUTED_VALUE"""),"iCHEF")</f>
        <v>iCHEF</v>
      </c>
      <c r="E85" s="37" t="str">
        <f>IFERROR(__xludf.DUMMYFUNCTION("""COMPUTED_VALUE"""),"6x3201")</f>
        <v>6x3201</v>
      </c>
      <c r="F85" s="37" t="str">
        <f>IFERROR(__xludf.DUMMYFUNCTION("""COMPUTED_VALUE"""),"其他費用")</f>
        <v>其他費用</v>
      </c>
      <c r="G85" s="37" t="str">
        <f>IFERROR(__xludf.DUMMYFUNCTION("""COMPUTED_VALUE"""),"辦公軟體")</f>
        <v>辦公軟體</v>
      </c>
      <c r="H85" s="37" t="str">
        <f>IFERROR(__xludf.DUMMYFUNCTION("""COMPUTED_VALUE"""),"通用軟體 Notion")</f>
        <v>通用軟體 Notion</v>
      </c>
      <c r="I85" s="39">
        <f>IFERROR(__xludf.DUMMYFUNCTION("""COMPUTED_VALUE"""),300.0)</f>
        <v>300</v>
      </c>
      <c r="J85" s="39">
        <f>IFERROR(__xludf.DUMMYFUNCTION("""COMPUTED_VALUE"""),3600.0)</f>
        <v>3600</v>
      </c>
      <c r="K85" s="37" t="str">
        <f>IFERROR(__xludf.DUMMYFUNCTION("""COMPUTED_VALUE"""),"各專業中心")</f>
        <v>各專業中心</v>
      </c>
      <c r="L85" s="37" t="str">
        <f>IFERROR(__xludf.DUMMYFUNCTION("""COMPUTED_VALUE"""),"各專業中心")</f>
        <v>各專業中心</v>
      </c>
      <c r="M85" s="37" t="str">
        <f>IFERROR(__xludf.DUMMYFUNCTION("""COMPUTED_VALUE"""),"新項目, 通用軟體單獨計算")</f>
        <v>新項目, 通用軟體單獨計算</v>
      </c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</row>
    <row r="86">
      <c r="B86" s="37">
        <f>IFERROR(__xludf.DUMMYFUNCTION("""COMPUTED_VALUE"""),85.0)</f>
        <v>85</v>
      </c>
      <c r="C86" s="37" t="str">
        <f>IFERROR(__xludf.DUMMYFUNCTION("""COMPUTED_VALUE"""),"非人事費用")</f>
        <v>非人事費用</v>
      </c>
      <c r="D86" s="37" t="str">
        <f>IFERROR(__xludf.DUMMYFUNCTION("""COMPUTED_VALUE"""),"iCHEF")</f>
        <v>iCHEF</v>
      </c>
      <c r="E86" s="37" t="str">
        <f>IFERROR(__xludf.DUMMYFUNCTION("""COMPUTED_VALUE"""),"6x3201")</f>
        <v>6x3201</v>
      </c>
      <c r="F86" s="37" t="str">
        <f>IFERROR(__xludf.DUMMYFUNCTION("""COMPUTED_VALUE"""),"其他費用")</f>
        <v>其他費用</v>
      </c>
      <c r="G86" s="37" t="str">
        <f>IFERROR(__xludf.DUMMYFUNCTION("""COMPUTED_VALUE"""),"辦公軟體")</f>
        <v>辦公軟體</v>
      </c>
      <c r="H86" s="37" t="str">
        <f>IFERROR(__xludf.DUMMYFUNCTION("""COMPUTED_VALUE"""),"通用軟體 Slack")</f>
        <v>通用軟體 Slack</v>
      </c>
      <c r="I86" s="39">
        <f>IFERROR(__xludf.DUMMYFUNCTION("""COMPUTED_VALUE"""),218.0)</f>
        <v>218</v>
      </c>
      <c r="J86" s="39">
        <f>IFERROR(__xludf.DUMMYFUNCTION("""COMPUTED_VALUE"""),2616.0)</f>
        <v>2616</v>
      </c>
      <c r="K86" s="37" t="str">
        <f>IFERROR(__xludf.DUMMYFUNCTION("""COMPUTED_VALUE"""),"各專業中心")</f>
        <v>各專業中心</v>
      </c>
      <c r="L86" s="37" t="str">
        <f>IFERROR(__xludf.DUMMYFUNCTION("""COMPUTED_VALUE"""),"各專業中心")</f>
        <v>各專業中心</v>
      </c>
      <c r="M86" s="37" t="str">
        <f>IFERROR(__xludf.DUMMYFUNCTION("""COMPUTED_VALUE"""),"新項目, 通用軟體單獨計算")</f>
        <v>新項目, 通用軟體單獨計算</v>
      </c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</row>
    <row r="87">
      <c r="B87" s="37">
        <f>IFERROR(__xludf.DUMMYFUNCTION("""COMPUTED_VALUE"""),86.0)</f>
        <v>86</v>
      </c>
      <c r="C87" s="37" t="str">
        <f>IFERROR(__xludf.DUMMYFUNCTION("""COMPUTED_VALUE"""),"非人事費用")</f>
        <v>非人事費用</v>
      </c>
      <c r="D87" s="37" t="str">
        <f>IFERROR(__xludf.DUMMYFUNCTION("""COMPUTED_VALUE"""),"iCHEF")</f>
        <v>iCHEF</v>
      </c>
      <c r="E87" s="37" t="str">
        <f>IFERROR(__xludf.DUMMYFUNCTION("""COMPUTED_VALUE"""),"6x3201")</f>
        <v>6x3201</v>
      </c>
      <c r="F87" s="37" t="str">
        <f>IFERROR(__xludf.DUMMYFUNCTION("""COMPUTED_VALUE"""),"其他費用")</f>
        <v>其他費用</v>
      </c>
      <c r="G87" s="37" t="str">
        <f>IFERROR(__xludf.DUMMYFUNCTION("""COMPUTED_VALUE"""),"辦公軟體")</f>
        <v>辦公軟體</v>
      </c>
      <c r="H87" s="37" t="str">
        <f>IFERROR(__xludf.DUMMYFUNCTION("""COMPUTED_VALUE"""),"辦公室VPN")</f>
        <v>辦公室VPN</v>
      </c>
      <c r="I87" s="39">
        <f>IFERROR(__xludf.DUMMYFUNCTION("""COMPUTED_VALUE"""),100.0)</f>
        <v>100</v>
      </c>
      <c r="J87" s="39">
        <f>IFERROR(__xludf.DUMMYFUNCTION("""COMPUTED_VALUE"""),1200.0)</f>
        <v>1200</v>
      </c>
      <c r="K87" s="37" t="str">
        <f>IFERROR(__xludf.DUMMYFUNCTION("""COMPUTED_VALUE"""),"各專業中心")</f>
        <v>各專業中心</v>
      </c>
      <c r="L87" s="37" t="str">
        <f>IFERROR(__xludf.DUMMYFUNCTION("""COMPUTED_VALUE"""),"各專業中心")</f>
        <v>各專業中心</v>
      </c>
      <c r="M87" s="37" t="str">
        <f>IFERROR(__xludf.DUMMYFUNCTION("""COMPUTED_VALUE"""),"新項目, 2025 沒攤給各中心, 2026 攤給各中心")</f>
        <v>新項目, 2025 沒攤給各中心, 2026 攤給各中心</v>
      </c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</row>
    <row r="88">
      <c r="B88" s="37">
        <f>IFERROR(__xludf.DUMMYFUNCTION("""COMPUTED_VALUE"""),87.0)</f>
        <v>87</v>
      </c>
      <c r="C88" s="37" t="str">
        <f>IFERROR(__xludf.DUMMYFUNCTION("""COMPUTED_VALUE"""),"非人事費用")</f>
        <v>非人事費用</v>
      </c>
      <c r="D88" s="37" t="str">
        <f>IFERROR(__xludf.DUMMYFUNCTION("""COMPUTED_VALUE"""),"iCHEF")</f>
        <v>iCHEF</v>
      </c>
      <c r="E88" s="37" t="str">
        <f>IFERROR(__xludf.DUMMYFUNCTION("""COMPUTED_VALUE"""),"6x3201")</f>
        <v>6x3201</v>
      </c>
      <c r="F88" s="37" t="str">
        <f>IFERROR(__xludf.DUMMYFUNCTION("""COMPUTED_VALUE"""),"其他費用")</f>
        <v>其他費用</v>
      </c>
      <c r="G88" s="37" t="str">
        <f>IFERROR(__xludf.DUMMYFUNCTION("""COMPUTED_VALUE"""),"辦公軟體")</f>
        <v>辦公軟體</v>
      </c>
      <c r="H88" s="37" t="str">
        <f>IFERROR(__xludf.DUMMYFUNCTION("""COMPUTED_VALUE"""),"點點簽")</f>
        <v>點點簽</v>
      </c>
      <c r="I88" s="39">
        <f>IFERROR(__xludf.DUMMYFUNCTION("""COMPUTED_VALUE"""),450.0)</f>
        <v>450</v>
      </c>
      <c r="J88" s="39">
        <f>IFERROR(__xludf.DUMMYFUNCTION("""COMPUTED_VALUE"""),5400.0)</f>
        <v>5400</v>
      </c>
      <c r="K88" s="37" t="str">
        <f>IFERROR(__xludf.DUMMYFUNCTION("""COMPUTED_VALUE"""),"各專業中心")</f>
        <v>各專業中心</v>
      </c>
      <c r="L88" s="37" t="str">
        <f>IFERROR(__xludf.DUMMYFUNCTION("""COMPUTED_VALUE"""),"各專業中心")</f>
        <v>各專業中心</v>
      </c>
      <c r="M88" s="37" t="str">
        <f>IFERROR(__xludf.DUMMYFUNCTION("""COMPUTED_VALUE"""),"新項目, 2025 轉給資訊管理")</f>
        <v>新項目, 2025 轉給資訊管理</v>
      </c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</row>
    <row r="89">
      <c r="B89" s="37">
        <f>IFERROR(__xludf.DUMMYFUNCTION("""COMPUTED_VALUE"""),88.0)</f>
        <v>88</v>
      </c>
      <c r="C89" s="37" t="str">
        <f>IFERROR(__xludf.DUMMYFUNCTION("""COMPUTED_VALUE"""),"非人事費用")</f>
        <v>非人事費用</v>
      </c>
      <c r="D89" s="37" t="str">
        <f>IFERROR(__xludf.DUMMYFUNCTION("""COMPUTED_VALUE"""),"QLR")</f>
        <v>QLR</v>
      </c>
      <c r="E89" s="37" t="str">
        <f>IFERROR(__xludf.DUMMYFUNCTION("""COMPUTED_VALUE"""),"6x3201")</f>
        <v>6x3201</v>
      </c>
      <c r="F89" s="37" t="str">
        <f>IFERROR(__xludf.DUMMYFUNCTION("""COMPUTED_VALUE"""),"其他費用")</f>
        <v>其他費用</v>
      </c>
      <c r="G89" s="37" t="str">
        <f>IFERROR(__xludf.DUMMYFUNCTION("""COMPUTED_VALUE"""),"辦公軟體")</f>
        <v>辦公軟體</v>
      </c>
      <c r="H89" s="37" t="str">
        <f>IFERROR(__xludf.DUMMYFUNCTION("""COMPUTED_VALUE"""),"通用軟體 GWS")</f>
        <v>通用軟體 GWS</v>
      </c>
      <c r="I89" s="39">
        <f>IFERROR(__xludf.DUMMYFUNCTION("""COMPUTED_VALUE"""),180.0)</f>
        <v>180</v>
      </c>
      <c r="J89" s="39">
        <f>IFERROR(__xludf.DUMMYFUNCTION("""COMPUTED_VALUE"""),2160.0)</f>
        <v>2160</v>
      </c>
      <c r="K89" s="37" t="str">
        <f>IFERROR(__xludf.DUMMYFUNCTION("""COMPUTED_VALUE"""),"各專業中心")</f>
        <v>各專業中心</v>
      </c>
      <c r="L89" s="37" t="str">
        <f>IFERROR(__xludf.DUMMYFUNCTION("""COMPUTED_VALUE"""),"各專業中心")</f>
        <v>各專業中心</v>
      </c>
      <c r="M89" s="37" t="str">
        <f>IFERROR(__xludf.DUMMYFUNCTION("""COMPUTED_VALUE"""),"新項目, 通用軟體單獨計算")</f>
        <v>新項目, 通用軟體單獨計算</v>
      </c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</row>
    <row r="90">
      <c r="B90" s="37">
        <f>IFERROR(__xludf.DUMMYFUNCTION("""COMPUTED_VALUE"""),89.0)</f>
        <v>89</v>
      </c>
      <c r="C90" s="37" t="str">
        <f>IFERROR(__xludf.DUMMYFUNCTION("""COMPUTED_VALUE"""),"非人事費用")</f>
        <v>非人事費用</v>
      </c>
      <c r="D90" s="37" t="str">
        <f>IFERROR(__xludf.DUMMYFUNCTION("""COMPUTED_VALUE"""),"QLR")</f>
        <v>QLR</v>
      </c>
      <c r="E90" s="37" t="str">
        <f>IFERROR(__xludf.DUMMYFUNCTION("""COMPUTED_VALUE"""),"6x3201")</f>
        <v>6x3201</v>
      </c>
      <c r="F90" s="37" t="str">
        <f>IFERROR(__xludf.DUMMYFUNCTION("""COMPUTED_VALUE"""),"其他費用")</f>
        <v>其他費用</v>
      </c>
      <c r="G90" s="37" t="str">
        <f>IFERROR(__xludf.DUMMYFUNCTION("""COMPUTED_VALUE"""),"辦公軟體")</f>
        <v>辦公軟體</v>
      </c>
      <c r="H90" s="37" t="str">
        <f>IFERROR(__xludf.DUMMYFUNCTION("""COMPUTED_VALUE"""),"專用軟體 Netsuite 主管/看管報帳號")</f>
        <v>專用軟體 Netsuite 主管/看管報帳號</v>
      </c>
      <c r="I90" s="40">
        <f>IFERROR(__xludf.DUMMYFUNCTION("""COMPUTED_VALUE"""),1384.0)</f>
        <v>1384</v>
      </c>
      <c r="J90" s="40">
        <f>IFERROR(__xludf.DUMMYFUNCTION("""COMPUTED_VALUE"""),16608.0)</f>
        <v>16608</v>
      </c>
      <c r="K90" s="37" t="str">
        <f>IFERROR(__xludf.DUMMYFUNCTION("""COMPUTED_VALUE"""),"各專業中心")</f>
        <v>各專業中心</v>
      </c>
      <c r="L90" s="37" t="str">
        <f>IFERROR(__xludf.DUMMYFUNCTION("""COMPUTED_VALUE"""),"各專業中心")</f>
        <v>各專業中心</v>
      </c>
      <c r="M90" s="37" t="str">
        <f>IFERROR(__xludf.DUMMYFUNCTION("""COMPUTED_VALUE"""),"新項目, 通用軟體單獨計算")</f>
        <v>新項目, 通用軟體單獨計算</v>
      </c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</row>
    <row r="91">
      <c r="B91" s="37">
        <f>IFERROR(__xludf.DUMMYFUNCTION("""COMPUTED_VALUE"""),90.0)</f>
        <v>90</v>
      </c>
      <c r="C91" s="37" t="str">
        <f>IFERROR(__xludf.DUMMYFUNCTION("""COMPUTED_VALUE"""),"非人事費用")</f>
        <v>非人事費用</v>
      </c>
      <c r="D91" s="37" t="str">
        <f>IFERROR(__xludf.DUMMYFUNCTION("""COMPUTED_VALUE"""),"QLR")</f>
        <v>QLR</v>
      </c>
      <c r="E91" s="37" t="str">
        <f>IFERROR(__xludf.DUMMYFUNCTION("""COMPUTED_VALUE"""),"6x3201")</f>
        <v>6x3201</v>
      </c>
      <c r="F91" s="37" t="str">
        <f>IFERROR(__xludf.DUMMYFUNCTION("""COMPUTED_VALUE"""),"其他費用")</f>
        <v>其他費用</v>
      </c>
      <c r="G91" s="37" t="str">
        <f>IFERROR(__xludf.DUMMYFUNCTION("""COMPUTED_VALUE"""),"辦公軟體")</f>
        <v>辦公軟體</v>
      </c>
      <c r="H91" s="37" t="str">
        <f>IFERROR(__xludf.DUMMYFUNCTION("""COMPUTED_VALUE"""),"專用軟體 Netsuite 員工帳號")</f>
        <v>專用軟體 Netsuite 員工帳號</v>
      </c>
      <c r="I91" s="40">
        <f>IFERROR(__xludf.DUMMYFUNCTION("""COMPUTED_VALUE"""),229.0)</f>
        <v>229</v>
      </c>
      <c r="J91" s="40">
        <f>IFERROR(__xludf.DUMMYFUNCTION("""COMPUTED_VALUE"""),2748.0)</f>
        <v>2748</v>
      </c>
      <c r="K91" s="37" t="str">
        <f>IFERROR(__xludf.DUMMYFUNCTION("""COMPUTED_VALUE"""),"各專業中心")</f>
        <v>各專業中心</v>
      </c>
      <c r="L91" s="37" t="str">
        <f>IFERROR(__xludf.DUMMYFUNCTION("""COMPUTED_VALUE"""),"各專業中心")</f>
        <v>各專業中心</v>
      </c>
      <c r="M91" s="37" t="str">
        <f>IFERROR(__xludf.DUMMYFUNCTION("""COMPUTED_VALUE"""),"新項目, 通用軟體單獨計算")</f>
        <v>新項目, 通用軟體單獨計算</v>
      </c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</row>
    <row r="92">
      <c r="B92" s="37">
        <f>IFERROR(__xludf.DUMMYFUNCTION("""COMPUTED_VALUE"""),91.0)</f>
        <v>91</v>
      </c>
      <c r="C92" s="37" t="str">
        <f>IFERROR(__xludf.DUMMYFUNCTION("""COMPUTED_VALUE"""),"非人事費用")</f>
        <v>非人事費用</v>
      </c>
      <c r="D92" s="37" t="str">
        <f>IFERROR(__xludf.DUMMYFUNCTION("""COMPUTED_VALUE"""),"QLR")</f>
        <v>QLR</v>
      </c>
      <c r="E92" s="37" t="str">
        <f>IFERROR(__xludf.DUMMYFUNCTION("""COMPUTED_VALUE"""),"6x3201")</f>
        <v>6x3201</v>
      </c>
      <c r="F92" s="37" t="str">
        <f>IFERROR(__xludf.DUMMYFUNCTION("""COMPUTED_VALUE"""),"其他費用")</f>
        <v>其他費用</v>
      </c>
      <c r="G92" s="37" t="str">
        <f>IFERROR(__xludf.DUMMYFUNCTION("""COMPUTED_VALUE"""),"辦公軟體")</f>
        <v>辦公軟體</v>
      </c>
      <c r="H92" s="37" t="str">
        <f>IFERROR(__xludf.DUMMYFUNCTION("""COMPUTED_VALUE"""),"通用軟體 Asana")</f>
        <v>通用軟體 Asana</v>
      </c>
      <c r="I92" s="39">
        <f>IFERROR(__xludf.DUMMYFUNCTION("""COMPUTED_VALUE"""),750.0)</f>
        <v>750</v>
      </c>
      <c r="J92" s="39">
        <f>IFERROR(__xludf.DUMMYFUNCTION("""COMPUTED_VALUE"""),9000.0)</f>
        <v>9000</v>
      </c>
      <c r="K92" s="37" t="str">
        <f>IFERROR(__xludf.DUMMYFUNCTION("""COMPUTED_VALUE"""),"各專業中心")</f>
        <v>各專業中心</v>
      </c>
      <c r="L92" s="37" t="str">
        <f>IFERROR(__xludf.DUMMYFUNCTION("""COMPUTED_VALUE"""),"各專業中心")</f>
        <v>各專業中心</v>
      </c>
      <c r="M92" s="37" t="str">
        <f>IFERROR(__xludf.DUMMYFUNCTION("""COMPUTED_VALUE"""),"新項目, 通用軟體單獨計算")</f>
        <v>新項目, 通用軟體單獨計算</v>
      </c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</row>
    <row r="93">
      <c r="B93" s="37">
        <f>IFERROR(__xludf.DUMMYFUNCTION("""COMPUTED_VALUE"""),92.0)</f>
        <v>92</v>
      </c>
      <c r="C93" s="37" t="str">
        <f>IFERROR(__xludf.DUMMYFUNCTION("""COMPUTED_VALUE"""),"非人事費用")</f>
        <v>非人事費用</v>
      </c>
      <c r="D93" s="37" t="str">
        <f>IFERROR(__xludf.DUMMYFUNCTION("""COMPUTED_VALUE"""),"QLR")</f>
        <v>QLR</v>
      </c>
      <c r="E93" s="37" t="str">
        <f>IFERROR(__xludf.DUMMYFUNCTION("""COMPUTED_VALUE"""),"6x3201")</f>
        <v>6x3201</v>
      </c>
      <c r="F93" s="37" t="str">
        <f>IFERROR(__xludf.DUMMYFUNCTION("""COMPUTED_VALUE"""),"其他費用")</f>
        <v>其他費用</v>
      </c>
      <c r="G93" s="37" t="str">
        <f>IFERROR(__xludf.DUMMYFUNCTION("""COMPUTED_VALUE"""),"辦公軟體")</f>
        <v>辦公軟體</v>
      </c>
      <c r="H93" s="37" t="str">
        <f>IFERROR(__xludf.DUMMYFUNCTION("""COMPUTED_VALUE"""),"通用軟體 Notion")</f>
        <v>通用軟體 Notion</v>
      </c>
      <c r="I93" s="39">
        <f>IFERROR(__xludf.DUMMYFUNCTION("""COMPUTED_VALUE"""),300.0)</f>
        <v>300</v>
      </c>
      <c r="J93" s="39">
        <f>IFERROR(__xludf.DUMMYFUNCTION("""COMPUTED_VALUE"""),3600.0)</f>
        <v>3600</v>
      </c>
      <c r="K93" s="37" t="str">
        <f>IFERROR(__xludf.DUMMYFUNCTION("""COMPUTED_VALUE"""),"各專業中心")</f>
        <v>各專業中心</v>
      </c>
      <c r="L93" s="37" t="str">
        <f>IFERROR(__xludf.DUMMYFUNCTION("""COMPUTED_VALUE"""),"各專業中心")</f>
        <v>各專業中心</v>
      </c>
      <c r="M93" s="37" t="str">
        <f>IFERROR(__xludf.DUMMYFUNCTION("""COMPUTED_VALUE"""),"新項目, 通用軟體單獨計算")</f>
        <v>新項目, 通用軟體單獨計算</v>
      </c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</row>
    <row r="94">
      <c r="B94" s="37">
        <f>IFERROR(__xludf.DUMMYFUNCTION("""COMPUTED_VALUE"""),93.0)</f>
        <v>93</v>
      </c>
      <c r="C94" s="37" t="str">
        <f>IFERROR(__xludf.DUMMYFUNCTION("""COMPUTED_VALUE"""),"非人事費用")</f>
        <v>非人事費用</v>
      </c>
      <c r="D94" s="37" t="str">
        <f>IFERROR(__xludf.DUMMYFUNCTION("""COMPUTED_VALUE"""),"QLR")</f>
        <v>QLR</v>
      </c>
      <c r="E94" s="37" t="str">
        <f>IFERROR(__xludf.DUMMYFUNCTION("""COMPUTED_VALUE"""),"6x3201")</f>
        <v>6x3201</v>
      </c>
      <c r="F94" s="37" t="str">
        <f>IFERROR(__xludf.DUMMYFUNCTION("""COMPUTED_VALUE"""),"其他費用")</f>
        <v>其他費用</v>
      </c>
      <c r="G94" s="37" t="str">
        <f>IFERROR(__xludf.DUMMYFUNCTION("""COMPUTED_VALUE"""),"辦公軟體")</f>
        <v>辦公軟體</v>
      </c>
      <c r="H94" s="37" t="str">
        <f>IFERROR(__xludf.DUMMYFUNCTION("""COMPUTED_VALUE"""),"通用軟體 Slack")</f>
        <v>通用軟體 Slack</v>
      </c>
      <c r="I94" s="39">
        <f>IFERROR(__xludf.DUMMYFUNCTION("""COMPUTED_VALUE"""),203.0)</f>
        <v>203</v>
      </c>
      <c r="J94" s="39">
        <f>IFERROR(__xludf.DUMMYFUNCTION("""COMPUTED_VALUE"""),2436.0)</f>
        <v>2436</v>
      </c>
      <c r="K94" s="37" t="str">
        <f>IFERROR(__xludf.DUMMYFUNCTION("""COMPUTED_VALUE"""),"各專業中心")</f>
        <v>各專業中心</v>
      </c>
      <c r="L94" s="37" t="str">
        <f>IFERROR(__xludf.DUMMYFUNCTION("""COMPUTED_VALUE"""),"各專業中心")</f>
        <v>各專業中心</v>
      </c>
      <c r="M94" s="37" t="str">
        <f>IFERROR(__xludf.DUMMYFUNCTION("""COMPUTED_VALUE"""),"新項目, 通用軟體單獨計算")</f>
        <v>新項目, 通用軟體單獨計算</v>
      </c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</row>
    <row r="95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</row>
    <row r="96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</row>
    <row r="97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</row>
    <row r="98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</row>
    <row r="99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</row>
    <row r="100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</row>
    <row r="101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</row>
    <row r="102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</row>
    <row r="103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</row>
    <row r="104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</row>
    <row r="105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</row>
    <row r="106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</row>
    <row r="107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</row>
    <row r="108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</row>
    <row r="109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</row>
    <row r="110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</row>
    <row r="111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</row>
    <row r="112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</row>
    <row r="113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</row>
    <row r="114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</row>
    <row r="115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13"/>
  </cols>
  <sheetData>
    <row r="1">
      <c r="B1" s="37" t="str">
        <f>IFERROR(__xludf.DUMMYFUNCTION("IMPORTRANGE(""https://docs.google.com/spreadsheets/d/1gsXoI5zM-IbJ26IzdPrtU33yQaJeMN9ebORVtKwXYdI/edit?gid=613934984#gid=613934984"",""2026 各中心需求匯總!A1:z"")"),"子公司")</f>
        <v>子公司</v>
      </c>
      <c r="C1" s="37" t="str">
        <f>IFERROR(__xludf.DUMMYFUNCTION("""COMPUTED_VALUE"""),"事業單位")</f>
        <v>事業單位</v>
      </c>
      <c r="D1" s="37" t="str">
        <f>IFERROR(__xludf.DUMMYFUNCTION("""COMPUTED_VALUE"""),"Si 編號")</f>
        <v>Si 編號</v>
      </c>
      <c r="E1" s="37" t="str">
        <f>IFERROR(__xludf.DUMMYFUNCTION("""COMPUTED_VALUE"""),"TA 編號")</f>
        <v>TA 編號</v>
      </c>
      <c r="F1" s="37" t="str">
        <f>IFERROR(__xludf.DUMMYFUNCTION("""COMPUTED_VALUE"""),"費用單位")</f>
        <v>費用單位</v>
      </c>
      <c r="G1" s="37" t="str">
        <f>IFERROR(__xludf.DUMMYFUNCTION("""COMPUTED_VALUE"""),"費用項目")</f>
        <v>費用項目</v>
      </c>
      <c r="H1" s="41" t="str">
        <f>IFERROR(__xludf.DUMMYFUNCTION("""COMPUTED_VALUE"""),"單價")</f>
        <v>單價</v>
      </c>
      <c r="I1" s="37" t="str">
        <f>IFERROR(__xludf.DUMMYFUNCTION("""COMPUTED_VALUE"""),"現有帳號數量")</f>
        <v>現有帳號數量</v>
      </c>
      <c r="J1" s="37" t="str">
        <f>IFERROR(__xludf.DUMMYFUNCTION("""COMPUTED_VALUE"""),"現有每月費用")</f>
        <v>現有每月費用</v>
      </c>
      <c r="K1" s="37" t="str">
        <f>IFERROR(__xludf.DUMMYFUNCTION("""COMPUTED_VALUE"""),"預計新人帳號數量")</f>
        <v>預計新人帳號數量</v>
      </c>
      <c r="L1" s="37" t="str">
        <f>IFERROR(__xludf.DUMMYFUNCTION("""COMPUTED_VALUE"""),"預計新人費用")</f>
        <v>預計新人費用</v>
      </c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B2" s="37" t="str">
        <f>IFERROR(__xludf.DUMMYFUNCTION("""COMPUTED_VALUE"""),"歸屬子公司，例如:TW、QLR")</f>
        <v>歸屬子公司，例如:TW、QLR</v>
      </c>
      <c r="C2" s="37" t="str">
        <f>IFERROR(__xludf.DUMMYFUNCTION("""COMPUTED_VALUE"""),"不需填寫")</f>
        <v>不需填寫</v>
      </c>
      <c r="D2" s="37" t="str">
        <f>IFERROR(__xludf.DUMMYFUNCTION("""COMPUTED_VALUE"""),"不需填寫")</f>
        <v>不需填寫</v>
      </c>
      <c r="E2" s="37" t="str">
        <f>IFERROR(__xludf.DUMMYFUNCTION("""COMPUTED_VALUE"""),"不需填寫")</f>
        <v>不需填寫</v>
      </c>
      <c r="F2" s="37" t="str">
        <f>IFERROR(__xludf.DUMMYFUNCTION("""COMPUTED_VALUE"""),"需按中心/部門/團隊規格，例如：行銷營運中心:銷售營運部:導入教練團隊")</f>
        <v>需按中心/部門/團隊規格，例如：行銷營運中心:銷售營運部:導入教練團隊</v>
      </c>
      <c r="G2" s="37" t="str">
        <f>IFERROR(__xludf.DUMMYFUNCTION("""COMPUTED_VALUE"""),"請填寫工具名稱與品項，例如：Tableau Viewer 帳號")</f>
        <v>請填寫工具名稱與品項，例如：Tableau Viewer 帳號</v>
      </c>
      <c r="H2" s="41" t="str">
        <f>IFERROR(__xludf.DUMMYFUNCTION("""COMPUTED_VALUE"""),"填品項金額，例如 300")</f>
        <v>填品項金額，例如 300</v>
      </c>
      <c r="I2" s="37" t="str">
        <f>IFERROR(__xludf.DUMMYFUNCTION("""COMPUTED_VALUE"""),"填寫現有員工帳號數，例如：3")</f>
        <v>填寫現有員工帳號數，例如：3</v>
      </c>
      <c r="J2" s="37" t="str">
        <f>IFERROR(__xludf.DUMMYFUNCTION("""COMPUTED_VALUE"""),"公式：單價 x 現有帳號數量")</f>
        <v>公式：單價 x 現有帳號數量</v>
      </c>
      <c r="K2" s="37" t="str">
        <f>IFERROR(__xludf.DUMMYFUNCTION("""COMPUTED_VALUE"""),"填寫新員工帳號數，例如：3")</f>
        <v>填寫新員工帳號數，例如：3</v>
      </c>
      <c r="L2" s="37" t="str">
        <f>IFERROR(__xludf.DUMMYFUNCTION("""COMPUTED_VALUE"""),"公式：單價 x 預計新人帳號數量")</f>
        <v>公式：單價 x 預計新人帳號數量</v>
      </c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B3" s="37" t="str">
        <f>IFERROR(__xludf.DUMMYFUNCTION("""COMPUTED_VALUE"""),"TW")</f>
        <v>TW</v>
      </c>
      <c r="C3" s="37"/>
      <c r="D3" s="37"/>
      <c r="E3" s="37"/>
      <c r="F3" s="37" t="str">
        <f>IFERROR(__xludf.DUMMYFUNCTION("""COMPUTED_VALUE"""),"行銷營運中心")</f>
        <v>行銷營運中心</v>
      </c>
      <c r="G3" s="37" t="str">
        <f>IFERROR(__xludf.DUMMYFUNCTION("""COMPUTED_VALUE"""),"VPN (辦公室網路)")</f>
        <v>VPN (辦公室網路)</v>
      </c>
      <c r="H3" s="41">
        <f>IFERROR(__xludf.DUMMYFUNCTION("""COMPUTED_VALUE"""),100.0)</f>
        <v>100</v>
      </c>
      <c r="I3" s="37">
        <f>IFERROR(__xludf.DUMMYFUNCTION("""COMPUTED_VALUE"""),26.0)</f>
        <v>26</v>
      </c>
      <c r="J3" s="41">
        <f>IFERROR(__xludf.DUMMYFUNCTION("""COMPUTED_VALUE"""),2600.0)</f>
        <v>2600</v>
      </c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B4" s="37" t="str">
        <f>IFERROR(__xludf.DUMMYFUNCTION("""COMPUTED_VALUE"""),"TW")</f>
        <v>TW</v>
      </c>
      <c r="C4" s="37"/>
      <c r="D4" s="37"/>
      <c r="E4" s="37"/>
      <c r="F4" s="37" t="str">
        <f>IFERROR(__xludf.DUMMYFUNCTION("""COMPUTED_VALUE"""),"研發中心")</f>
        <v>研發中心</v>
      </c>
      <c r="G4" s="37" t="str">
        <f>IFERROR(__xludf.DUMMYFUNCTION("""COMPUTED_VALUE"""),"VPN (辦公室網路)")</f>
        <v>VPN (辦公室網路)</v>
      </c>
      <c r="H4" s="41">
        <f>IFERROR(__xludf.DUMMYFUNCTION("""COMPUTED_VALUE"""),100.0)</f>
        <v>100</v>
      </c>
      <c r="I4" s="37">
        <f>IFERROR(__xludf.DUMMYFUNCTION("""COMPUTED_VALUE"""),31.0)</f>
        <v>31</v>
      </c>
      <c r="J4" s="41">
        <f>IFERROR(__xludf.DUMMYFUNCTION("""COMPUTED_VALUE"""),3100.0)</f>
        <v>3100</v>
      </c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B5" s="37" t="str">
        <f>IFERROR(__xludf.DUMMYFUNCTION("""COMPUTED_VALUE"""),"TW")</f>
        <v>TW</v>
      </c>
      <c r="C5" s="37"/>
      <c r="D5" s="37"/>
      <c r="E5" s="37"/>
      <c r="F5" s="37" t="str">
        <f>IFERROR(__xludf.DUMMYFUNCTION("""COMPUTED_VALUE"""),"客戶價值中心")</f>
        <v>客戶價值中心</v>
      </c>
      <c r="G5" s="37" t="str">
        <f>IFERROR(__xludf.DUMMYFUNCTION("""COMPUTED_VALUE"""),"VPN (辦公室網路)")</f>
        <v>VPN (辦公室網路)</v>
      </c>
      <c r="H5" s="41">
        <f>IFERROR(__xludf.DUMMYFUNCTION("""COMPUTED_VALUE"""),100.0)</f>
        <v>100</v>
      </c>
      <c r="I5" s="37">
        <f>IFERROR(__xludf.DUMMYFUNCTION("""COMPUTED_VALUE"""),27.0)</f>
        <v>27</v>
      </c>
      <c r="J5" s="41">
        <f>IFERROR(__xludf.DUMMYFUNCTION("""COMPUTED_VALUE"""),2700.0)</f>
        <v>2700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B6" s="37" t="str">
        <f>IFERROR(__xludf.DUMMYFUNCTION("""COMPUTED_VALUE"""),"TW")</f>
        <v>TW</v>
      </c>
      <c r="C6" s="37"/>
      <c r="D6" s="37"/>
      <c r="E6" s="37"/>
      <c r="F6" s="37" t="str">
        <f>IFERROR(__xludf.DUMMYFUNCTION("""COMPUTED_VALUE"""),"管理中心")</f>
        <v>管理中心</v>
      </c>
      <c r="G6" s="37" t="str">
        <f>IFERROR(__xludf.DUMMYFUNCTION("""COMPUTED_VALUE"""),"VPN (辦公室網路)")</f>
        <v>VPN (辦公室網路)</v>
      </c>
      <c r="H6" s="41">
        <f>IFERROR(__xludf.DUMMYFUNCTION("""COMPUTED_VALUE"""),100.0)</f>
        <v>100</v>
      </c>
      <c r="I6" s="37">
        <f>IFERROR(__xludf.DUMMYFUNCTION("""COMPUTED_VALUE"""),0.0)</f>
        <v>0</v>
      </c>
      <c r="J6" s="41">
        <f>IFERROR(__xludf.DUMMYFUNCTION("""COMPUTED_VALUE"""),0.0)</f>
        <v>0</v>
      </c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B7" s="37" t="str">
        <f>IFERROR(__xludf.DUMMYFUNCTION("""COMPUTED_VALUE"""),"TW")</f>
        <v>TW</v>
      </c>
      <c r="C7" s="37"/>
      <c r="D7" s="37"/>
      <c r="E7" s="37"/>
      <c r="F7" s="37" t="str">
        <f>IFERROR(__xludf.DUMMYFUNCTION("""COMPUTED_VALUE"""),"執行長室")</f>
        <v>執行長室</v>
      </c>
      <c r="G7" s="37" t="str">
        <f>IFERROR(__xludf.DUMMYFUNCTION("""COMPUTED_VALUE"""),"VPN (辦公室網路)")</f>
        <v>VPN (辦公室網路)</v>
      </c>
      <c r="H7" s="41">
        <f>IFERROR(__xludf.DUMMYFUNCTION("""COMPUTED_VALUE"""),100.0)</f>
        <v>100</v>
      </c>
      <c r="I7" s="37">
        <f>IFERROR(__xludf.DUMMYFUNCTION("""COMPUTED_VALUE"""),0.0)</f>
        <v>0</v>
      </c>
      <c r="J7" s="41">
        <f>IFERROR(__xludf.DUMMYFUNCTION("""COMPUTED_VALUE"""),0.0)</f>
        <v>0</v>
      </c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B8" s="37" t="str">
        <f>IFERROR(__xludf.DUMMYFUNCTION("""COMPUTED_VALUE"""),"TW")</f>
        <v>TW</v>
      </c>
      <c r="C8" s="37"/>
      <c r="D8" s="37"/>
      <c r="E8" s="37"/>
      <c r="F8" s="37" t="str">
        <f>IFERROR(__xludf.DUMMYFUNCTION("""COMPUTED_VALUE"""),"財務中心")</f>
        <v>財務中心</v>
      </c>
      <c r="G8" s="37" t="str">
        <f>IFERROR(__xludf.DUMMYFUNCTION("""COMPUTED_VALUE"""),"VPN (辦公室網路)")</f>
        <v>VPN (辦公室網路)</v>
      </c>
      <c r="H8" s="41">
        <f>IFERROR(__xludf.DUMMYFUNCTION("""COMPUTED_VALUE"""),100.0)</f>
        <v>100</v>
      </c>
      <c r="I8" s="37">
        <f>IFERROR(__xludf.DUMMYFUNCTION("""COMPUTED_VALUE"""),0.0)</f>
        <v>0</v>
      </c>
      <c r="J8" s="41">
        <f>IFERROR(__xludf.DUMMYFUNCTION("""COMPUTED_VALUE"""),0.0)</f>
        <v>0</v>
      </c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B9" s="37" t="str">
        <f>IFERROR(__xludf.DUMMYFUNCTION("""COMPUTED_VALUE"""),"QLR")</f>
        <v>QLR</v>
      </c>
      <c r="C9" s="37"/>
      <c r="D9" s="37"/>
      <c r="E9" s="37"/>
      <c r="F9" s="37" t="str">
        <f>IFERROR(__xludf.DUMMYFUNCTION("""COMPUTED_VALUE"""),"Qlieer")</f>
        <v>Qlieer</v>
      </c>
      <c r="G9" s="37" t="str">
        <f>IFERROR(__xludf.DUMMYFUNCTION("""COMPUTED_VALUE"""),"VPN (辦公室網路)")</f>
        <v>VPN (辦公室網路)</v>
      </c>
      <c r="H9" s="41">
        <f>IFERROR(__xludf.DUMMYFUNCTION("""COMPUTED_VALUE"""),100.0)</f>
        <v>100</v>
      </c>
      <c r="I9" s="37">
        <f>IFERROR(__xludf.DUMMYFUNCTION("""COMPUTED_VALUE"""),0.0)</f>
        <v>0</v>
      </c>
      <c r="J9" s="41">
        <f>IFERROR(__xludf.DUMMYFUNCTION("""COMPUTED_VALUE"""),0.0)</f>
        <v>0</v>
      </c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B10" s="37" t="str">
        <f>IFERROR(__xludf.DUMMYFUNCTION("""COMPUTED_VALUE"""),"TW")</f>
        <v>TW</v>
      </c>
      <c r="C10" s="37"/>
      <c r="D10" s="37"/>
      <c r="E10" s="37"/>
      <c r="F10" s="37" t="str">
        <f>IFERROR(__xludf.DUMMYFUNCTION("""COMPUTED_VALUE"""),"策略資料中心")</f>
        <v>策略資料中心</v>
      </c>
      <c r="G10" s="37" t="str">
        <f>IFERROR(__xludf.DUMMYFUNCTION("""COMPUTED_VALUE"""),"VPN (辦公室網路)")</f>
        <v>VPN (辦公室網路)</v>
      </c>
      <c r="H10" s="41">
        <f>IFERROR(__xludf.DUMMYFUNCTION("""COMPUTED_VALUE"""),100.0)</f>
        <v>100</v>
      </c>
      <c r="I10" s="37">
        <f>IFERROR(__xludf.DUMMYFUNCTION("""COMPUTED_VALUE"""),0.0)</f>
        <v>0</v>
      </c>
      <c r="J10" s="41">
        <f>IFERROR(__xludf.DUMMYFUNCTION("""COMPUTED_VALUE"""),0.0)</f>
        <v>0</v>
      </c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B11" s="37" t="str">
        <f>IFERROR(__xludf.DUMMYFUNCTION("""COMPUTED_VALUE"""),"HK")</f>
        <v>HK</v>
      </c>
      <c r="C11" s="37"/>
      <c r="D11" s="37"/>
      <c r="E11" s="37"/>
      <c r="F11" s="37" t="str">
        <f>IFERROR(__xludf.DUMMYFUNCTION("""COMPUTED_VALUE"""),"海外執行長室")</f>
        <v>海外執行長室</v>
      </c>
      <c r="G11" s="37" t="str">
        <f>IFERROR(__xludf.DUMMYFUNCTION("""COMPUTED_VALUE"""),"VPN (辦公室網路)")</f>
        <v>VPN (辦公室網路)</v>
      </c>
      <c r="H11" s="41">
        <f>IFERROR(__xludf.DUMMYFUNCTION("""COMPUTED_VALUE"""),100.0)</f>
        <v>100</v>
      </c>
      <c r="I11" s="37">
        <f>IFERROR(__xludf.DUMMYFUNCTION("""COMPUTED_VALUE"""),0.0)</f>
        <v>0</v>
      </c>
      <c r="J11" s="41">
        <f>IFERROR(__xludf.DUMMYFUNCTION("""COMPUTED_VALUE"""),0.0)</f>
        <v>0</v>
      </c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B12" s="37" t="str">
        <f>IFERROR(__xludf.DUMMYFUNCTION("""COMPUTED_VALUE"""),"TW")</f>
        <v>TW</v>
      </c>
      <c r="C12" s="37"/>
      <c r="D12" s="37"/>
      <c r="E12" s="37"/>
      <c r="F12" s="37" t="str">
        <f>IFERROR(__xludf.DUMMYFUNCTION("""COMPUTED_VALUE"""),"行銷營運中心")</f>
        <v>行銷營運中心</v>
      </c>
      <c r="G12" s="37" t="str">
        <f>IFERROR(__xludf.DUMMYFUNCTION("""COMPUTED_VALUE"""),"Tableau (Creator)")</f>
        <v>Tableau (Creator)</v>
      </c>
      <c r="H12" s="40">
        <f>IFERROR(__xludf.DUMMYFUNCTION("""COMPUTED_VALUE"""),2354.0)</f>
        <v>2354</v>
      </c>
      <c r="I12" s="37">
        <f>IFERROR(__xludf.DUMMYFUNCTION("""COMPUTED_VALUE"""),3.0)</f>
        <v>3</v>
      </c>
      <c r="J12" s="40">
        <f>IFERROR(__xludf.DUMMYFUNCTION("""COMPUTED_VALUE"""),7062.0)</f>
        <v>7062</v>
      </c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B13" s="37" t="str">
        <f>IFERROR(__xludf.DUMMYFUNCTION("""COMPUTED_VALUE"""),"TW")</f>
        <v>TW</v>
      </c>
      <c r="C13" s="37"/>
      <c r="D13" s="37"/>
      <c r="E13" s="37"/>
      <c r="F13" s="37" t="str">
        <f>IFERROR(__xludf.DUMMYFUNCTION("""COMPUTED_VALUE"""),"研發中心")</f>
        <v>研發中心</v>
      </c>
      <c r="G13" s="37" t="str">
        <f>IFERROR(__xludf.DUMMYFUNCTION("""COMPUTED_VALUE"""),"Tableau (Creator)")</f>
        <v>Tableau (Creator)</v>
      </c>
      <c r="H13" s="40">
        <f>IFERROR(__xludf.DUMMYFUNCTION("""COMPUTED_VALUE"""),2354.0)</f>
        <v>2354</v>
      </c>
      <c r="I13" s="37">
        <f>IFERROR(__xludf.DUMMYFUNCTION("""COMPUTED_VALUE"""),6.0)</f>
        <v>6</v>
      </c>
      <c r="J13" s="40">
        <f>IFERROR(__xludf.DUMMYFUNCTION("""COMPUTED_VALUE"""),14124.0)</f>
        <v>14124</v>
      </c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B14" s="37" t="str">
        <f>IFERROR(__xludf.DUMMYFUNCTION("""COMPUTED_VALUE"""),"TW")</f>
        <v>TW</v>
      </c>
      <c r="C14" s="37"/>
      <c r="D14" s="37"/>
      <c r="E14" s="37"/>
      <c r="F14" s="37" t="str">
        <f>IFERROR(__xludf.DUMMYFUNCTION("""COMPUTED_VALUE"""),"客戶價值中心")</f>
        <v>客戶價值中心</v>
      </c>
      <c r="G14" s="37" t="str">
        <f>IFERROR(__xludf.DUMMYFUNCTION("""COMPUTED_VALUE"""),"Tableau (Creator)")</f>
        <v>Tableau (Creator)</v>
      </c>
      <c r="H14" s="40">
        <f>IFERROR(__xludf.DUMMYFUNCTION("""COMPUTED_VALUE"""),2354.0)</f>
        <v>2354</v>
      </c>
      <c r="I14" s="37">
        <f>IFERROR(__xludf.DUMMYFUNCTION("""COMPUTED_VALUE"""),1.0)</f>
        <v>1</v>
      </c>
      <c r="J14" s="40">
        <f>IFERROR(__xludf.DUMMYFUNCTION("""COMPUTED_VALUE"""),2354.0)</f>
        <v>2354</v>
      </c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B15" s="37" t="str">
        <f>IFERROR(__xludf.DUMMYFUNCTION("""COMPUTED_VALUE"""),"TW")</f>
        <v>TW</v>
      </c>
      <c r="C15" s="37"/>
      <c r="D15" s="37"/>
      <c r="E15" s="37"/>
      <c r="F15" s="37" t="str">
        <f>IFERROR(__xludf.DUMMYFUNCTION("""COMPUTED_VALUE"""),"管理中心")</f>
        <v>管理中心</v>
      </c>
      <c r="G15" s="37" t="str">
        <f>IFERROR(__xludf.DUMMYFUNCTION("""COMPUTED_VALUE"""),"Tableau (Creator)")</f>
        <v>Tableau (Creator)</v>
      </c>
      <c r="H15" s="40">
        <f>IFERROR(__xludf.DUMMYFUNCTION("""COMPUTED_VALUE"""),2354.0)</f>
        <v>2354</v>
      </c>
      <c r="I15" s="37">
        <f>IFERROR(__xludf.DUMMYFUNCTION("""COMPUTED_VALUE"""),0.0)</f>
        <v>0</v>
      </c>
      <c r="J15" s="40">
        <f>IFERROR(__xludf.DUMMYFUNCTION("""COMPUTED_VALUE"""),0.0)</f>
        <v>0</v>
      </c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B16" s="37" t="str">
        <f>IFERROR(__xludf.DUMMYFUNCTION("""COMPUTED_VALUE"""),"TW")</f>
        <v>TW</v>
      </c>
      <c r="C16" s="37"/>
      <c r="D16" s="37"/>
      <c r="E16" s="37"/>
      <c r="F16" s="37" t="str">
        <f>IFERROR(__xludf.DUMMYFUNCTION("""COMPUTED_VALUE"""),"執行長室")</f>
        <v>執行長室</v>
      </c>
      <c r="G16" s="37" t="str">
        <f>IFERROR(__xludf.DUMMYFUNCTION("""COMPUTED_VALUE"""),"Tableau (Creator)")</f>
        <v>Tableau (Creator)</v>
      </c>
      <c r="H16" s="40">
        <f>IFERROR(__xludf.DUMMYFUNCTION("""COMPUTED_VALUE"""),2354.0)</f>
        <v>2354</v>
      </c>
      <c r="I16" s="37">
        <f>IFERROR(__xludf.DUMMYFUNCTION("""COMPUTED_VALUE"""),0.0)</f>
        <v>0</v>
      </c>
      <c r="J16" s="40">
        <f>IFERROR(__xludf.DUMMYFUNCTION("""COMPUTED_VALUE"""),0.0)</f>
        <v>0</v>
      </c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B17" s="37" t="str">
        <f>IFERROR(__xludf.DUMMYFUNCTION("""COMPUTED_VALUE"""),"TW")</f>
        <v>TW</v>
      </c>
      <c r="C17" s="37"/>
      <c r="D17" s="37"/>
      <c r="E17" s="37"/>
      <c r="F17" s="37" t="str">
        <f>IFERROR(__xludf.DUMMYFUNCTION("""COMPUTED_VALUE"""),"財務中心")</f>
        <v>財務中心</v>
      </c>
      <c r="G17" s="37" t="str">
        <f>IFERROR(__xludf.DUMMYFUNCTION("""COMPUTED_VALUE"""),"Tableau (Creator)")</f>
        <v>Tableau (Creator)</v>
      </c>
      <c r="H17" s="40">
        <f>IFERROR(__xludf.DUMMYFUNCTION("""COMPUTED_VALUE"""),2354.0)</f>
        <v>2354</v>
      </c>
      <c r="I17" s="37">
        <f>IFERROR(__xludf.DUMMYFUNCTION("""COMPUTED_VALUE"""),0.0)</f>
        <v>0</v>
      </c>
      <c r="J17" s="40">
        <f>IFERROR(__xludf.DUMMYFUNCTION("""COMPUTED_VALUE"""),0.0)</f>
        <v>0</v>
      </c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B18" s="37" t="str">
        <f>IFERROR(__xludf.DUMMYFUNCTION("""COMPUTED_VALUE"""),"QLR")</f>
        <v>QLR</v>
      </c>
      <c r="C18" s="37"/>
      <c r="D18" s="37"/>
      <c r="E18" s="37"/>
      <c r="F18" s="37" t="str">
        <f>IFERROR(__xludf.DUMMYFUNCTION("""COMPUTED_VALUE"""),"Qlieer")</f>
        <v>Qlieer</v>
      </c>
      <c r="G18" s="37" t="str">
        <f>IFERROR(__xludf.DUMMYFUNCTION("""COMPUTED_VALUE"""),"Tableau (Creator)")</f>
        <v>Tableau (Creator)</v>
      </c>
      <c r="H18" s="40">
        <f>IFERROR(__xludf.DUMMYFUNCTION("""COMPUTED_VALUE"""),2354.0)</f>
        <v>2354</v>
      </c>
      <c r="I18" s="37">
        <f>IFERROR(__xludf.DUMMYFUNCTION("""COMPUTED_VALUE"""),0.0)</f>
        <v>0</v>
      </c>
      <c r="J18" s="40">
        <f>IFERROR(__xludf.DUMMYFUNCTION("""COMPUTED_VALUE"""),0.0)</f>
        <v>0</v>
      </c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B19" s="37" t="str">
        <f>IFERROR(__xludf.DUMMYFUNCTION("""COMPUTED_VALUE"""),"TW")</f>
        <v>TW</v>
      </c>
      <c r="C19" s="37"/>
      <c r="D19" s="37"/>
      <c r="E19" s="37"/>
      <c r="F19" s="37" t="str">
        <f>IFERROR(__xludf.DUMMYFUNCTION("""COMPUTED_VALUE"""),"策略資料中心")</f>
        <v>策略資料中心</v>
      </c>
      <c r="G19" s="37" t="str">
        <f>IFERROR(__xludf.DUMMYFUNCTION("""COMPUTED_VALUE"""),"Tableau (Creator)")</f>
        <v>Tableau (Creator)</v>
      </c>
      <c r="H19" s="40">
        <f>IFERROR(__xludf.DUMMYFUNCTION("""COMPUTED_VALUE"""),2354.0)</f>
        <v>2354</v>
      </c>
      <c r="I19" s="37">
        <f>IFERROR(__xludf.DUMMYFUNCTION("""COMPUTED_VALUE"""),4.0)</f>
        <v>4</v>
      </c>
      <c r="J19" s="40">
        <f>IFERROR(__xludf.DUMMYFUNCTION("""COMPUTED_VALUE"""),9416.0)</f>
        <v>9416</v>
      </c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B20" s="37" t="str">
        <f>IFERROR(__xludf.DUMMYFUNCTION("""COMPUTED_VALUE"""),"HK")</f>
        <v>HK</v>
      </c>
      <c r="C20" s="37"/>
      <c r="D20" s="37"/>
      <c r="E20" s="37"/>
      <c r="F20" s="37" t="str">
        <f>IFERROR(__xludf.DUMMYFUNCTION("""COMPUTED_VALUE"""),"海外執行長室")</f>
        <v>海外執行長室</v>
      </c>
      <c r="G20" s="37" t="str">
        <f>IFERROR(__xludf.DUMMYFUNCTION("""COMPUTED_VALUE"""),"Tableau (Creator)")</f>
        <v>Tableau (Creator)</v>
      </c>
      <c r="H20" s="40">
        <f>IFERROR(__xludf.DUMMYFUNCTION("""COMPUTED_VALUE"""),2354.0)</f>
        <v>2354</v>
      </c>
      <c r="I20" s="37">
        <f>IFERROR(__xludf.DUMMYFUNCTION("""COMPUTED_VALUE"""),0.0)</f>
        <v>0</v>
      </c>
      <c r="J20" s="40">
        <f>IFERROR(__xludf.DUMMYFUNCTION("""COMPUTED_VALUE"""),0.0)</f>
        <v>0</v>
      </c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B21" s="37" t="str">
        <f>IFERROR(__xludf.DUMMYFUNCTION("""COMPUTED_VALUE"""),"TW")</f>
        <v>TW</v>
      </c>
      <c r="C21" s="37"/>
      <c r="D21" s="37"/>
      <c r="E21" s="37"/>
      <c r="F21" s="37" t="str">
        <f>IFERROR(__xludf.DUMMYFUNCTION("""COMPUTED_VALUE"""),"行銷營運中心")</f>
        <v>行銷營運中心</v>
      </c>
      <c r="G21" s="37" t="str">
        <f>IFERROR(__xludf.DUMMYFUNCTION("""COMPUTED_VALUE"""),"Tableau (Viewer)")</f>
        <v>Tableau (Viewer)</v>
      </c>
      <c r="H21" s="40">
        <f>IFERROR(__xludf.DUMMYFUNCTION("""COMPUTED_VALUE"""),352.0)</f>
        <v>352</v>
      </c>
      <c r="I21" s="37">
        <f>IFERROR(__xludf.DUMMYFUNCTION("""COMPUTED_VALUE"""),13.0)</f>
        <v>13</v>
      </c>
      <c r="J21" s="40">
        <f>IFERROR(__xludf.DUMMYFUNCTION("""COMPUTED_VALUE"""),4576.0)</f>
        <v>4576</v>
      </c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B22" s="37" t="str">
        <f>IFERROR(__xludf.DUMMYFUNCTION("""COMPUTED_VALUE"""),"TW")</f>
        <v>TW</v>
      </c>
      <c r="C22" s="37"/>
      <c r="D22" s="37"/>
      <c r="E22" s="37"/>
      <c r="F22" s="37" t="str">
        <f>IFERROR(__xludf.DUMMYFUNCTION("""COMPUTED_VALUE"""),"研發中心")</f>
        <v>研發中心</v>
      </c>
      <c r="G22" s="37" t="str">
        <f>IFERROR(__xludf.DUMMYFUNCTION("""COMPUTED_VALUE"""),"Tableau (Viewer)")</f>
        <v>Tableau (Viewer)</v>
      </c>
      <c r="H22" s="40">
        <f>IFERROR(__xludf.DUMMYFUNCTION("""COMPUTED_VALUE"""),352.0)</f>
        <v>352</v>
      </c>
      <c r="I22" s="37">
        <f>IFERROR(__xludf.DUMMYFUNCTION("""COMPUTED_VALUE"""),2.0)</f>
        <v>2</v>
      </c>
      <c r="J22" s="40">
        <f>IFERROR(__xludf.DUMMYFUNCTION("""COMPUTED_VALUE"""),704.0)</f>
        <v>704</v>
      </c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B23" s="37" t="str">
        <f>IFERROR(__xludf.DUMMYFUNCTION("""COMPUTED_VALUE"""),"TW")</f>
        <v>TW</v>
      </c>
      <c r="C23" s="37"/>
      <c r="D23" s="37"/>
      <c r="E23" s="37"/>
      <c r="F23" s="37" t="str">
        <f>IFERROR(__xludf.DUMMYFUNCTION("""COMPUTED_VALUE"""),"客戶價值中心")</f>
        <v>客戶價值中心</v>
      </c>
      <c r="G23" s="37" t="str">
        <f>IFERROR(__xludf.DUMMYFUNCTION("""COMPUTED_VALUE"""),"Tableau (Viewer)")</f>
        <v>Tableau (Viewer)</v>
      </c>
      <c r="H23" s="40">
        <f>IFERROR(__xludf.DUMMYFUNCTION("""COMPUTED_VALUE"""),352.0)</f>
        <v>352</v>
      </c>
      <c r="I23" s="37">
        <f>IFERROR(__xludf.DUMMYFUNCTION("""COMPUTED_VALUE"""),2.0)</f>
        <v>2</v>
      </c>
      <c r="J23" s="40">
        <f>IFERROR(__xludf.DUMMYFUNCTION("""COMPUTED_VALUE"""),704.0)</f>
        <v>704</v>
      </c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B24" s="37" t="str">
        <f>IFERROR(__xludf.DUMMYFUNCTION("""COMPUTED_VALUE"""),"TW")</f>
        <v>TW</v>
      </c>
      <c r="C24" s="37"/>
      <c r="D24" s="37"/>
      <c r="E24" s="37"/>
      <c r="F24" s="37" t="str">
        <f>IFERROR(__xludf.DUMMYFUNCTION("""COMPUTED_VALUE"""),"管理中心")</f>
        <v>管理中心</v>
      </c>
      <c r="G24" s="37" t="str">
        <f>IFERROR(__xludf.DUMMYFUNCTION("""COMPUTED_VALUE"""),"Tableau (Viewer)")</f>
        <v>Tableau (Viewer)</v>
      </c>
      <c r="H24" s="40">
        <f>IFERROR(__xludf.DUMMYFUNCTION("""COMPUTED_VALUE"""),352.0)</f>
        <v>352</v>
      </c>
      <c r="I24" s="37">
        <f>IFERROR(__xludf.DUMMYFUNCTION("""COMPUTED_VALUE"""),0.0)</f>
        <v>0</v>
      </c>
      <c r="J24" s="40">
        <f>IFERROR(__xludf.DUMMYFUNCTION("""COMPUTED_VALUE"""),0.0)</f>
        <v>0</v>
      </c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B25" s="37" t="str">
        <f>IFERROR(__xludf.DUMMYFUNCTION("""COMPUTED_VALUE"""),"TW")</f>
        <v>TW</v>
      </c>
      <c r="C25" s="37"/>
      <c r="D25" s="37"/>
      <c r="E25" s="37"/>
      <c r="F25" s="37" t="str">
        <f>IFERROR(__xludf.DUMMYFUNCTION("""COMPUTED_VALUE"""),"執行長室")</f>
        <v>執行長室</v>
      </c>
      <c r="G25" s="37" t="str">
        <f>IFERROR(__xludf.DUMMYFUNCTION("""COMPUTED_VALUE"""),"Tableau (Viewer)")</f>
        <v>Tableau (Viewer)</v>
      </c>
      <c r="H25" s="40">
        <f>IFERROR(__xludf.DUMMYFUNCTION("""COMPUTED_VALUE"""),352.0)</f>
        <v>352</v>
      </c>
      <c r="I25" s="37">
        <f>IFERROR(__xludf.DUMMYFUNCTION("""COMPUTED_VALUE"""),2.0)</f>
        <v>2</v>
      </c>
      <c r="J25" s="40">
        <f>IFERROR(__xludf.DUMMYFUNCTION("""COMPUTED_VALUE"""),704.0)</f>
        <v>704</v>
      </c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B26" s="37" t="str">
        <f>IFERROR(__xludf.DUMMYFUNCTION("""COMPUTED_VALUE"""),"TW")</f>
        <v>TW</v>
      </c>
      <c r="C26" s="37"/>
      <c r="D26" s="37"/>
      <c r="E26" s="37"/>
      <c r="F26" s="37" t="str">
        <f>IFERROR(__xludf.DUMMYFUNCTION("""COMPUTED_VALUE"""),"財務中心")</f>
        <v>財務中心</v>
      </c>
      <c r="G26" s="37" t="str">
        <f>IFERROR(__xludf.DUMMYFUNCTION("""COMPUTED_VALUE"""),"Tableau (Viewer)")</f>
        <v>Tableau (Viewer)</v>
      </c>
      <c r="H26" s="40">
        <f>IFERROR(__xludf.DUMMYFUNCTION("""COMPUTED_VALUE"""),352.0)</f>
        <v>352</v>
      </c>
      <c r="I26" s="37">
        <f>IFERROR(__xludf.DUMMYFUNCTION("""COMPUTED_VALUE"""),5.0)</f>
        <v>5</v>
      </c>
      <c r="J26" s="40">
        <f>IFERROR(__xludf.DUMMYFUNCTION("""COMPUTED_VALUE"""),1760.0)</f>
        <v>1760</v>
      </c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B27" s="37" t="str">
        <f>IFERROR(__xludf.DUMMYFUNCTION("""COMPUTED_VALUE"""),"QLR")</f>
        <v>QLR</v>
      </c>
      <c r="C27" s="37"/>
      <c r="D27" s="37"/>
      <c r="E27" s="37"/>
      <c r="F27" s="37" t="str">
        <f>IFERROR(__xludf.DUMMYFUNCTION("""COMPUTED_VALUE"""),"Qlieer")</f>
        <v>Qlieer</v>
      </c>
      <c r="G27" s="37" t="str">
        <f>IFERROR(__xludf.DUMMYFUNCTION("""COMPUTED_VALUE"""),"Tableau (Viewer)")</f>
        <v>Tableau (Viewer)</v>
      </c>
      <c r="H27" s="40">
        <f>IFERROR(__xludf.DUMMYFUNCTION("""COMPUTED_VALUE"""),352.0)</f>
        <v>352</v>
      </c>
      <c r="I27" s="37">
        <f>IFERROR(__xludf.DUMMYFUNCTION("""COMPUTED_VALUE"""),1.0)</f>
        <v>1</v>
      </c>
      <c r="J27" s="40">
        <f>IFERROR(__xludf.DUMMYFUNCTION("""COMPUTED_VALUE"""),352.0)</f>
        <v>352</v>
      </c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B28" s="37" t="str">
        <f>IFERROR(__xludf.DUMMYFUNCTION("""COMPUTED_VALUE"""),"TW")</f>
        <v>TW</v>
      </c>
      <c r="C28" s="37"/>
      <c r="D28" s="37"/>
      <c r="E28" s="37"/>
      <c r="F28" s="37" t="str">
        <f>IFERROR(__xludf.DUMMYFUNCTION("""COMPUTED_VALUE"""),"策略資料中心")</f>
        <v>策略資料中心</v>
      </c>
      <c r="G28" s="37" t="str">
        <f>IFERROR(__xludf.DUMMYFUNCTION("""COMPUTED_VALUE"""),"Tableau (Viewer)")</f>
        <v>Tableau (Viewer)</v>
      </c>
      <c r="H28" s="40">
        <f>IFERROR(__xludf.DUMMYFUNCTION("""COMPUTED_VALUE"""),352.0)</f>
        <v>352</v>
      </c>
      <c r="I28" s="37">
        <f>IFERROR(__xludf.DUMMYFUNCTION("""COMPUTED_VALUE"""),0.0)</f>
        <v>0</v>
      </c>
      <c r="J28" s="40">
        <f>IFERROR(__xludf.DUMMYFUNCTION("""COMPUTED_VALUE"""),0.0)</f>
        <v>0</v>
      </c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B29" s="37" t="str">
        <f>IFERROR(__xludf.DUMMYFUNCTION("""COMPUTED_VALUE"""),"HK")</f>
        <v>HK</v>
      </c>
      <c r="C29" s="37"/>
      <c r="D29" s="37"/>
      <c r="E29" s="37"/>
      <c r="F29" s="37" t="str">
        <f>IFERROR(__xludf.DUMMYFUNCTION("""COMPUTED_VALUE"""),"海外執行長室")</f>
        <v>海外執行長室</v>
      </c>
      <c r="G29" s="37" t="str">
        <f>IFERROR(__xludf.DUMMYFUNCTION("""COMPUTED_VALUE"""),"Tableau (Viewer)")</f>
        <v>Tableau (Viewer)</v>
      </c>
      <c r="H29" s="40">
        <f>IFERROR(__xludf.DUMMYFUNCTION("""COMPUTED_VALUE"""),352.0)</f>
        <v>352</v>
      </c>
      <c r="I29" s="37">
        <f>IFERROR(__xludf.DUMMYFUNCTION("""COMPUTED_VALUE"""),0.0)</f>
        <v>0</v>
      </c>
      <c r="J29" s="40">
        <f>IFERROR(__xludf.DUMMYFUNCTION("""COMPUTED_VALUE"""),0.0)</f>
        <v>0</v>
      </c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B30" s="37" t="str">
        <f>IFERROR(__xludf.DUMMYFUNCTION("""COMPUTED_VALUE"""),"TW")</f>
        <v>TW</v>
      </c>
      <c r="C30" s="37"/>
      <c r="D30" s="37"/>
      <c r="E30" s="37"/>
      <c r="F30" s="37" t="str">
        <f>IFERROR(__xludf.DUMMYFUNCTION("""COMPUTED_VALUE"""),"行銷營運中心")</f>
        <v>行銷營運中心</v>
      </c>
      <c r="G30" s="37" t="str">
        <f>IFERROR(__xludf.DUMMYFUNCTION("""COMPUTED_VALUE"""),"Office")</f>
        <v>Office</v>
      </c>
      <c r="H30" s="39">
        <f>IFERROR(__xludf.DUMMYFUNCTION("""COMPUTED_VALUE"""),254.0)</f>
        <v>254</v>
      </c>
      <c r="I30" s="37">
        <f>IFERROR(__xludf.DUMMYFUNCTION("""COMPUTED_VALUE"""),18.0)</f>
        <v>18</v>
      </c>
      <c r="J30" s="37">
        <f>IFERROR(__xludf.DUMMYFUNCTION("""COMPUTED_VALUE"""),4572.0)</f>
        <v>4572</v>
      </c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B31" s="37" t="str">
        <f>IFERROR(__xludf.DUMMYFUNCTION("""COMPUTED_VALUE"""),"TW")</f>
        <v>TW</v>
      </c>
      <c r="C31" s="37"/>
      <c r="D31" s="37"/>
      <c r="E31" s="37"/>
      <c r="F31" s="37" t="str">
        <f>IFERROR(__xludf.DUMMYFUNCTION("""COMPUTED_VALUE"""),"研發中心")</f>
        <v>研發中心</v>
      </c>
      <c r="G31" s="37" t="str">
        <f>IFERROR(__xludf.DUMMYFUNCTION("""COMPUTED_VALUE"""),"Office")</f>
        <v>Office</v>
      </c>
      <c r="H31" s="39">
        <f>IFERROR(__xludf.DUMMYFUNCTION("""COMPUTED_VALUE"""),254.0)</f>
        <v>254</v>
      </c>
      <c r="I31" s="37">
        <f>IFERROR(__xludf.DUMMYFUNCTION("""COMPUTED_VALUE"""),0.0)</f>
        <v>0</v>
      </c>
      <c r="J31" s="37">
        <f>IFERROR(__xludf.DUMMYFUNCTION("""COMPUTED_VALUE"""),0.0)</f>
        <v>0</v>
      </c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B32" s="37" t="str">
        <f>IFERROR(__xludf.DUMMYFUNCTION("""COMPUTED_VALUE"""),"TW")</f>
        <v>TW</v>
      </c>
      <c r="C32" s="37"/>
      <c r="D32" s="37"/>
      <c r="E32" s="37"/>
      <c r="F32" s="37" t="str">
        <f>IFERROR(__xludf.DUMMYFUNCTION("""COMPUTED_VALUE"""),"客戶價值中心")</f>
        <v>客戶價值中心</v>
      </c>
      <c r="G32" s="37" t="str">
        <f>IFERROR(__xludf.DUMMYFUNCTION("""COMPUTED_VALUE"""),"Office")</f>
        <v>Office</v>
      </c>
      <c r="H32" s="39">
        <f>IFERROR(__xludf.DUMMYFUNCTION("""COMPUTED_VALUE"""),254.0)</f>
        <v>254</v>
      </c>
      <c r="I32" s="37">
        <f>IFERROR(__xludf.DUMMYFUNCTION("""COMPUTED_VALUE"""),9.0)</f>
        <v>9</v>
      </c>
      <c r="J32" s="37">
        <f>IFERROR(__xludf.DUMMYFUNCTION("""COMPUTED_VALUE"""),2286.0)</f>
        <v>2286</v>
      </c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B33" s="37" t="str">
        <f>IFERROR(__xludf.DUMMYFUNCTION("""COMPUTED_VALUE"""),"TW")</f>
        <v>TW</v>
      </c>
      <c r="C33" s="37"/>
      <c r="D33" s="37"/>
      <c r="E33" s="37"/>
      <c r="F33" s="37" t="str">
        <f>IFERROR(__xludf.DUMMYFUNCTION("""COMPUTED_VALUE"""),"管理中心")</f>
        <v>管理中心</v>
      </c>
      <c r="G33" s="37" t="str">
        <f>IFERROR(__xludf.DUMMYFUNCTION("""COMPUTED_VALUE"""),"Office")</f>
        <v>Office</v>
      </c>
      <c r="H33" s="39">
        <f>IFERROR(__xludf.DUMMYFUNCTION("""COMPUTED_VALUE"""),254.0)</f>
        <v>254</v>
      </c>
      <c r="I33" s="37">
        <f>IFERROR(__xludf.DUMMYFUNCTION("""COMPUTED_VALUE"""),6.0)</f>
        <v>6</v>
      </c>
      <c r="J33" s="37">
        <f>IFERROR(__xludf.DUMMYFUNCTION("""COMPUTED_VALUE"""),1524.0)</f>
        <v>1524</v>
      </c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B34" s="37" t="str">
        <f>IFERROR(__xludf.DUMMYFUNCTION("""COMPUTED_VALUE"""),"TW")</f>
        <v>TW</v>
      </c>
      <c r="C34" s="37"/>
      <c r="D34" s="37"/>
      <c r="E34" s="37"/>
      <c r="F34" s="37" t="str">
        <f>IFERROR(__xludf.DUMMYFUNCTION("""COMPUTED_VALUE"""),"執行長室")</f>
        <v>執行長室</v>
      </c>
      <c r="G34" s="37" t="str">
        <f>IFERROR(__xludf.DUMMYFUNCTION("""COMPUTED_VALUE"""),"Office")</f>
        <v>Office</v>
      </c>
      <c r="H34" s="39">
        <f>IFERROR(__xludf.DUMMYFUNCTION("""COMPUTED_VALUE"""),254.0)</f>
        <v>254</v>
      </c>
      <c r="I34" s="37">
        <f>IFERROR(__xludf.DUMMYFUNCTION("""COMPUTED_VALUE"""),1.0)</f>
        <v>1</v>
      </c>
      <c r="J34" s="37">
        <f>IFERROR(__xludf.DUMMYFUNCTION("""COMPUTED_VALUE"""),254.0)</f>
        <v>254</v>
      </c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B35" s="37" t="str">
        <f>IFERROR(__xludf.DUMMYFUNCTION("""COMPUTED_VALUE"""),"TW")</f>
        <v>TW</v>
      </c>
      <c r="C35" s="37"/>
      <c r="D35" s="37"/>
      <c r="E35" s="37"/>
      <c r="F35" s="37" t="str">
        <f>IFERROR(__xludf.DUMMYFUNCTION("""COMPUTED_VALUE"""),"財務中心")</f>
        <v>財務中心</v>
      </c>
      <c r="G35" s="37" t="str">
        <f>IFERROR(__xludf.DUMMYFUNCTION("""COMPUTED_VALUE"""),"Office")</f>
        <v>Office</v>
      </c>
      <c r="H35" s="39">
        <f>IFERROR(__xludf.DUMMYFUNCTION("""COMPUTED_VALUE"""),254.0)</f>
        <v>254</v>
      </c>
      <c r="I35" s="37">
        <f>IFERROR(__xludf.DUMMYFUNCTION("""COMPUTED_VALUE"""),3.0)</f>
        <v>3</v>
      </c>
      <c r="J35" s="37">
        <f>IFERROR(__xludf.DUMMYFUNCTION("""COMPUTED_VALUE"""),762.0)</f>
        <v>762</v>
      </c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B36" s="37" t="str">
        <f>IFERROR(__xludf.DUMMYFUNCTION("""COMPUTED_VALUE"""),"QLR")</f>
        <v>QLR</v>
      </c>
      <c r="C36" s="37"/>
      <c r="D36" s="37"/>
      <c r="E36" s="37"/>
      <c r="F36" s="37" t="str">
        <f>IFERROR(__xludf.DUMMYFUNCTION("""COMPUTED_VALUE"""),"Qlieer")</f>
        <v>Qlieer</v>
      </c>
      <c r="G36" s="37" t="str">
        <f>IFERROR(__xludf.DUMMYFUNCTION("""COMPUTED_VALUE"""),"Office")</f>
        <v>Office</v>
      </c>
      <c r="H36" s="39">
        <f>IFERROR(__xludf.DUMMYFUNCTION("""COMPUTED_VALUE"""),254.0)</f>
        <v>254</v>
      </c>
      <c r="I36" s="37">
        <f>IFERROR(__xludf.DUMMYFUNCTION("""COMPUTED_VALUE"""),0.0)</f>
        <v>0</v>
      </c>
      <c r="J36" s="37">
        <f>IFERROR(__xludf.DUMMYFUNCTION("""COMPUTED_VALUE"""),0.0)</f>
        <v>0</v>
      </c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B37" s="37" t="str">
        <f>IFERROR(__xludf.DUMMYFUNCTION("""COMPUTED_VALUE"""),"TW")</f>
        <v>TW</v>
      </c>
      <c r="C37" s="37"/>
      <c r="D37" s="37"/>
      <c r="E37" s="37"/>
      <c r="F37" s="37" t="str">
        <f>IFERROR(__xludf.DUMMYFUNCTION("""COMPUTED_VALUE"""),"策略資料中心")</f>
        <v>策略資料中心</v>
      </c>
      <c r="G37" s="37" t="str">
        <f>IFERROR(__xludf.DUMMYFUNCTION("""COMPUTED_VALUE"""),"Office")</f>
        <v>Office</v>
      </c>
      <c r="H37" s="39">
        <f>IFERROR(__xludf.DUMMYFUNCTION("""COMPUTED_VALUE"""),254.0)</f>
        <v>254</v>
      </c>
      <c r="I37" s="37">
        <f>IFERROR(__xludf.DUMMYFUNCTION("""COMPUTED_VALUE"""),1.0)</f>
        <v>1</v>
      </c>
      <c r="J37" s="37">
        <f>IFERROR(__xludf.DUMMYFUNCTION("""COMPUTED_VALUE"""),254.0)</f>
        <v>254</v>
      </c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B38" s="37" t="str">
        <f>IFERROR(__xludf.DUMMYFUNCTION("""COMPUTED_VALUE"""),"HK")</f>
        <v>HK</v>
      </c>
      <c r="C38" s="37"/>
      <c r="D38" s="37"/>
      <c r="E38" s="37"/>
      <c r="F38" s="37" t="str">
        <f>IFERROR(__xludf.DUMMYFUNCTION("""COMPUTED_VALUE"""),"海外執行長室")</f>
        <v>海外執行長室</v>
      </c>
      <c r="G38" s="37" t="str">
        <f>IFERROR(__xludf.DUMMYFUNCTION("""COMPUTED_VALUE"""),"Office")</f>
        <v>Office</v>
      </c>
      <c r="H38" s="39">
        <f>IFERROR(__xludf.DUMMYFUNCTION("""COMPUTED_VALUE"""),254.0)</f>
        <v>254</v>
      </c>
      <c r="I38" s="37">
        <f>IFERROR(__xludf.DUMMYFUNCTION("""COMPUTED_VALUE"""),0.0)</f>
        <v>0</v>
      </c>
      <c r="J38" s="37">
        <f>IFERROR(__xludf.DUMMYFUNCTION("""COMPUTED_VALUE"""),0.0)</f>
        <v>0</v>
      </c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B39" s="37" t="str">
        <f>IFERROR(__xludf.DUMMYFUNCTION("""COMPUTED_VALUE"""),"TW")</f>
        <v>TW</v>
      </c>
      <c r="C39" s="37"/>
      <c r="D39" s="37"/>
      <c r="E39" s="37"/>
      <c r="F39" s="37" t="str">
        <f>IFERROR(__xludf.DUMMYFUNCTION("""COMPUTED_VALUE"""),"行銷營運中心")</f>
        <v>行銷營運中心</v>
      </c>
      <c r="G39" s="37" t="str">
        <f>IFERROR(__xludf.DUMMYFUNCTION("""COMPUTED_VALUE"""),"Adobe Creative Cloud")</f>
        <v>Adobe Creative Cloud</v>
      </c>
      <c r="H39" s="41">
        <f>IFERROR(__xludf.DUMMYFUNCTION("""COMPUTED_VALUE"""),3000.0)</f>
        <v>3000</v>
      </c>
      <c r="I39" s="37">
        <f>IFERROR(__xludf.DUMMYFUNCTION("""COMPUTED_VALUE"""),4.0)</f>
        <v>4</v>
      </c>
      <c r="J39" s="41">
        <f>IFERROR(__xludf.DUMMYFUNCTION("""COMPUTED_VALUE"""),12000.0)</f>
        <v>12000</v>
      </c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B40" s="37" t="str">
        <f>IFERROR(__xludf.DUMMYFUNCTION("""COMPUTED_VALUE"""),"TW")</f>
        <v>TW</v>
      </c>
      <c r="C40" s="37"/>
      <c r="D40" s="37"/>
      <c r="E40" s="37"/>
      <c r="F40" s="37" t="str">
        <f>IFERROR(__xludf.DUMMYFUNCTION("""COMPUTED_VALUE"""),"研發中心")</f>
        <v>研發中心</v>
      </c>
      <c r="G40" s="37" t="str">
        <f>IFERROR(__xludf.DUMMYFUNCTION("""COMPUTED_VALUE"""),"Adobe Creative Cloud")</f>
        <v>Adobe Creative Cloud</v>
      </c>
      <c r="H40" s="41">
        <f>IFERROR(__xludf.DUMMYFUNCTION("""COMPUTED_VALUE"""),3000.0)</f>
        <v>3000</v>
      </c>
      <c r="I40" s="37">
        <f>IFERROR(__xludf.DUMMYFUNCTION("""COMPUTED_VALUE"""),0.0)</f>
        <v>0</v>
      </c>
      <c r="J40" s="41">
        <f>IFERROR(__xludf.DUMMYFUNCTION("""COMPUTED_VALUE"""),0.0)</f>
        <v>0</v>
      </c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B41" s="37" t="str">
        <f>IFERROR(__xludf.DUMMYFUNCTION("""COMPUTED_VALUE"""),"TW")</f>
        <v>TW</v>
      </c>
      <c r="C41" s="37"/>
      <c r="D41" s="37"/>
      <c r="E41" s="37"/>
      <c r="F41" s="37" t="str">
        <f>IFERROR(__xludf.DUMMYFUNCTION("""COMPUTED_VALUE"""),"客戶價值中心")</f>
        <v>客戶價值中心</v>
      </c>
      <c r="G41" s="37" t="str">
        <f>IFERROR(__xludf.DUMMYFUNCTION("""COMPUTED_VALUE"""),"Adobe Creative Cloud")</f>
        <v>Adobe Creative Cloud</v>
      </c>
      <c r="H41" s="41">
        <f>IFERROR(__xludf.DUMMYFUNCTION("""COMPUTED_VALUE"""),3000.0)</f>
        <v>3000</v>
      </c>
      <c r="I41" s="37">
        <f>IFERROR(__xludf.DUMMYFUNCTION("""COMPUTED_VALUE"""),0.0)</f>
        <v>0</v>
      </c>
      <c r="J41" s="41">
        <f>IFERROR(__xludf.DUMMYFUNCTION("""COMPUTED_VALUE"""),0.0)</f>
        <v>0</v>
      </c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B42" s="37" t="str">
        <f>IFERROR(__xludf.DUMMYFUNCTION("""COMPUTED_VALUE"""),"TW")</f>
        <v>TW</v>
      </c>
      <c r="C42" s="37"/>
      <c r="D42" s="37"/>
      <c r="E42" s="37"/>
      <c r="F42" s="37" t="str">
        <f>IFERROR(__xludf.DUMMYFUNCTION("""COMPUTED_VALUE"""),"管理中心")</f>
        <v>管理中心</v>
      </c>
      <c r="G42" s="37" t="str">
        <f>IFERROR(__xludf.DUMMYFUNCTION("""COMPUTED_VALUE"""),"Adobe Creative Cloud")</f>
        <v>Adobe Creative Cloud</v>
      </c>
      <c r="H42" s="41">
        <f>IFERROR(__xludf.DUMMYFUNCTION("""COMPUTED_VALUE"""),3000.0)</f>
        <v>3000</v>
      </c>
      <c r="I42" s="37">
        <f>IFERROR(__xludf.DUMMYFUNCTION("""COMPUTED_VALUE"""),0.0)</f>
        <v>0</v>
      </c>
      <c r="J42" s="41">
        <f>IFERROR(__xludf.DUMMYFUNCTION("""COMPUTED_VALUE"""),0.0)</f>
        <v>0</v>
      </c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B43" s="37" t="str">
        <f>IFERROR(__xludf.DUMMYFUNCTION("""COMPUTED_VALUE"""),"TW")</f>
        <v>TW</v>
      </c>
      <c r="C43" s="37"/>
      <c r="D43" s="37"/>
      <c r="E43" s="37"/>
      <c r="F43" s="37" t="str">
        <f>IFERROR(__xludf.DUMMYFUNCTION("""COMPUTED_VALUE"""),"執行長室")</f>
        <v>執行長室</v>
      </c>
      <c r="G43" s="37" t="str">
        <f>IFERROR(__xludf.DUMMYFUNCTION("""COMPUTED_VALUE"""),"Adobe Creative Cloud")</f>
        <v>Adobe Creative Cloud</v>
      </c>
      <c r="H43" s="41">
        <f>IFERROR(__xludf.DUMMYFUNCTION("""COMPUTED_VALUE"""),3000.0)</f>
        <v>3000</v>
      </c>
      <c r="I43" s="37">
        <f>IFERROR(__xludf.DUMMYFUNCTION("""COMPUTED_VALUE"""),0.0)</f>
        <v>0</v>
      </c>
      <c r="J43" s="41">
        <f>IFERROR(__xludf.DUMMYFUNCTION("""COMPUTED_VALUE"""),0.0)</f>
        <v>0</v>
      </c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B44" s="37" t="str">
        <f>IFERROR(__xludf.DUMMYFUNCTION("""COMPUTED_VALUE"""),"TW")</f>
        <v>TW</v>
      </c>
      <c r="C44" s="37"/>
      <c r="D44" s="37"/>
      <c r="E44" s="37"/>
      <c r="F44" s="37" t="str">
        <f>IFERROR(__xludf.DUMMYFUNCTION("""COMPUTED_VALUE"""),"財務中心")</f>
        <v>財務中心</v>
      </c>
      <c r="G44" s="37" t="str">
        <f>IFERROR(__xludf.DUMMYFUNCTION("""COMPUTED_VALUE"""),"Adobe Creative Cloud")</f>
        <v>Adobe Creative Cloud</v>
      </c>
      <c r="H44" s="41">
        <f>IFERROR(__xludf.DUMMYFUNCTION("""COMPUTED_VALUE"""),3000.0)</f>
        <v>3000</v>
      </c>
      <c r="I44" s="37">
        <f>IFERROR(__xludf.DUMMYFUNCTION("""COMPUTED_VALUE"""),0.0)</f>
        <v>0</v>
      </c>
      <c r="J44" s="41">
        <f>IFERROR(__xludf.DUMMYFUNCTION("""COMPUTED_VALUE"""),0.0)</f>
        <v>0</v>
      </c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B45" s="37" t="str">
        <f>IFERROR(__xludf.DUMMYFUNCTION("""COMPUTED_VALUE"""),"QLR")</f>
        <v>QLR</v>
      </c>
      <c r="C45" s="37"/>
      <c r="D45" s="37"/>
      <c r="E45" s="37"/>
      <c r="F45" s="37" t="str">
        <f>IFERROR(__xludf.DUMMYFUNCTION("""COMPUTED_VALUE"""),"Qlieer")</f>
        <v>Qlieer</v>
      </c>
      <c r="G45" s="37" t="str">
        <f>IFERROR(__xludf.DUMMYFUNCTION("""COMPUTED_VALUE"""),"Adobe Creative Cloud")</f>
        <v>Adobe Creative Cloud</v>
      </c>
      <c r="H45" s="41">
        <f>IFERROR(__xludf.DUMMYFUNCTION("""COMPUTED_VALUE"""),3000.0)</f>
        <v>3000</v>
      </c>
      <c r="I45" s="37">
        <f>IFERROR(__xludf.DUMMYFUNCTION("""COMPUTED_VALUE"""),0.0)</f>
        <v>0</v>
      </c>
      <c r="J45" s="41">
        <f>IFERROR(__xludf.DUMMYFUNCTION("""COMPUTED_VALUE"""),0.0)</f>
        <v>0</v>
      </c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B46" s="37" t="str">
        <f>IFERROR(__xludf.DUMMYFUNCTION("""COMPUTED_VALUE"""),"TW")</f>
        <v>TW</v>
      </c>
      <c r="C46" s="37"/>
      <c r="D46" s="37"/>
      <c r="E46" s="37"/>
      <c r="F46" s="37" t="str">
        <f>IFERROR(__xludf.DUMMYFUNCTION("""COMPUTED_VALUE"""),"策略資料中心")</f>
        <v>策略資料中心</v>
      </c>
      <c r="G46" s="37" t="str">
        <f>IFERROR(__xludf.DUMMYFUNCTION("""COMPUTED_VALUE"""),"Adobe Creative Cloud")</f>
        <v>Adobe Creative Cloud</v>
      </c>
      <c r="H46" s="41">
        <f>IFERROR(__xludf.DUMMYFUNCTION("""COMPUTED_VALUE"""),3000.0)</f>
        <v>3000</v>
      </c>
      <c r="I46" s="37">
        <f>IFERROR(__xludf.DUMMYFUNCTION("""COMPUTED_VALUE"""),0.0)</f>
        <v>0</v>
      </c>
      <c r="J46" s="41">
        <f>IFERROR(__xludf.DUMMYFUNCTION("""COMPUTED_VALUE"""),0.0)</f>
        <v>0</v>
      </c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B47" s="37" t="str">
        <f>IFERROR(__xludf.DUMMYFUNCTION("""COMPUTED_VALUE"""),"HK")</f>
        <v>HK</v>
      </c>
      <c r="C47" s="37"/>
      <c r="D47" s="37"/>
      <c r="E47" s="37"/>
      <c r="F47" s="37" t="str">
        <f>IFERROR(__xludf.DUMMYFUNCTION("""COMPUTED_VALUE"""),"海外執行長室")</f>
        <v>海外執行長室</v>
      </c>
      <c r="G47" s="37" t="str">
        <f>IFERROR(__xludf.DUMMYFUNCTION("""COMPUTED_VALUE"""),"Adobe Creative Cloud")</f>
        <v>Adobe Creative Cloud</v>
      </c>
      <c r="H47" s="41">
        <f>IFERROR(__xludf.DUMMYFUNCTION("""COMPUTED_VALUE"""),3000.0)</f>
        <v>3000</v>
      </c>
      <c r="I47" s="37">
        <f>IFERROR(__xludf.DUMMYFUNCTION("""COMPUTED_VALUE"""),0.0)</f>
        <v>0</v>
      </c>
      <c r="J47" s="41">
        <f>IFERROR(__xludf.DUMMYFUNCTION("""COMPUTED_VALUE"""),0.0)</f>
        <v>0</v>
      </c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B48" s="37" t="str">
        <f>IFERROR(__xludf.DUMMYFUNCTION("""COMPUTED_VALUE"""),"TW")</f>
        <v>TW</v>
      </c>
      <c r="C48" s="37"/>
      <c r="D48" s="37"/>
      <c r="E48" s="37"/>
      <c r="F48" s="37" t="str">
        <f>IFERROR(__xludf.DUMMYFUNCTION("""COMPUTED_VALUE"""),"行銷營運中心")</f>
        <v>行銷營運中心</v>
      </c>
      <c r="G48" s="37" t="str">
        <f>IFERROR(__xludf.DUMMYFUNCTION("""COMPUTED_VALUE"""),"Adobe Arcobat")</f>
        <v>Adobe Arcobat</v>
      </c>
      <c r="H48" s="41">
        <f>IFERROR(__xludf.DUMMYFUNCTION("""COMPUTED_VALUE"""),510.0)</f>
        <v>510</v>
      </c>
      <c r="I48" s="37">
        <f>IFERROR(__xludf.DUMMYFUNCTION("""COMPUTED_VALUE"""),0.0)</f>
        <v>0</v>
      </c>
      <c r="J48" s="41">
        <f>IFERROR(__xludf.DUMMYFUNCTION("""COMPUTED_VALUE"""),0.0)</f>
        <v>0</v>
      </c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B49" s="37" t="str">
        <f>IFERROR(__xludf.DUMMYFUNCTION("""COMPUTED_VALUE"""),"TW")</f>
        <v>TW</v>
      </c>
      <c r="C49" s="37"/>
      <c r="D49" s="37"/>
      <c r="E49" s="37"/>
      <c r="F49" s="37" t="str">
        <f>IFERROR(__xludf.DUMMYFUNCTION("""COMPUTED_VALUE"""),"研發中心")</f>
        <v>研發中心</v>
      </c>
      <c r="G49" s="37" t="str">
        <f>IFERROR(__xludf.DUMMYFUNCTION("""COMPUTED_VALUE"""),"Adobe Arcobat")</f>
        <v>Adobe Arcobat</v>
      </c>
      <c r="H49" s="41">
        <f>IFERROR(__xludf.DUMMYFUNCTION("""COMPUTED_VALUE"""),510.0)</f>
        <v>510</v>
      </c>
      <c r="I49" s="37">
        <f>IFERROR(__xludf.DUMMYFUNCTION("""COMPUTED_VALUE"""),0.0)</f>
        <v>0</v>
      </c>
      <c r="J49" s="41">
        <f>IFERROR(__xludf.DUMMYFUNCTION("""COMPUTED_VALUE"""),0.0)</f>
        <v>0</v>
      </c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B50" s="37" t="str">
        <f>IFERROR(__xludf.DUMMYFUNCTION("""COMPUTED_VALUE"""),"TW")</f>
        <v>TW</v>
      </c>
      <c r="C50" s="37"/>
      <c r="D50" s="37"/>
      <c r="E50" s="37"/>
      <c r="F50" s="37" t="str">
        <f>IFERROR(__xludf.DUMMYFUNCTION("""COMPUTED_VALUE"""),"客戶價值中心")</f>
        <v>客戶價值中心</v>
      </c>
      <c r="G50" s="37" t="str">
        <f>IFERROR(__xludf.DUMMYFUNCTION("""COMPUTED_VALUE"""),"Adobe Arcobat")</f>
        <v>Adobe Arcobat</v>
      </c>
      <c r="H50" s="41">
        <f>IFERROR(__xludf.DUMMYFUNCTION("""COMPUTED_VALUE"""),510.0)</f>
        <v>510</v>
      </c>
      <c r="I50" s="37">
        <f>IFERROR(__xludf.DUMMYFUNCTION("""COMPUTED_VALUE"""),0.0)</f>
        <v>0</v>
      </c>
      <c r="J50" s="41">
        <f>IFERROR(__xludf.DUMMYFUNCTION("""COMPUTED_VALUE"""),0.0)</f>
        <v>0</v>
      </c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B51" s="37" t="str">
        <f>IFERROR(__xludf.DUMMYFUNCTION("""COMPUTED_VALUE"""),"TW")</f>
        <v>TW</v>
      </c>
      <c r="C51" s="37"/>
      <c r="D51" s="37"/>
      <c r="E51" s="37"/>
      <c r="F51" s="37" t="str">
        <f>IFERROR(__xludf.DUMMYFUNCTION("""COMPUTED_VALUE"""),"管理中心")</f>
        <v>管理中心</v>
      </c>
      <c r="G51" s="37" t="str">
        <f>IFERROR(__xludf.DUMMYFUNCTION("""COMPUTED_VALUE"""),"Adobe Arcobat")</f>
        <v>Adobe Arcobat</v>
      </c>
      <c r="H51" s="41">
        <f>IFERROR(__xludf.DUMMYFUNCTION("""COMPUTED_VALUE"""),510.0)</f>
        <v>510</v>
      </c>
      <c r="I51" s="37">
        <f>IFERROR(__xludf.DUMMYFUNCTION("""COMPUTED_VALUE"""),0.0)</f>
        <v>0</v>
      </c>
      <c r="J51" s="41">
        <f>IFERROR(__xludf.DUMMYFUNCTION("""COMPUTED_VALUE"""),0.0)</f>
        <v>0</v>
      </c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B52" s="37" t="str">
        <f>IFERROR(__xludf.DUMMYFUNCTION("""COMPUTED_VALUE"""),"TW")</f>
        <v>TW</v>
      </c>
      <c r="C52" s="37"/>
      <c r="D52" s="37"/>
      <c r="E52" s="37"/>
      <c r="F52" s="37" t="str">
        <f>IFERROR(__xludf.DUMMYFUNCTION("""COMPUTED_VALUE"""),"執行長室")</f>
        <v>執行長室</v>
      </c>
      <c r="G52" s="37" t="str">
        <f>IFERROR(__xludf.DUMMYFUNCTION("""COMPUTED_VALUE"""),"Adobe Arcobat")</f>
        <v>Adobe Arcobat</v>
      </c>
      <c r="H52" s="41">
        <f>IFERROR(__xludf.DUMMYFUNCTION("""COMPUTED_VALUE"""),510.0)</f>
        <v>510</v>
      </c>
      <c r="I52" s="37">
        <f>IFERROR(__xludf.DUMMYFUNCTION("""COMPUTED_VALUE"""),1.0)</f>
        <v>1</v>
      </c>
      <c r="J52" s="41">
        <f>IFERROR(__xludf.DUMMYFUNCTION("""COMPUTED_VALUE"""),510.0)</f>
        <v>510</v>
      </c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B53" s="37" t="str">
        <f>IFERROR(__xludf.DUMMYFUNCTION("""COMPUTED_VALUE"""),"TW")</f>
        <v>TW</v>
      </c>
      <c r="C53" s="37"/>
      <c r="D53" s="37"/>
      <c r="E53" s="37"/>
      <c r="F53" s="37" t="str">
        <f>IFERROR(__xludf.DUMMYFUNCTION("""COMPUTED_VALUE"""),"財務中心")</f>
        <v>財務中心</v>
      </c>
      <c r="G53" s="37" t="str">
        <f>IFERROR(__xludf.DUMMYFUNCTION("""COMPUTED_VALUE"""),"Adobe Arcobat")</f>
        <v>Adobe Arcobat</v>
      </c>
      <c r="H53" s="41">
        <f>IFERROR(__xludf.DUMMYFUNCTION("""COMPUTED_VALUE"""),510.0)</f>
        <v>510</v>
      </c>
      <c r="I53" s="37">
        <f>IFERROR(__xludf.DUMMYFUNCTION("""COMPUTED_VALUE"""),1.0)</f>
        <v>1</v>
      </c>
      <c r="J53" s="41">
        <f>IFERROR(__xludf.DUMMYFUNCTION("""COMPUTED_VALUE"""),510.0)</f>
        <v>510</v>
      </c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B54" s="37" t="str">
        <f>IFERROR(__xludf.DUMMYFUNCTION("""COMPUTED_VALUE"""),"QLR")</f>
        <v>QLR</v>
      </c>
      <c r="C54" s="37"/>
      <c r="D54" s="37"/>
      <c r="E54" s="37"/>
      <c r="F54" s="37" t="str">
        <f>IFERROR(__xludf.DUMMYFUNCTION("""COMPUTED_VALUE"""),"Qlieer")</f>
        <v>Qlieer</v>
      </c>
      <c r="G54" s="37" t="str">
        <f>IFERROR(__xludf.DUMMYFUNCTION("""COMPUTED_VALUE"""),"Adobe Arcobat")</f>
        <v>Adobe Arcobat</v>
      </c>
      <c r="H54" s="41">
        <f>IFERROR(__xludf.DUMMYFUNCTION("""COMPUTED_VALUE"""),510.0)</f>
        <v>510</v>
      </c>
      <c r="I54" s="37">
        <f>IFERROR(__xludf.DUMMYFUNCTION("""COMPUTED_VALUE"""),0.0)</f>
        <v>0</v>
      </c>
      <c r="J54" s="41">
        <f>IFERROR(__xludf.DUMMYFUNCTION("""COMPUTED_VALUE"""),0.0)</f>
        <v>0</v>
      </c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B55" s="37" t="str">
        <f>IFERROR(__xludf.DUMMYFUNCTION("""COMPUTED_VALUE"""),"TW")</f>
        <v>TW</v>
      </c>
      <c r="C55" s="37"/>
      <c r="D55" s="37"/>
      <c r="E55" s="37"/>
      <c r="F55" s="37" t="str">
        <f>IFERROR(__xludf.DUMMYFUNCTION("""COMPUTED_VALUE"""),"策略資料中心")</f>
        <v>策略資料中心</v>
      </c>
      <c r="G55" s="37" t="str">
        <f>IFERROR(__xludf.DUMMYFUNCTION("""COMPUTED_VALUE"""),"Adobe Arcobat")</f>
        <v>Adobe Arcobat</v>
      </c>
      <c r="H55" s="41">
        <f>IFERROR(__xludf.DUMMYFUNCTION("""COMPUTED_VALUE"""),510.0)</f>
        <v>510</v>
      </c>
      <c r="I55" s="37">
        <f>IFERROR(__xludf.DUMMYFUNCTION("""COMPUTED_VALUE"""),0.0)</f>
        <v>0</v>
      </c>
      <c r="J55" s="41">
        <f>IFERROR(__xludf.DUMMYFUNCTION("""COMPUTED_VALUE"""),0.0)</f>
        <v>0</v>
      </c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B56" s="37" t="str">
        <f>IFERROR(__xludf.DUMMYFUNCTION("""COMPUTED_VALUE"""),"HK")</f>
        <v>HK</v>
      </c>
      <c r="C56" s="37"/>
      <c r="D56" s="37"/>
      <c r="E56" s="37"/>
      <c r="F56" s="37" t="str">
        <f>IFERROR(__xludf.DUMMYFUNCTION("""COMPUTED_VALUE"""),"海外執行長室")</f>
        <v>海外執行長室</v>
      </c>
      <c r="G56" s="37" t="str">
        <f>IFERROR(__xludf.DUMMYFUNCTION("""COMPUTED_VALUE"""),"Adobe Arcobat")</f>
        <v>Adobe Arcobat</v>
      </c>
      <c r="H56" s="41">
        <f>IFERROR(__xludf.DUMMYFUNCTION("""COMPUTED_VALUE"""),510.0)</f>
        <v>510</v>
      </c>
      <c r="I56" s="37">
        <f>IFERROR(__xludf.DUMMYFUNCTION("""COMPUTED_VALUE"""),0.0)</f>
        <v>0</v>
      </c>
      <c r="J56" s="41">
        <f>IFERROR(__xludf.DUMMYFUNCTION("""COMPUTED_VALUE"""),0.0)</f>
        <v>0</v>
      </c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B57" s="37" t="str">
        <f>IFERROR(__xludf.DUMMYFUNCTION("""COMPUTED_VALUE"""),"TW")</f>
        <v>TW</v>
      </c>
      <c r="C57" s="37"/>
      <c r="D57" s="37"/>
      <c r="E57" s="37"/>
      <c r="F57" s="37" t="str">
        <f>IFERROR(__xludf.DUMMYFUNCTION("""COMPUTED_VALUE"""),"行銷營運中心")</f>
        <v>行銷營運中心</v>
      </c>
      <c r="G57" s="37" t="str">
        <f>IFERROR(__xludf.DUMMYFUNCTION("""COMPUTED_VALUE"""),"Salesforce Sales Cloud")</f>
        <v>Salesforce Sales Cloud</v>
      </c>
      <c r="H57" s="41">
        <f>IFERROR(__xludf.DUMMYFUNCTION("""COMPUTED_VALUE"""),3728.0)</f>
        <v>3728</v>
      </c>
      <c r="I57" s="37">
        <f>IFERROR(__xludf.DUMMYFUNCTION("""COMPUTED_VALUE"""),40.0)</f>
        <v>40</v>
      </c>
      <c r="J57" s="41">
        <f>IFERROR(__xludf.DUMMYFUNCTION("""COMPUTED_VALUE"""),149120.0)</f>
        <v>149120</v>
      </c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B58" s="37" t="str">
        <f>IFERROR(__xludf.DUMMYFUNCTION("""COMPUTED_VALUE"""),"TW")</f>
        <v>TW</v>
      </c>
      <c r="C58" s="37"/>
      <c r="D58" s="37"/>
      <c r="E58" s="37"/>
      <c r="F58" s="37" t="str">
        <f>IFERROR(__xludf.DUMMYFUNCTION("""COMPUTED_VALUE"""),"研發中心")</f>
        <v>研發中心</v>
      </c>
      <c r="G58" s="37" t="str">
        <f>IFERROR(__xludf.DUMMYFUNCTION("""COMPUTED_VALUE"""),"Salesforce Sales Cloud")</f>
        <v>Salesforce Sales Cloud</v>
      </c>
      <c r="H58" s="41">
        <f>IFERROR(__xludf.DUMMYFUNCTION("""COMPUTED_VALUE"""),3728.0)</f>
        <v>3728</v>
      </c>
      <c r="I58" s="37">
        <f>IFERROR(__xludf.DUMMYFUNCTION("""COMPUTED_VALUE"""),2.0)</f>
        <v>2</v>
      </c>
      <c r="J58" s="41">
        <f>IFERROR(__xludf.DUMMYFUNCTION("""COMPUTED_VALUE"""),7456.0)</f>
        <v>7456</v>
      </c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B59" s="37" t="str">
        <f>IFERROR(__xludf.DUMMYFUNCTION("""COMPUTED_VALUE"""),"TW")</f>
        <v>TW</v>
      </c>
      <c r="C59" s="37"/>
      <c r="D59" s="37"/>
      <c r="E59" s="37"/>
      <c r="F59" s="37" t="str">
        <f>IFERROR(__xludf.DUMMYFUNCTION("""COMPUTED_VALUE"""),"客戶價值中心")</f>
        <v>客戶價值中心</v>
      </c>
      <c r="G59" s="37" t="str">
        <f>IFERROR(__xludf.DUMMYFUNCTION("""COMPUTED_VALUE"""),"Salesforce Sales Cloud")</f>
        <v>Salesforce Sales Cloud</v>
      </c>
      <c r="H59" s="41">
        <f>IFERROR(__xludf.DUMMYFUNCTION("""COMPUTED_VALUE"""),3728.0)</f>
        <v>3728</v>
      </c>
      <c r="I59" s="37">
        <f>IFERROR(__xludf.DUMMYFUNCTION("""COMPUTED_VALUE"""),0.0)</f>
        <v>0</v>
      </c>
      <c r="J59" s="41">
        <f>IFERROR(__xludf.DUMMYFUNCTION("""COMPUTED_VALUE"""),0.0)</f>
        <v>0</v>
      </c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B60" s="37" t="str">
        <f>IFERROR(__xludf.DUMMYFUNCTION("""COMPUTED_VALUE"""),"TW")</f>
        <v>TW</v>
      </c>
      <c r="C60" s="37"/>
      <c r="D60" s="37"/>
      <c r="E60" s="37"/>
      <c r="F60" s="37" t="str">
        <f>IFERROR(__xludf.DUMMYFUNCTION("""COMPUTED_VALUE"""),"管理中心")</f>
        <v>管理中心</v>
      </c>
      <c r="G60" s="37" t="str">
        <f>IFERROR(__xludf.DUMMYFUNCTION("""COMPUTED_VALUE"""),"Salesforce Sales Cloud")</f>
        <v>Salesforce Sales Cloud</v>
      </c>
      <c r="H60" s="41">
        <f>IFERROR(__xludf.DUMMYFUNCTION("""COMPUTED_VALUE"""),3728.0)</f>
        <v>3728</v>
      </c>
      <c r="I60" s="37">
        <f>IFERROR(__xludf.DUMMYFUNCTION("""COMPUTED_VALUE"""),2.0)</f>
        <v>2</v>
      </c>
      <c r="J60" s="41">
        <f>IFERROR(__xludf.DUMMYFUNCTION("""COMPUTED_VALUE"""),7456.0)</f>
        <v>7456</v>
      </c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B61" s="37" t="str">
        <f>IFERROR(__xludf.DUMMYFUNCTION("""COMPUTED_VALUE"""),"TW")</f>
        <v>TW</v>
      </c>
      <c r="C61" s="37"/>
      <c r="D61" s="37"/>
      <c r="E61" s="37"/>
      <c r="F61" s="37" t="str">
        <f>IFERROR(__xludf.DUMMYFUNCTION("""COMPUTED_VALUE"""),"執行長室")</f>
        <v>執行長室</v>
      </c>
      <c r="G61" s="37" t="str">
        <f>IFERROR(__xludf.DUMMYFUNCTION("""COMPUTED_VALUE"""),"Salesforce Sales Cloud")</f>
        <v>Salesforce Sales Cloud</v>
      </c>
      <c r="H61" s="41">
        <f>IFERROR(__xludf.DUMMYFUNCTION("""COMPUTED_VALUE"""),3728.0)</f>
        <v>3728</v>
      </c>
      <c r="I61" s="37">
        <f>IFERROR(__xludf.DUMMYFUNCTION("""COMPUTED_VALUE"""),2.0)</f>
        <v>2</v>
      </c>
      <c r="J61" s="41">
        <f>IFERROR(__xludf.DUMMYFUNCTION("""COMPUTED_VALUE"""),7456.0)</f>
        <v>7456</v>
      </c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B62" s="37" t="str">
        <f>IFERROR(__xludf.DUMMYFUNCTION("""COMPUTED_VALUE"""),"TW")</f>
        <v>TW</v>
      </c>
      <c r="C62" s="37"/>
      <c r="D62" s="37"/>
      <c r="E62" s="37"/>
      <c r="F62" s="37" t="str">
        <f>IFERROR(__xludf.DUMMYFUNCTION("""COMPUTED_VALUE"""),"財務中心")</f>
        <v>財務中心</v>
      </c>
      <c r="G62" s="37" t="str">
        <f>IFERROR(__xludf.DUMMYFUNCTION("""COMPUTED_VALUE"""),"Salesforce Sales Cloud")</f>
        <v>Salesforce Sales Cloud</v>
      </c>
      <c r="H62" s="41">
        <f>IFERROR(__xludf.DUMMYFUNCTION("""COMPUTED_VALUE"""),3728.0)</f>
        <v>3728</v>
      </c>
      <c r="I62" s="37">
        <f>IFERROR(__xludf.DUMMYFUNCTION("""COMPUTED_VALUE"""),0.0)</f>
        <v>0</v>
      </c>
      <c r="J62" s="41">
        <f>IFERROR(__xludf.DUMMYFUNCTION("""COMPUTED_VALUE"""),0.0)</f>
        <v>0</v>
      </c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B63" s="37" t="str">
        <f>IFERROR(__xludf.DUMMYFUNCTION("""COMPUTED_VALUE"""),"QLR")</f>
        <v>QLR</v>
      </c>
      <c r="C63" s="37"/>
      <c r="D63" s="37"/>
      <c r="E63" s="37"/>
      <c r="F63" s="37" t="str">
        <f>IFERROR(__xludf.DUMMYFUNCTION("""COMPUTED_VALUE"""),"Qlieer")</f>
        <v>Qlieer</v>
      </c>
      <c r="G63" s="37" t="str">
        <f>IFERROR(__xludf.DUMMYFUNCTION("""COMPUTED_VALUE"""),"Salesforce Sales Cloud")</f>
        <v>Salesforce Sales Cloud</v>
      </c>
      <c r="H63" s="41">
        <f>IFERROR(__xludf.DUMMYFUNCTION("""COMPUTED_VALUE"""),3728.0)</f>
        <v>3728</v>
      </c>
      <c r="I63" s="37">
        <f>IFERROR(__xludf.DUMMYFUNCTION("""COMPUTED_VALUE"""),0.0)</f>
        <v>0</v>
      </c>
      <c r="J63" s="41">
        <f>IFERROR(__xludf.DUMMYFUNCTION("""COMPUTED_VALUE"""),0.0)</f>
        <v>0</v>
      </c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B64" s="37" t="str">
        <f>IFERROR(__xludf.DUMMYFUNCTION("""COMPUTED_VALUE"""),"TW")</f>
        <v>TW</v>
      </c>
      <c r="C64" s="37"/>
      <c r="D64" s="37"/>
      <c r="E64" s="37"/>
      <c r="F64" s="37" t="str">
        <f>IFERROR(__xludf.DUMMYFUNCTION("""COMPUTED_VALUE"""),"策略資料中心")</f>
        <v>策略資料中心</v>
      </c>
      <c r="G64" s="37" t="str">
        <f>IFERROR(__xludf.DUMMYFUNCTION("""COMPUTED_VALUE"""),"Salesforce Sales Cloud")</f>
        <v>Salesforce Sales Cloud</v>
      </c>
      <c r="H64" s="41">
        <f>IFERROR(__xludf.DUMMYFUNCTION("""COMPUTED_VALUE"""),3728.0)</f>
        <v>3728</v>
      </c>
      <c r="I64" s="37">
        <f>IFERROR(__xludf.DUMMYFUNCTION("""COMPUTED_VALUE"""),2.0)</f>
        <v>2</v>
      </c>
      <c r="J64" s="41">
        <f>IFERROR(__xludf.DUMMYFUNCTION("""COMPUTED_VALUE"""),7456.0)</f>
        <v>7456</v>
      </c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B65" s="37" t="str">
        <f>IFERROR(__xludf.DUMMYFUNCTION("""COMPUTED_VALUE"""),"HK")</f>
        <v>HK</v>
      </c>
      <c r="C65" s="37"/>
      <c r="D65" s="37"/>
      <c r="E65" s="37"/>
      <c r="F65" s="37" t="str">
        <f>IFERROR(__xludf.DUMMYFUNCTION("""COMPUTED_VALUE"""),"海外執行長室")</f>
        <v>海外執行長室</v>
      </c>
      <c r="G65" s="37" t="str">
        <f>IFERROR(__xludf.DUMMYFUNCTION("""COMPUTED_VALUE"""),"Salesforce Sales Cloud")</f>
        <v>Salesforce Sales Cloud</v>
      </c>
      <c r="H65" s="41">
        <f>IFERROR(__xludf.DUMMYFUNCTION("""COMPUTED_VALUE"""),3728.0)</f>
        <v>3728</v>
      </c>
      <c r="I65" s="37">
        <f>IFERROR(__xludf.DUMMYFUNCTION("""COMPUTED_VALUE"""),0.0)</f>
        <v>0</v>
      </c>
      <c r="J65" s="41">
        <f>IFERROR(__xludf.DUMMYFUNCTION("""COMPUTED_VALUE"""),0.0)</f>
        <v>0</v>
      </c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B66" s="37" t="str">
        <f>IFERROR(__xludf.DUMMYFUNCTION("""COMPUTED_VALUE"""),"TW")</f>
        <v>TW</v>
      </c>
      <c r="C66" s="37"/>
      <c r="D66" s="37"/>
      <c r="E66" s="37"/>
      <c r="F66" s="37" t="str">
        <f>IFERROR(__xludf.DUMMYFUNCTION("""COMPUTED_VALUE"""),"行銷營運中心")</f>
        <v>行銷營運中心</v>
      </c>
      <c r="G66" s="37" t="str">
        <f>IFERROR(__xludf.DUMMYFUNCTION("""COMPUTED_VALUE"""),"Salesforce Service Cloud")</f>
        <v>Salesforce Service Cloud</v>
      </c>
      <c r="H66" s="41">
        <f>IFERROR(__xludf.DUMMYFUNCTION("""COMPUTED_VALUE"""),3728.0)</f>
        <v>3728</v>
      </c>
      <c r="I66" s="37">
        <f>IFERROR(__xludf.DUMMYFUNCTION("""COMPUTED_VALUE"""),0.0)</f>
        <v>0</v>
      </c>
      <c r="J66" s="41">
        <f>IFERROR(__xludf.DUMMYFUNCTION("""COMPUTED_VALUE"""),0.0)</f>
        <v>0</v>
      </c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B67" s="37" t="str">
        <f>IFERROR(__xludf.DUMMYFUNCTION("""COMPUTED_VALUE"""),"TW")</f>
        <v>TW</v>
      </c>
      <c r="C67" s="37"/>
      <c r="D67" s="37"/>
      <c r="E67" s="37"/>
      <c r="F67" s="37" t="str">
        <f>IFERROR(__xludf.DUMMYFUNCTION("""COMPUTED_VALUE"""),"研發中心")</f>
        <v>研發中心</v>
      </c>
      <c r="G67" s="37" t="str">
        <f>IFERROR(__xludf.DUMMYFUNCTION("""COMPUTED_VALUE"""),"Salesforce Service Cloud")</f>
        <v>Salesforce Service Cloud</v>
      </c>
      <c r="H67" s="41">
        <f>IFERROR(__xludf.DUMMYFUNCTION("""COMPUTED_VALUE"""),3728.0)</f>
        <v>3728</v>
      </c>
      <c r="I67" s="37">
        <f>IFERROR(__xludf.DUMMYFUNCTION("""COMPUTED_VALUE"""),0.0)</f>
        <v>0</v>
      </c>
      <c r="J67" s="41">
        <f>IFERROR(__xludf.DUMMYFUNCTION("""COMPUTED_VALUE"""),0.0)</f>
        <v>0</v>
      </c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B68" s="37" t="str">
        <f>IFERROR(__xludf.DUMMYFUNCTION("""COMPUTED_VALUE"""),"TW")</f>
        <v>TW</v>
      </c>
      <c r="C68" s="37"/>
      <c r="D68" s="37"/>
      <c r="E68" s="37"/>
      <c r="F68" s="37" t="str">
        <f>IFERROR(__xludf.DUMMYFUNCTION("""COMPUTED_VALUE"""),"客戶價值中心")</f>
        <v>客戶價值中心</v>
      </c>
      <c r="G68" s="37" t="str">
        <f>IFERROR(__xludf.DUMMYFUNCTION("""COMPUTED_VALUE"""),"Salesforce Service Cloud")</f>
        <v>Salesforce Service Cloud</v>
      </c>
      <c r="H68" s="41">
        <f>IFERROR(__xludf.DUMMYFUNCTION("""COMPUTED_VALUE"""),3728.0)</f>
        <v>3728</v>
      </c>
      <c r="I68" s="37">
        <f>IFERROR(__xludf.DUMMYFUNCTION("""COMPUTED_VALUE"""),28.0)</f>
        <v>28</v>
      </c>
      <c r="J68" s="41">
        <f>IFERROR(__xludf.DUMMYFUNCTION("""COMPUTED_VALUE"""),104384.0)</f>
        <v>104384</v>
      </c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B69" s="37" t="str">
        <f>IFERROR(__xludf.DUMMYFUNCTION("""COMPUTED_VALUE"""),"TW")</f>
        <v>TW</v>
      </c>
      <c r="C69" s="37"/>
      <c r="D69" s="37"/>
      <c r="E69" s="37"/>
      <c r="F69" s="37" t="str">
        <f>IFERROR(__xludf.DUMMYFUNCTION("""COMPUTED_VALUE"""),"管理中心")</f>
        <v>管理中心</v>
      </c>
      <c r="G69" s="37" t="str">
        <f>IFERROR(__xludf.DUMMYFUNCTION("""COMPUTED_VALUE"""),"Salesforce Service Cloud")</f>
        <v>Salesforce Service Cloud</v>
      </c>
      <c r="H69" s="41">
        <f>IFERROR(__xludf.DUMMYFUNCTION("""COMPUTED_VALUE"""),3728.0)</f>
        <v>3728</v>
      </c>
      <c r="I69" s="37">
        <f>IFERROR(__xludf.DUMMYFUNCTION("""COMPUTED_VALUE"""),4.0)</f>
        <v>4</v>
      </c>
      <c r="J69" s="41">
        <f>IFERROR(__xludf.DUMMYFUNCTION("""COMPUTED_VALUE"""),14912.0)</f>
        <v>14912</v>
      </c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B70" s="37" t="str">
        <f>IFERROR(__xludf.DUMMYFUNCTION("""COMPUTED_VALUE"""),"TW")</f>
        <v>TW</v>
      </c>
      <c r="C70" s="37"/>
      <c r="D70" s="37"/>
      <c r="E70" s="37"/>
      <c r="F70" s="37" t="str">
        <f>IFERROR(__xludf.DUMMYFUNCTION("""COMPUTED_VALUE"""),"執行長室")</f>
        <v>執行長室</v>
      </c>
      <c r="G70" s="37" t="str">
        <f>IFERROR(__xludf.DUMMYFUNCTION("""COMPUTED_VALUE"""),"Salesforce Service Cloud")</f>
        <v>Salesforce Service Cloud</v>
      </c>
      <c r="H70" s="41">
        <f>IFERROR(__xludf.DUMMYFUNCTION("""COMPUTED_VALUE"""),3728.0)</f>
        <v>3728</v>
      </c>
      <c r="I70" s="37">
        <f>IFERROR(__xludf.DUMMYFUNCTION("""COMPUTED_VALUE"""),0.0)</f>
        <v>0</v>
      </c>
      <c r="J70" s="41">
        <f>IFERROR(__xludf.DUMMYFUNCTION("""COMPUTED_VALUE"""),0.0)</f>
        <v>0</v>
      </c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B71" s="37" t="str">
        <f>IFERROR(__xludf.DUMMYFUNCTION("""COMPUTED_VALUE"""),"TW")</f>
        <v>TW</v>
      </c>
      <c r="C71" s="37"/>
      <c r="D71" s="37"/>
      <c r="E71" s="37"/>
      <c r="F71" s="37" t="str">
        <f>IFERROR(__xludf.DUMMYFUNCTION("""COMPUTED_VALUE"""),"財務中心")</f>
        <v>財務中心</v>
      </c>
      <c r="G71" s="37" t="str">
        <f>IFERROR(__xludf.DUMMYFUNCTION("""COMPUTED_VALUE"""),"Salesforce Service Cloud")</f>
        <v>Salesforce Service Cloud</v>
      </c>
      <c r="H71" s="41">
        <f>IFERROR(__xludf.DUMMYFUNCTION("""COMPUTED_VALUE"""),3728.0)</f>
        <v>3728</v>
      </c>
      <c r="I71" s="37">
        <f>IFERROR(__xludf.DUMMYFUNCTION("""COMPUTED_VALUE"""),0.0)</f>
        <v>0</v>
      </c>
      <c r="J71" s="41">
        <f>IFERROR(__xludf.DUMMYFUNCTION("""COMPUTED_VALUE"""),0.0)</f>
        <v>0</v>
      </c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B72" s="37" t="str">
        <f>IFERROR(__xludf.DUMMYFUNCTION("""COMPUTED_VALUE"""),"QLR")</f>
        <v>QLR</v>
      </c>
      <c r="C72" s="37"/>
      <c r="D72" s="37"/>
      <c r="E72" s="37"/>
      <c r="F72" s="37" t="str">
        <f>IFERROR(__xludf.DUMMYFUNCTION("""COMPUTED_VALUE"""),"Qlieer")</f>
        <v>Qlieer</v>
      </c>
      <c r="G72" s="37" t="str">
        <f>IFERROR(__xludf.DUMMYFUNCTION("""COMPUTED_VALUE"""),"Salesforce Service Cloud")</f>
        <v>Salesforce Service Cloud</v>
      </c>
      <c r="H72" s="41">
        <f>IFERROR(__xludf.DUMMYFUNCTION("""COMPUTED_VALUE"""),3728.0)</f>
        <v>3728</v>
      </c>
      <c r="I72" s="37">
        <f>IFERROR(__xludf.DUMMYFUNCTION("""COMPUTED_VALUE"""),0.0)</f>
        <v>0</v>
      </c>
      <c r="J72" s="41">
        <f>IFERROR(__xludf.DUMMYFUNCTION("""COMPUTED_VALUE"""),0.0)</f>
        <v>0</v>
      </c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B73" s="37" t="str">
        <f>IFERROR(__xludf.DUMMYFUNCTION("""COMPUTED_VALUE"""),"TW")</f>
        <v>TW</v>
      </c>
      <c r="C73" s="37"/>
      <c r="D73" s="37"/>
      <c r="E73" s="37"/>
      <c r="F73" s="37" t="str">
        <f>IFERROR(__xludf.DUMMYFUNCTION("""COMPUTED_VALUE"""),"策略資料中心")</f>
        <v>策略資料中心</v>
      </c>
      <c r="G73" s="37" t="str">
        <f>IFERROR(__xludf.DUMMYFUNCTION("""COMPUTED_VALUE"""),"Salesforce Service Cloud")</f>
        <v>Salesforce Service Cloud</v>
      </c>
      <c r="H73" s="41">
        <f>IFERROR(__xludf.DUMMYFUNCTION("""COMPUTED_VALUE"""),3728.0)</f>
        <v>3728</v>
      </c>
      <c r="I73" s="37">
        <f>IFERROR(__xludf.DUMMYFUNCTION("""COMPUTED_VALUE"""),0.0)</f>
        <v>0</v>
      </c>
      <c r="J73" s="41">
        <f>IFERROR(__xludf.DUMMYFUNCTION("""COMPUTED_VALUE"""),0.0)</f>
        <v>0</v>
      </c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B74" s="37" t="str">
        <f>IFERROR(__xludf.DUMMYFUNCTION("""COMPUTED_VALUE"""),"HK")</f>
        <v>HK</v>
      </c>
      <c r="C74" s="37"/>
      <c r="D74" s="37"/>
      <c r="E74" s="37"/>
      <c r="F74" s="37" t="str">
        <f>IFERROR(__xludf.DUMMYFUNCTION("""COMPUTED_VALUE"""),"海外執行長室")</f>
        <v>海外執行長室</v>
      </c>
      <c r="G74" s="37" t="str">
        <f>IFERROR(__xludf.DUMMYFUNCTION("""COMPUTED_VALUE"""),"Salesforce Service Cloud")</f>
        <v>Salesforce Service Cloud</v>
      </c>
      <c r="H74" s="41">
        <f>IFERROR(__xludf.DUMMYFUNCTION("""COMPUTED_VALUE"""),3728.0)</f>
        <v>3728</v>
      </c>
      <c r="I74" s="37">
        <f>IFERROR(__xludf.DUMMYFUNCTION("""COMPUTED_VALUE"""),0.0)</f>
        <v>0</v>
      </c>
      <c r="J74" s="41">
        <f>IFERROR(__xludf.DUMMYFUNCTION("""COMPUTED_VALUE"""),0.0)</f>
        <v>0</v>
      </c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B75" s="37" t="str">
        <f>IFERROR(__xludf.DUMMYFUNCTION("""COMPUTED_VALUE"""),"TW")</f>
        <v>TW</v>
      </c>
      <c r="C75" s="37"/>
      <c r="D75" s="37"/>
      <c r="E75" s="37"/>
      <c r="F75" s="37" t="str">
        <f>IFERROR(__xludf.DUMMYFUNCTION("""COMPUTED_VALUE"""),"行銷營運中心")</f>
        <v>行銷營運中心</v>
      </c>
      <c r="G75" s="37" t="str">
        <f>IFERROR(__xludf.DUMMYFUNCTION("""COMPUTED_VALUE"""),"Salesforce Sales+Service Cloud")</f>
        <v>Salesforce Sales+Service Cloud</v>
      </c>
      <c r="H75" s="41">
        <f>IFERROR(__xludf.DUMMYFUNCTION("""COMPUTED_VALUE"""),4680.0)</f>
        <v>4680</v>
      </c>
      <c r="I75" s="37">
        <f>IFERROR(__xludf.DUMMYFUNCTION("""COMPUTED_VALUE"""),0.0)</f>
        <v>0</v>
      </c>
      <c r="J75" s="41">
        <f>IFERROR(__xludf.DUMMYFUNCTION("""COMPUTED_VALUE"""),0.0)</f>
        <v>0</v>
      </c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B76" s="37" t="str">
        <f>IFERROR(__xludf.DUMMYFUNCTION("""COMPUTED_VALUE"""),"TW")</f>
        <v>TW</v>
      </c>
      <c r="C76" s="37"/>
      <c r="D76" s="37"/>
      <c r="E76" s="37"/>
      <c r="F76" s="37" t="str">
        <f>IFERROR(__xludf.DUMMYFUNCTION("""COMPUTED_VALUE"""),"研發中心")</f>
        <v>研發中心</v>
      </c>
      <c r="G76" s="37" t="str">
        <f>IFERROR(__xludf.DUMMYFUNCTION("""COMPUTED_VALUE"""),"Salesforce Sales+Service Cloud")</f>
        <v>Salesforce Sales+Service Cloud</v>
      </c>
      <c r="H76" s="41">
        <f>IFERROR(__xludf.DUMMYFUNCTION("""COMPUTED_VALUE"""),4680.0)</f>
        <v>4680</v>
      </c>
      <c r="I76" s="37">
        <f>IFERROR(__xludf.DUMMYFUNCTION("""COMPUTED_VALUE"""),0.0)</f>
        <v>0</v>
      </c>
      <c r="J76" s="41">
        <f>IFERROR(__xludf.DUMMYFUNCTION("""COMPUTED_VALUE"""),0.0)</f>
        <v>0</v>
      </c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B77" s="37" t="str">
        <f>IFERROR(__xludf.DUMMYFUNCTION("""COMPUTED_VALUE"""),"TW")</f>
        <v>TW</v>
      </c>
      <c r="C77" s="37"/>
      <c r="D77" s="37"/>
      <c r="E77" s="37"/>
      <c r="F77" s="37" t="str">
        <f>IFERROR(__xludf.DUMMYFUNCTION("""COMPUTED_VALUE"""),"客戶價值中心")</f>
        <v>客戶價值中心</v>
      </c>
      <c r="G77" s="37" t="str">
        <f>IFERROR(__xludf.DUMMYFUNCTION("""COMPUTED_VALUE"""),"Salesforce Sales+Service Cloud")</f>
        <v>Salesforce Sales+Service Cloud</v>
      </c>
      <c r="H77" s="41">
        <f>IFERROR(__xludf.DUMMYFUNCTION("""COMPUTED_VALUE"""),4680.0)</f>
        <v>4680</v>
      </c>
      <c r="I77" s="37">
        <f>IFERROR(__xludf.DUMMYFUNCTION("""COMPUTED_VALUE"""),0.0)</f>
        <v>0</v>
      </c>
      <c r="J77" s="41">
        <f>IFERROR(__xludf.DUMMYFUNCTION("""COMPUTED_VALUE"""),0.0)</f>
        <v>0</v>
      </c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B78" s="37" t="str">
        <f>IFERROR(__xludf.DUMMYFUNCTION("""COMPUTED_VALUE"""),"TW")</f>
        <v>TW</v>
      </c>
      <c r="C78" s="37"/>
      <c r="D78" s="37"/>
      <c r="E78" s="37"/>
      <c r="F78" s="37" t="str">
        <f>IFERROR(__xludf.DUMMYFUNCTION("""COMPUTED_VALUE"""),"管理中心")</f>
        <v>管理中心</v>
      </c>
      <c r="G78" s="37" t="str">
        <f>IFERROR(__xludf.DUMMYFUNCTION("""COMPUTED_VALUE"""),"Salesforce Sales+Service Cloud")</f>
        <v>Salesforce Sales+Service Cloud</v>
      </c>
      <c r="H78" s="41">
        <f>IFERROR(__xludf.DUMMYFUNCTION("""COMPUTED_VALUE"""),4680.0)</f>
        <v>4680</v>
      </c>
      <c r="I78" s="37">
        <f>IFERROR(__xludf.DUMMYFUNCTION("""COMPUTED_VALUE"""),2.0)</f>
        <v>2</v>
      </c>
      <c r="J78" s="41">
        <f>IFERROR(__xludf.DUMMYFUNCTION("""COMPUTED_VALUE"""),9360.0)</f>
        <v>9360</v>
      </c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B79" s="37" t="str">
        <f>IFERROR(__xludf.DUMMYFUNCTION("""COMPUTED_VALUE"""),"TW")</f>
        <v>TW</v>
      </c>
      <c r="C79" s="37"/>
      <c r="D79" s="37"/>
      <c r="E79" s="37"/>
      <c r="F79" s="37" t="str">
        <f>IFERROR(__xludf.DUMMYFUNCTION("""COMPUTED_VALUE"""),"執行長室")</f>
        <v>執行長室</v>
      </c>
      <c r="G79" s="37" t="str">
        <f>IFERROR(__xludf.DUMMYFUNCTION("""COMPUTED_VALUE"""),"Salesforce Sales+Service Cloud")</f>
        <v>Salesforce Sales+Service Cloud</v>
      </c>
      <c r="H79" s="41">
        <f>IFERROR(__xludf.DUMMYFUNCTION("""COMPUTED_VALUE"""),4680.0)</f>
        <v>4680</v>
      </c>
      <c r="I79" s="37">
        <f>IFERROR(__xludf.DUMMYFUNCTION("""COMPUTED_VALUE"""),0.0)</f>
        <v>0</v>
      </c>
      <c r="J79" s="41">
        <f>IFERROR(__xludf.DUMMYFUNCTION("""COMPUTED_VALUE"""),0.0)</f>
        <v>0</v>
      </c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B80" s="37" t="str">
        <f>IFERROR(__xludf.DUMMYFUNCTION("""COMPUTED_VALUE"""),"TW")</f>
        <v>TW</v>
      </c>
      <c r="C80" s="37"/>
      <c r="D80" s="37"/>
      <c r="E80" s="37"/>
      <c r="F80" s="37" t="str">
        <f>IFERROR(__xludf.DUMMYFUNCTION("""COMPUTED_VALUE"""),"財務中心")</f>
        <v>財務中心</v>
      </c>
      <c r="G80" s="37" t="str">
        <f>IFERROR(__xludf.DUMMYFUNCTION("""COMPUTED_VALUE"""),"Salesforce Sales+Service Cloud")</f>
        <v>Salesforce Sales+Service Cloud</v>
      </c>
      <c r="H80" s="41">
        <f>IFERROR(__xludf.DUMMYFUNCTION("""COMPUTED_VALUE"""),4680.0)</f>
        <v>4680</v>
      </c>
      <c r="I80" s="37">
        <f>IFERROR(__xludf.DUMMYFUNCTION("""COMPUTED_VALUE"""),0.0)</f>
        <v>0</v>
      </c>
      <c r="J80" s="41">
        <f>IFERROR(__xludf.DUMMYFUNCTION("""COMPUTED_VALUE"""),0.0)</f>
        <v>0</v>
      </c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B81" s="37" t="str">
        <f>IFERROR(__xludf.DUMMYFUNCTION("""COMPUTED_VALUE"""),"QLR")</f>
        <v>QLR</v>
      </c>
      <c r="C81" s="37"/>
      <c r="D81" s="37"/>
      <c r="E81" s="37"/>
      <c r="F81" s="37" t="str">
        <f>IFERROR(__xludf.DUMMYFUNCTION("""COMPUTED_VALUE"""),"Qlieer")</f>
        <v>Qlieer</v>
      </c>
      <c r="G81" s="37" t="str">
        <f>IFERROR(__xludf.DUMMYFUNCTION("""COMPUTED_VALUE"""),"Salesforce Sales+Service Cloud")</f>
        <v>Salesforce Sales+Service Cloud</v>
      </c>
      <c r="H81" s="41">
        <f>IFERROR(__xludf.DUMMYFUNCTION("""COMPUTED_VALUE"""),4680.0)</f>
        <v>4680</v>
      </c>
      <c r="I81" s="37">
        <f>IFERROR(__xludf.DUMMYFUNCTION("""COMPUTED_VALUE"""),0.0)</f>
        <v>0</v>
      </c>
      <c r="J81" s="41">
        <f>IFERROR(__xludf.DUMMYFUNCTION("""COMPUTED_VALUE"""),0.0)</f>
        <v>0</v>
      </c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B82" s="37" t="str">
        <f>IFERROR(__xludf.DUMMYFUNCTION("""COMPUTED_VALUE"""),"TW")</f>
        <v>TW</v>
      </c>
      <c r="C82" s="37"/>
      <c r="D82" s="37"/>
      <c r="E82" s="37"/>
      <c r="F82" s="37" t="str">
        <f>IFERROR(__xludf.DUMMYFUNCTION("""COMPUTED_VALUE"""),"策略資料中心")</f>
        <v>策略資料中心</v>
      </c>
      <c r="G82" s="37" t="str">
        <f>IFERROR(__xludf.DUMMYFUNCTION("""COMPUTED_VALUE"""),"Salesforce Sales+Service Cloud")</f>
        <v>Salesforce Sales+Service Cloud</v>
      </c>
      <c r="H82" s="41">
        <f>IFERROR(__xludf.DUMMYFUNCTION("""COMPUTED_VALUE"""),4680.0)</f>
        <v>4680</v>
      </c>
      <c r="I82" s="37">
        <f>IFERROR(__xludf.DUMMYFUNCTION("""COMPUTED_VALUE"""),0.0)</f>
        <v>0</v>
      </c>
      <c r="J82" s="41">
        <f>IFERROR(__xludf.DUMMYFUNCTION("""COMPUTED_VALUE"""),0.0)</f>
        <v>0</v>
      </c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B83" s="37" t="str">
        <f>IFERROR(__xludf.DUMMYFUNCTION("""COMPUTED_VALUE"""),"HK")</f>
        <v>HK</v>
      </c>
      <c r="C83" s="37"/>
      <c r="D83" s="37"/>
      <c r="E83" s="37"/>
      <c r="F83" s="37" t="str">
        <f>IFERROR(__xludf.DUMMYFUNCTION("""COMPUTED_VALUE"""),"海外執行長室")</f>
        <v>海外執行長室</v>
      </c>
      <c r="G83" s="37" t="str">
        <f>IFERROR(__xludf.DUMMYFUNCTION("""COMPUTED_VALUE"""),"Salesforce Sales+Service Cloud")</f>
        <v>Salesforce Sales+Service Cloud</v>
      </c>
      <c r="H83" s="41">
        <f>IFERROR(__xludf.DUMMYFUNCTION("""COMPUTED_VALUE"""),4680.0)</f>
        <v>4680</v>
      </c>
      <c r="I83" s="37">
        <f>IFERROR(__xludf.DUMMYFUNCTION("""COMPUTED_VALUE"""),0.0)</f>
        <v>0</v>
      </c>
      <c r="J83" s="41">
        <f>IFERROR(__xludf.DUMMYFUNCTION("""COMPUTED_VALUE"""),0.0)</f>
        <v>0</v>
      </c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B84" s="37" t="str">
        <f>IFERROR(__xludf.DUMMYFUNCTION("""COMPUTED_VALUE"""),"TW")</f>
        <v>TW</v>
      </c>
      <c r="C84" s="37"/>
      <c r="D84" s="37"/>
      <c r="E84" s="37"/>
      <c r="F84" s="37" t="str">
        <f>IFERROR(__xludf.DUMMYFUNCTION("""COMPUTED_VALUE"""),"行銷營運中心")</f>
        <v>行銷營運中心</v>
      </c>
      <c r="G84" s="37" t="str">
        <f>IFERROR(__xludf.DUMMYFUNCTION("""COMPUTED_VALUE"""),"點點簽")</f>
        <v>點點簽</v>
      </c>
      <c r="H84" s="41">
        <f>IFERROR(__xludf.DUMMYFUNCTION("""COMPUTED_VALUE"""),450.0)</f>
        <v>450</v>
      </c>
      <c r="I84" s="37">
        <f>IFERROR(__xludf.DUMMYFUNCTION("""COMPUTED_VALUE"""),3.0)</f>
        <v>3</v>
      </c>
      <c r="J84" s="41">
        <f>IFERROR(__xludf.DUMMYFUNCTION("""COMPUTED_VALUE"""),1350.0)</f>
        <v>1350</v>
      </c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B85" s="37" t="str">
        <f>IFERROR(__xludf.DUMMYFUNCTION("""COMPUTED_VALUE"""),"TW")</f>
        <v>TW</v>
      </c>
      <c r="C85" s="37"/>
      <c r="D85" s="37"/>
      <c r="E85" s="37"/>
      <c r="F85" s="37" t="str">
        <f>IFERROR(__xludf.DUMMYFUNCTION("""COMPUTED_VALUE"""),"研發中心")</f>
        <v>研發中心</v>
      </c>
      <c r="G85" s="37" t="str">
        <f>IFERROR(__xludf.DUMMYFUNCTION("""COMPUTED_VALUE"""),"點點簽")</f>
        <v>點點簽</v>
      </c>
      <c r="H85" s="41">
        <f>IFERROR(__xludf.DUMMYFUNCTION("""COMPUTED_VALUE"""),450.0)</f>
        <v>450</v>
      </c>
      <c r="I85" s="37">
        <f>IFERROR(__xludf.DUMMYFUNCTION("""COMPUTED_VALUE"""),0.0)</f>
        <v>0</v>
      </c>
      <c r="J85" s="41">
        <f>IFERROR(__xludf.DUMMYFUNCTION("""COMPUTED_VALUE"""),0.0)</f>
        <v>0</v>
      </c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B86" s="37" t="str">
        <f>IFERROR(__xludf.DUMMYFUNCTION("""COMPUTED_VALUE"""),"TW")</f>
        <v>TW</v>
      </c>
      <c r="C86" s="37"/>
      <c r="D86" s="37"/>
      <c r="E86" s="37"/>
      <c r="F86" s="37" t="str">
        <f>IFERROR(__xludf.DUMMYFUNCTION("""COMPUTED_VALUE"""),"客戶價值中心")</f>
        <v>客戶價值中心</v>
      </c>
      <c r="G86" s="37" t="str">
        <f>IFERROR(__xludf.DUMMYFUNCTION("""COMPUTED_VALUE"""),"點點簽")</f>
        <v>點點簽</v>
      </c>
      <c r="H86" s="41">
        <f>IFERROR(__xludf.DUMMYFUNCTION("""COMPUTED_VALUE"""),450.0)</f>
        <v>450</v>
      </c>
      <c r="I86" s="37">
        <f>IFERROR(__xludf.DUMMYFUNCTION("""COMPUTED_VALUE"""),1.0)</f>
        <v>1</v>
      </c>
      <c r="J86" s="41">
        <f>IFERROR(__xludf.DUMMYFUNCTION("""COMPUTED_VALUE"""),450.0)</f>
        <v>450</v>
      </c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B87" s="37" t="str">
        <f>IFERROR(__xludf.DUMMYFUNCTION("""COMPUTED_VALUE"""),"TW")</f>
        <v>TW</v>
      </c>
      <c r="C87" s="37"/>
      <c r="D87" s="37"/>
      <c r="E87" s="37"/>
      <c r="F87" s="37" t="str">
        <f>IFERROR(__xludf.DUMMYFUNCTION("""COMPUTED_VALUE"""),"管理中心")</f>
        <v>管理中心</v>
      </c>
      <c r="G87" s="37" t="str">
        <f>IFERROR(__xludf.DUMMYFUNCTION("""COMPUTED_VALUE"""),"點點簽")</f>
        <v>點點簽</v>
      </c>
      <c r="H87" s="41">
        <f>IFERROR(__xludf.DUMMYFUNCTION("""COMPUTED_VALUE"""),450.0)</f>
        <v>450</v>
      </c>
      <c r="I87" s="37">
        <f>IFERROR(__xludf.DUMMYFUNCTION("""COMPUTED_VALUE"""),2.0)</f>
        <v>2</v>
      </c>
      <c r="J87" s="41">
        <f>IFERROR(__xludf.DUMMYFUNCTION("""COMPUTED_VALUE"""),900.0)</f>
        <v>900</v>
      </c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B88" s="37" t="str">
        <f>IFERROR(__xludf.DUMMYFUNCTION("""COMPUTED_VALUE"""),"TW")</f>
        <v>TW</v>
      </c>
      <c r="C88" s="37"/>
      <c r="D88" s="37"/>
      <c r="E88" s="37"/>
      <c r="F88" s="37" t="str">
        <f>IFERROR(__xludf.DUMMYFUNCTION("""COMPUTED_VALUE"""),"執行長室")</f>
        <v>執行長室</v>
      </c>
      <c r="G88" s="37" t="str">
        <f>IFERROR(__xludf.DUMMYFUNCTION("""COMPUTED_VALUE"""),"點點簽")</f>
        <v>點點簽</v>
      </c>
      <c r="H88" s="41">
        <f>IFERROR(__xludf.DUMMYFUNCTION("""COMPUTED_VALUE"""),450.0)</f>
        <v>450</v>
      </c>
      <c r="I88" s="37">
        <f>IFERROR(__xludf.DUMMYFUNCTION("""COMPUTED_VALUE"""),0.0)</f>
        <v>0</v>
      </c>
      <c r="J88" s="41">
        <f>IFERROR(__xludf.DUMMYFUNCTION("""COMPUTED_VALUE"""),0.0)</f>
        <v>0</v>
      </c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B89" s="37" t="str">
        <f>IFERROR(__xludf.DUMMYFUNCTION("""COMPUTED_VALUE"""),"TW")</f>
        <v>TW</v>
      </c>
      <c r="C89" s="37"/>
      <c r="D89" s="37"/>
      <c r="E89" s="37"/>
      <c r="F89" s="37" t="str">
        <f>IFERROR(__xludf.DUMMYFUNCTION("""COMPUTED_VALUE"""),"財務中心")</f>
        <v>財務中心</v>
      </c>
      <c r="G89" s="37" t="str">
        <f>IFERROR(__xludf.DUMMYFUNCTION("""COMPUTED_VALUE"""),"點點簽")</f>
        <v>點點簽</v>
      </c>
      <c r="H89" s="41">
        <f>IFERROR(__xludf.DUMMYFUNCTION("""COMPUTED_VALUE"""),450.0)</f>
        <v>450</v>
      </c>
      <c r="I89" s="37">
        <f>IFERROR(__xludf.DUMMYFUNCTION("""COMPUTED_VALUE"""),0.0)</f>
        <v>0</v>
      </c>
      <c r="J89" s="41">
        <f>IFERROR(__xludf.DUMMYFUNCTION("""COMPUTED_VALUE"""),0.0)</f>
        <v>0</v>
      </c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B90" s="37" t="str">
        <f>IFERROR(__xludf.DUMMYFUNCTION("""COMPUTED_VALUE"""),"QLR")</f>
        <v>QLR</v>
      </c>
      <c r="C90" s="37"/>
      <c r="D90" s="37"/>
      <c r="E90" s="37"/>
      <c r="F90" s="37" t="str">
        <f>IFERROR(__xludf.DUMMYFUNCTION("""COMPUTED_VALUE"""),"Qlieer")</f>
        <v>Qlieer</v>
      </c>
      <c r="G90" s="37" t="str">
        <f>IFERROR(__xludf.DUMMYFUNCTION("""COMPUTED_VALUE"""),"點點簽")</f>
        <v>點點簽</v>
      </c>
      <c r="H90" s="41">
        <f>IFERROR(__xludf.DUMMYFUNCTION("""COMPUTED_VALUE"""),450.0)</f>
        <v>450</v>
      </c>
      <c r="I90" s="37">
        <f>IFERROR(__xludf.DUMMYFUNCTION("""COMPUTED_VALUE"""),0.0)</f>
        <v>0</v>
      </c>
      <c r="J90" s="41">
        <f>IFERROR(__xludf.DUMMYFUNCTION("""COMPUTED_VALUE"""),0.0)</f>
        <v>0</v>
      </c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B91" s="37" t="str">
        <f>IFERROR(__xludf.DUMMYFUNCTION("""COMPUTED_VALUE"""),"TW")</f>
        <v>TW</v>
      </c>
      <c r="C91" s="37"/>
      <c r="D91" s="37"/>
      <c r="E91" s="37"/>
      <c r="F91" s="37" t="str">
        <f>IFERROR(__xludf.DUMMYFUNCTION("""COMPUTED_VALUE"""),"策略資料中心")</f>
        <v>策略資料中心</v>
      </c>
      <c r="G91" s="37" t="str">
        <f>IFERROR(__xludf.DUMMYFUNCTION("""COMPUTED_VALUE"""),"點點簽")</f>
        <v>點點簽</v>
      </c>
      <c r="H91" s="41">
        <f>IFERROR(__xludf.DUMMYFUNCTION("""COMPUTED_VALUE"""),450.0)</f>
        <v>450</v>
      </c>
      <c r="I91" s="37">
        <f>IFERROR(__xludf.DUMMYFUNCTION("""COMPUTED_VALUE"""),0.0)</f>
        <v>0</v>
      </c>
      <c r="J91" s="41">
        <f>IFERROR(__xludf.DUMMYFUNCTION("""COMPUTED_VALUE"""),0.0)</f>
        <v>0</v>
      </c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B92" s="37" t="str">
        <f>IFERROR(__xludf.DUMMYFUNCTION("""COMPUTED_VALUE"""),"HK")</f>
        <v>HK</v>
      </c>
      <c r="C92" s="37"/>
      <c r="D92" s="37"/>
      <c r="E92" s="37"/>
      <c r="F92" s="37" t="str">
        <f>IFERROR(__xludf.DUMMYFUNCTION("""COMPUTED_VALUE"""),"海外執行長室")</f>
        <v>海外執行長室</v>
      </c>
      <c r="G92" s="37" t="str">
        <f>IFERROR(__xludf.DUMMYFUNCTION("""COMPUTED_VALUE"""),"點點簽")</f>
        <v>點點簽</v>
      </c>
      <c r="H92" s="41">
        <f>IFERROR(__xludf.DUMMYFUNCTION("""COMPUTED_VALUE"""),450.0)</f>
        <v>450</v>
      </c>
      <c r="I92" s="37">
        <f>IFERROR(__xludf.DUMMYFUNCTION("""COMPUTED_VALUE"""),0.0)</f>
        <v>0</v>
      </c>
      <c r="J92" s="41">
        <f>IFERROR(__xludf.DUMMYFUNCTION("""COMPUTED_VALUE"""),0.0)</f>
        <v>0</v>
      </c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B93" s="37" t="str">
        <f>IFERROR(__xludf.DUMMYFUNCTION("""COMPUTED_VALUE"""),"TW")</f>
        <v>TW</v>
      </c>
      <c r="C93" s="37"/>
      <c r="D93" s="37"/>
      <c r="E93" s="37"/>
      <c r="F93" s="37" t="str">
        <f>IFERROR(__xludf.DUMMYFUNCTION("""COMPUTED_VALUE"""),"行銷營運中心")</f>
        <v>行銷營運中心</v>
      </c>
      <c r="G93" s="37" t="str">
        <f>IFERROR(__xludf.DUMMYFUNCTION("""COMPUTED_VALUE"""),"JAMF ")</f>
        <v>JAMF </v>
      </c>
      <c r="H93" s="41">
        <f>IFERROR(__xludf.DUMMYFUNCTION("""COMPUTED_VALUE"""),300.0)</f>
        <v>300</v>
      </c>
      <c r="I93" s="37"/>
      <c r="J93" s="41">
        <f>IFERROR(__xludf.DUMMYFUNCTION("""COMPUTED_VALUE"""),0.0)</f>
        <v>0</v>
      </c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B94" s="37" t="str">
        <f>IFERROR(__xludf.DUMMYFUNCTION("""COMPUTED_VALUE"""),"TW")</f>
        <v>TW</v>
      </c>
      <c r="C94" s="37"/>
      <c r="D94" s="37"/>
      <c r="E94" s="37"/>
      <c r="F94" s="37" t="str">
        <f>IFERROR(__xludf.DUMMYFUNCTION("""COMPUTED_VALUE"""),"研發中心")</f>
        <v>研發中心</v>
      </c>
      <c r="G94" s="37" t="str">
        <f>IFERROR(__xludf.DUMMYFUNCTION("""COMPUTED_VALUE"""),"JAMF ")</f>
        <v>JAMF </v>
      </c>
      <c r="H94" s="41">
        <f>IFERROR(__xludf.DUMMYFUNCTION("""COMPUTED_VALUE"""),300.0)</f>
        <v>300</v>
      </c>
      <c r="I94" s="37"/>
      <c r="J94" s="41">
        <f>IFERROR(__xludf.DUMMYFUNCTION("""COMPUTED_VALUE"""),0.0)</f>
        <v>0</v>
      </c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B95" s="37" t="str">
        <f>IFERROR(__xludf.DUMMYFUNCTION("""COMPUTED_VALUE"""),"TW")</f>
        <v>TW</v>
      </c>
      <c r="C95" s="37"/>
      <c r="D95" s="37"/>
      <c r="E95" s="37"/>
      <c r="F95" s="37" t="str">
        <f>IFERROR(__xludf.DUMMYFUNCTION("""COMPUTED_VALUE"""),"客戶價值中心")</f>
        <v>客戶價值中心</v>
      </c>
      <c r="G95" s="37" t="str">
        <f>IFERROR(__xludf.DUMMYFUNCTION("""COMPUTED_VALUE"""),"JAMF ")</f>
        <v>JAMF </v>
      </c>
      <c r="H95" s="41">
        <f>IFERROR(__xludf.DUMMYFUNCTION("""COMPUTED_VALUE"""),300.0)</f>
        <v>300</v>
      </c>
      <c r="I95" s="37"/>
      <c r="J95" s="41">
        <f>IFERROR(__xludf.DUMMYFUNCTION("""COMPUTED_VALUE"""),0.0)</f>
        <v>0</v>
      </c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B96" s="37" t="str">
        <f>IFERROR(__xludf.DUMMYFUNCTION("""COMPUTED_VALUE"""),"TW")</f>
        <v>TW</v>
      </c>
      <c r="C96" s="37"/>
      <c r="D96" s="37"/>
      <c r="E96" s="37"/>
      <c r="F96" s="37" t="str">
        <f>IFERROR(__xludf.DUMMYFUNCTION("""COMPUTED_VALUE"""),"管理中心")</f>
        <v>管理中心</v>
      </c>
      <c r="G96" s="37" t="str">
        <f>IFERROR(__xludf.DUMMYFUNCTION("""COMPUTED_VALUE"""),"JAMF ")</f>
        <v>JAMF </v>
      </c>
      <c r="H96" s="41">
        <f>IFERROR(__xludf.DUMMYFUNCTION("""COMPUTED_VALUE"""),300.0)</f>
        <v>300</v>
      </c>
      <c r="I96" s="37"/>
      <c r="J96" s="41">
        <f>IFERROR(__xludf.DUMMYFUNCTION("""COMPUTED_VALUE"""),0.0)</f>
        <v>0</v>
      </c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B97" s="37" t="str">
        <f>IFERROR(__xludf.DUMMYFUNCTION("""COMPUTED_VALUE"""),"TW")</f>
        <v>TW</v>
      </c>
      <c r="C97" s="37"/>
      <c r="D97" s="37"/>
      <c r="E97" s="37"/>
      <c r="F97" s="37" t="str">
        <f>IFERROR(__xludf.DUMMYFUNCTION("""COMPUTED_VALUE"""),"執行長室")</f>
        <v>執行長室</v>
      </c>
      <c r="G97" s="37" t="str">
        <f>IFERROR(__xludf.DUMMYFUNCTION("""COMPUTED_VALUE"""),"JAMF ")</f>
        <v>JAMF </v>
      </c>
      <c r="H97" s="41">
        <f>IFERROR(__xludf.DUMMYFUNCTION("""COMPUTED_VALUE"""),300.0)</f>
        <v>300</v>
      </c>
      <c r="I97" s="37"/>
      <c r="J97" s="41">
        <f>IFERROR(__xludf.DUMMYFUNCTION("""COMPUTED_VALUE"""),0.0)</f>
        <v>0</v>
      </c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B98" s="37" t="str">
        <f>IFERROR(__xludf.DUMMYFUNCTION("""COMPUTED_VALUE"""),"TW")</f>
        <v>TW</v>
      </c>
      <c r="C98" s="37"/>
      <c r="D98" s="37"/>
      <c r="E98" s="37"/>
      <c r="F98" s="37" t="str">
        <f>IFERROR(__xludf.DUMMYFUNCTION("""COMPUTED_VALUE"""),"財務中心")</f>
        <v>財務中心</v>
      </c>
      <c r="G98" s="37" t="str">
        <f>IFERROR(__xludf.DUMMYFUNCTION("""COMPUTED_VALUE"""),"JAMF ")</f>
        <v>JAMF </v>
      </c>
      <c r="H98" s="41">
        <f>IFERROR(__xludf.DUMMYFUNCTION("""COMPUTED_VALUE"""),300.0)</f>
        <v>300</v>
      </c>
      <c r="I98" s="37"/>
      <c r="J98" s="41">
        <f>IFERROR(__xludf.DUMMYFUNCTION("""COMPUTED_VALUE"""),0.0)</f>
        <v>0</v>
      </c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B99" s="37" t="str">
        <f>IFERROR(__xludf.DUMMYFUNCTION("""COMPUTED_VALUE"""),"QLR")</f>
        <v>QLR</v>
      </c>
      <c r="C99" s="37"/>
      <c r="D99" s="37"/>
      <c r="E99" s="37"/>
      <c r="F99" s="37" t="str">
        <f>IFERROR(__xludf.DUMMYFUNCTION("""COMPUTED_VALUE"""),"Qlieer")</f>
        <v>Qlieer</v>
      </c>
      <c r="G99" s="37" t="str">
        <f>IFERROR(__xludf.DUMMYFUNCTION("""COMPUTED_VALUE"""),"JAMF ")</f>
        <v>JAMF </v>
      </c>
      <c r="H99" s="41">
        <f>IFERROR(__xludf.DUMMYFUNCTION("""COMPUTED_VALUE"""),300.0)</f>
        <v>300</v>
      </c>
      <c r="I99" s="37"/>
      <c r="J99" s="41">
        <f>IFERROR(__xludf.DUMMYFUNCTION("""COMPUTED_VALUE"""),0.0)</f>
        <v>0</v>
      </c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B100" s="37" t="str">
        <f>IFERROR(__xludf.DUMMYFUNCTION("""COMPUTED_VALUE"""),"TW")</f>
        <v>TW</v>
      </c>
      <c r="C100" s="37"/>
      <c r="D100" s="37"/>
      <c r="E100" s="37"/>
      <c r="F100" s="37" t="str">
        <f>IFERROR(__xludf.DUMMYFUNCTION("""COMPUTED_VALUE"""),"策略資料中心")</f>
        <v>策略資料中心</v>
      </c>
      <c r="G100" s="37" t="str">
        <f>IFERROR(__xludf.DUMMYFUNCTION("""COMPUTED_VALUE"""),"JAMF ")</f>
        <v>JAMF </v>
      </c>
      <c r="H100" s="41">
        <f>IFERROR(__xludf.DUMMYFUNCTION("""COMPUTED_VALUE"""),300.0)</f>
        <v>300</v>
      </c>
      <c r="I100" s="37"/>
      <c r="J100" s="41">
        <f>IFERROR(__xludf.DUMMYFUNCTION("""COMPUTED_VALUE"""),0.0)</f>
        <v>0</v>
      </c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B101" s="37" t="str">
        <f>IFERROR(__xludf.DUMMYFUNCTION("""COMPUTED_VALUE"""),"HK")</f>
        <v>HK</v>
      </c>
      <c r="C101" s="37"/>
      <c r="D101" s="37"/>
      <c r="E101" s="37"/>
      <c r="F101" s="37" t="str">
        <f>IFERROR(__xludf.DUMMYFUNCTION("""COMPUTED_VALUE"""),"海外執行長室")</f>
        <v>海外執行長室</v>
      </c>
      <c r="G101" s="37" t="str">
        <f>IFERROR(__xludf.DUMMYFUNCTION("""COMPUTED_VALUE"""),"JAMF ")</f>
        <v>JAMF </v>
      </c>
      <c r="H101" s="41">
        <f>IFERROR(__xludf.DUMMYFUNCTION("""COMPUTED_VALUE"""),300.0)</f>
        <v>300</v>
      </c>
      <c r="I101" s="37"/>
      <c r="J101" s="41">
        <f>IFERROR(__xludf.DUMMYFUNCTION("""COMPUTED_VALUE"""),0.0)</f>
        <v>0</v>
      </c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</cols>
  <sheetData>
    <row r="1">
      <c r="B1" s="37" t="str">
        <f>IFERROR(__xludf.DUMMYFUNCTION("IMPORTRANGE(""https://docs.google.com/spreadsheets/d/1cg3_Ki8lTqFvPzESMZ9gT2Ca86Cm7f89AKRurSr-zVk/edit?gid=0#gid=0"",""2026 各中心共通帳號費用!A1:z"")"),"子公司")</f>
        <v>子公司</v>
      </c>
      <c r="C1" s="37" t="str">
        <f>IFERROR(__xludf.DUMMYFUNCTION("""COMPUTED_VALUE"""),"事業單位")</f>
        <v>事業單位</v>
      </c>
      <c r="D1" s="37" t="str">
        <f>IFERROR(__xludf.DUMMYFUNCTION("""COMPUTED_VALUE"""),"Si 編號")</f>
        <v>Si 編號</v>
      </c>
      <c r="E1" s="37" t="str">
        <f>IFERROR(__xludf.DUMMYFUNCTION("""COMPUTED_VALUE"""),"TA 編號")</f>
        <v>TA 編號</v>
      </c>
      <c r="F1" s="37" t="str">
        <f>IFERROR(__xludf.DUMMYFUNCTION("""COMPUTED_VALUE"""),"費用單位 (Netsuite Department)")</f>
        <v>費用單位 (Netsuite Department)</v>
      </c>
      <c r="G1" s="37" t="str">
        <f>IFERROR(__xludf.DUMMYFUNCTION("""COMPUTED_VALUE"""),"費用項目")</f>
        <v>費用項目</v>
      </c>
      <c r="H1" s="37" t="str">
        <f>IFERROR(__xludf.DUMMYFUNCTION("""COMPUTED_VALUE"""),"單價")</f>
        <v>單價</v>
      </c>
      <c r="I1" s="37" t="str">
        <f>IFERROR(__xludf.DUMMYFUNCTION("""COMPUTED_VALUE"""),"現有帳號數量")</f>
        <v>現有帳號數量</v>
      </c>
      <c r="J1" s="37" t="str">
        <f>IFERROR(__xludf.DUMMYFUNCTION("""COMPUTED_VALUE"""),"現有每月費用")</f>
        <v>現有每月費用</v>
      </c>
      <c r="K1" s="37" t="str">
        <f>IFERROR(__xludf.DUMMYFUNCTION("""COMPUTED_VALUE"""),"預計新人帳號數量")</f>
        <v>預計新人帳號數量</v>
      </c>
      <c r="L1" s="37" t="str">
        <f>IFERROR(__xludf.DUMMYFUNCTION("""COMPUTED_VALUE"""),"預計新人費用")</f>
        <v>預計新人費用</v>
      </c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B2" s="37" t="str">
        <f>IFERROR(__xludf.DUMMYFUNCTION("""COMPUTED_VALUE"""),"歸屬子公司，例如:TW、QLR")</f>
        <v>歸屬子公司，例如:TW、QLR</v>
      </c>
      <c r="C2" s="37" t="str">
        <f>IFERROR(__xludf.DUMMYFUNCTION("""COMPUTED_VALUE"""),"不需填寫")</f>
        <v>不需填寫</v>
      </c>
      <c r="D2" s="37" t="str">
        <f>IFERROR(__xludf.DUMMYFUNCTION("""COMPUTED_VALUE"""),"不需填寫")</f>
        <v>不需填寫</v>
      </c>
      <c r="E2" s="37" t="str">
        <f>IFERROR(__xludf.DUMMYFUNCTION("""COMPUTED_VALUE"""),"不需填寫")</f>
        <v>不需填寫</v>
      </c>
      <c r="F2" s="37" t="str">
        <f>IFERROR(__xludf.DUMMYFUNCTION("""COMPUTED_VALUE"""),"需按中心/部門/團隊規格，例如：行銷營運中心:銷售營運部:導入教練團隊")</f>
        <v>需按中心/部門/團隊規格，例如：行銷營運中心:銷售營運部:導入教練團隊</v>
      </c>
      <c r="G2" s="37" t="str">
        <f>IFERROR(__xludf.DUMMYFUNCTION("""COMPUTED_VALUE"""),"請填寫工具名稱與品項，例如：Tableau Viewer 帳號")</f>
        <v>請填寫工具名稱與品項，例如：Tableau Viewer 帳號</v>
      </c>
      <c r="H2" s="37" t="str">
        <f>IFERROR(__xludf.DUMMYFUNCTION("""COMPUTED_VALUE"""),"填品項金額，例如 300")</f>
        <v>填品項金額，例如 300</v>
      </c>
      <c r="I2" s="37" t="str">
        <f>IFERROR(__xludf.DUMMYFUNCTION("""COMPUTED_VALUE"""),"填寫現有員工帳號數，例如：3")</f>
        <v>填寫現有員工帳號數，例如：3</v>
      </c>
      <c r="J2" s="37" t="str">
        <f>IFERROR(__xludf.DUMMYFUNCTION("""COMPUTED_VALUE"""),"公式：單價 x 現有帳號數量")</f>
        <v>公式：單價 x 現有帳號數量</v>
      </c>
      <c r="K2" s="37" t="str">
        <f>IFERROR(__xludf.DUMMYFUNCTION("""COMPUTED_VALUE"""),"填寫新員工帳號數，例如：3")</f>
        <v>填寫新員工帳號數，例如：3</v>
      </c>
      <c r="L2" s="37" t="str">
        <f>IFERROR(__xludf.DUMMYFUNCTION("""COMPUTED_VALUE"""),"公式：單價 x 預計新人帳號數量")</f>
        <v>公式：單價 x 預計新人帳號數量</v>
      </c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B3" s="37" t="str">
        <f>IFERROR(__xludf.DUMMYFUNCTION("""COMPUTED_VALUE"""),"TW")</f>
        <v>TW</v>
      </c>
      <c r="C3" s="37"/>
      <c r="D3" s="37"/>
      <c r="E3" s="37"/>
      <c r="F3" s="37" t="str">
        <f>IFERROR(__xludf.DUMMYFUNCTION("""COMPUTED_VALUE"""),"行銷營運中心")</f>
        <v>行銷營運中心</v>
      </c>
      <c r="G3" s="37" t="str">
        <f>IFERROR(__xludf.DUMMYFUNCTION("""COMPUTED_VALUE"""),"GWS")</f>
        <v>GWS</v>
      </c>
      <c r="H3" s="39">
        <f>IFERROR(__xludf.DUMMYFUNCTION("""COMPUTED_VALUE"""),412.0)</f>
        <v>412</v>
      </c>
      <c r="I3" s="37">
        <f>IFERROR(__xludf.DUMMYFUNCTION("""COMPUTED_VALUE"""),56.0)</f>
        <v>56</v>
      </c>
      <c r="J3" s="37">
        <f>IFERROR(__xludf.DUMMYFUNCTION("""COMPUTED_VALUE"""),23072.0)</f>
        <v>23072</v>
      </c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B4" s="37" t="str">
        <f>IFERROR(__xludf.DUMMYFUNCTION("""COMPUTED_VALUE"""),"TW")</f>
        <v>TW</v>
      </c>
      <c r="C4" s="37"/>
      <c r="D4" s="37"/>
      <c r="E4" s="37"/>
      <c r="F4" s="37" t="str">
        <f>IFERROR(__xludf.DUMMYFUNCTION("""COMPUTED_VALUE"""),"研發中心")</f>
        <v>研發中心</v>
      </c>
      <c r="G4" s="37" t="str">
        <f>IFERROR(__xludf.DUMMYFUNCTION("""COMPUTED_VALUE"""),"GWS")</f>
        <v>GWS</v>
      </c>
      <c r="H4" s="39">
        <f>IFERROR(__xludf.DUMMYFUNCTION("""COMPUTED_VALUE"""),412.0)</f>
        <v>412</v>
      </c>
      <c r="I4" s="37">
        <f>IFERROR(__xludf.DUMMYFUNCTION("""COMPUTED_VALUE"""),54.0)</f>
        <v>54</v>
      </c>
      <c r="J4" s="37">
        <f>IFERROR(__xludf.DUMMYFUNCTION("""COMPUTED_VALUE"""),22248.0)</f>
        <v>22248</v>
      </c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B5" s="37" t="str">
        <f>IFERROR(__xludf.DUMMYFUNCTION("""COMPUTED_VALUE"""),"TW")</f>
        <v>TW</v>
      </c>
      <c r="C5" s="37"/>
      <c r="D5" s="37"/>
      <c r="E5" s="37"/>
      <c r="F5" s="37" t="str">
        <f>IFERROR(__xludf.DUMMYFUNCTION("""COMPUTED_VALUE"""),"客戶價值中心")</f>
        <v>客戶價值中心</v>
      </c>
      <c r="G5" s="37" t="str">
        <f>IFERROR(__xludf.DUMMYFUNCTION("""COMPUTED_VALUE"""),"GWS")</f>
        <v>GWS</v>
      </c>
      <c r="H5" s="39">
        <f>IFERROR(__xludf.DUMMYFUNCTION("""COMPUTED_VALUE"""),412.0)</f>
        <v>412</v>
      </c>
      <c r="I5" s="37">
        <f>IFERROR(__xludf.DUMMYFUNCTION("""COMPUTED_VALUE"""),33.0)</f>
        <v>33</v>
      </c>
      <c r="J5" s="37">
        <f>IFERROR(__xludf.DUMMYFUNCTION("""COMPUTED_VALUE"""),13596.0)</f>
        <v>13596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B6" s="37" t="str">
        <f>IFERROR(__xludf.DUMMYFUNCTION("""COMPUTED_VALUE"""),"TW")</f>
        <v>TW</v>
      </c>
      <c r="C6" s="37"/>
      <c r="D6" s="37"/>
      <c r="E6" s="37"/>
      <c r="F6" s="37" t="str">
        <f>IFERROR(__xludf.DUMMYFUNCTION("""COMPUTED_VALUE"""),"管理中心")</f>
        <v>管理中心</v>
      </c>
      <c r="G6" s="37" t="str">
        <f>IFERROR(__xludf.DUMMYFUNCTION("""COMPUTED_VALUE"""),"GWS")</f>
        <v>GWS</v>
      </c>
      <c r="H6" s="39">
        <f>IFERROR(__xludf.DUMMYFUNCTION("""COMPUTED_VALUE"""),412.0)</f>
        <v>412</v>
      </c>
      <c r="I6" s="37">
        <f>IFERROR(__xludf.DUMMYFUNCTION("""COMPUTED_VALUE"""),14.0)</f>
        <v>14</v>
      </c>
      <c r="J6" s="37">
        <f>IFERROR(__xludf.DUMMYFUNCTION("""COMPUTED_VALUE"""),5768.0)</f>
        <v>5768</v>
      </c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B7" s="37" t="str">
        <f>IFERROR(__xludf.DUMMYFUNCTION("""COMPUTED_VALUE"""),"TW")</f>
        <v>TW</v>
      </c>
      <c r="C7" s="37"/>
      <c r="D7" s="37"/>
      <c r="E7" s="37"/>
      <c r="F7" s="37" t="str">
        <f>IFERROR(__xludf.DUMMYFUNCTION("""COMPUTED_VALUE"""),"執行長室")</f>
        <v>執行長室</v>
      </c>
      <c r="G7" s="37" t="str">
        <f>IFERROR(__xludf.DUMMYFUNCTION("""COMPUTED_VALUE"""),"GWS")</f>
        <v>GWS</v>
      </c>
      <c r="H7" s="39">
        <f>IFERROR(__xludf.DUMMYFUNCTION("""COMPUTED_VALUE"""),412.0)</f>
        <v>412</v>
      </c>
      <c r="I7" s="37">
        <f>IFERROR(__xludf.DUMMYFUNCTION("""COMPUTED_VALUE"""),4.0)</f>
        <v>4</v>
      </c>
      <c r="J7" s="37">
        <f>IFERROR(__xludf.DUMMYFUNCTION("""COMPUTED_VALUE"""),1648.0)</f>
        <v>1648</v>
      </c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B8" s="37" t="str">
        <f>IFERROR(__xludf.DUMMYFUNCTION("""COMPUTED_VALUE"""),"TW")</f>
        <v>TW</v>
      </c>
      <c r="C8" s="37"/>
      <c r="D8" s="37"/>
      <c r="E8" s="37"/>
      <c r="F8" s="37" t="str">
        <f>IFERROR(__xludf.DUMMYFUNCTION("""COMPUTED_VALUE"""),"財務中心")</f>
        <v>財務中心</v>
      </c>
      <c r="G8" s="37" t="str">
        <f>IFERROR(__xludf.DUMMYFUNCTION("""COMPUTED_VALUE"""),"GWS")</f>
        <v>GWS</v>
      </c>
      <c r="H8" s="39">
        <f>IFERROR(__xludf.DUMMYFUNCTION("""COMPUTED_VALUE"""),412.0)</f>
        <v>412</v>
      </c>
      <c r="I8" s="37">
        <f>IFERROR(__xludf.DUMMYFUNCTION("""COMPUTED_VALUE"""),6.0)</f>
        <v>6</v>
      </c>
      <c r="J8" s="37">
        <f>IFERROR(__xludf.DUMMYFUNCTION("""COMPUTED_VALUE"""),2472.0)</f>
        <v>2472</v>
      </c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B9" s="37" t="str">
        <f>IFERROR(__xludf.DUMMYFUNCTION("""COMPUTED_VALUE"""),"QLR")</f>
        <v>QLR</v>
      </c>
      <c r="C9" s="37"/>
      <c r="D9" s="37"/>
      <c r="E9" s="37"/>
      <c r="F9" s="37" t="str">
        <f>IFERROR(__xludf.DUMMYFUNCTION("""COMPUTED_VALUE"""),"Qlieer")</f>
        <v>Qlieer</v>
      </c>
      <c r="G9" s="37" t="str">
        <f>IFERROR(__xludf.DUMMYFUNCTION("""COMPUTED_VALUE"""),"GWS")</f>
        <v>GWS</v>
      </c>
      <c r="H9" s="39">
        <f>IFERROR(__xludf.DUMMYFUNCTION("""COMPUTED_VALUE"""),412.0)</f>
        <v>412</v>
      </c>
      <c r="I9" s="37">
        <f>IFERROR(__xludf.DUMMYFUNCTION("""COMPUTED_VALUE"""),0.0)</f>
        <v>0</v>
      </c>
      <c r="J9" s="37">
        <f>IFERROR(__xludf.DUMMYFUNCTION("""COMPUTED_VALUE"""),0.0)</f>
        <v>0</v>
      </c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B10" s="37" t="str">
        <f>IFERROR(__xludf.DUMMYFUNCTION("""COMPUTED_VALUE"""),"TW")</f>
        <v>TW</v>
      </c>
      <c r="C10" s="37"/>
      <c r="D10" s="37"/>
      <c r="E10" s="37"/>
      <c r="F10" s="37" t="str">
        <f>IFERROR(__xludf.DUMMYFUNCTION("""COMPUTED_VALUE"""),"策略資料中心")</f>
        <v>策略資料中心</v>
      </c>
      <c r="G10" s="37" t="str">
        <f>IFERROR(__xludf.DUMMYFUNCTION("""COMPUTED_VALUE"""),"GWS")</f>
        <v>GWS</v>
      </c>
      <c r="H10" s="39">
        <f>IFERROR(__xludf.DUMMYFUNCTION("""COMPUTED_VALUE"""),412.0)</f>
        <v>412</v>
      </c>
      <c r="I10" s="37">
        <f>IFERROR(__xludf.DUMMYFUNCTION("""COMPUTED_VALUE"""),5.0)</f>
        <v>5</v>
      </c>
      <c r="J10" s="37">
        <f>IFERROR(__xludf.DUMMYFUNCTION("""COMPUTED_VALUE"""),2060.0)</f>
        <v>2060</v>
      </c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B11" s="37" t="str">
        <f>IFERROR(__xludf.DUMMYFUNCTION("""COMPUTED_VALUE"""),"HK")</f>
        <v>HK</v>
      </c>
      <c r="C11" s="37"/>
      <c r="D11" s="37"/>
      <c r="E11" s="37"/>
      <c r="F11" s="37" t="str">
        <f>IFERROR(__xludf.DUMMYFUNCTION("""COMPUTED_VALUE"""),"海外執行長室")</f>
        <v>海外執行長室</v>
      </c>
      <c r="G11" s="37" t="str">
        <f>IFERROR(__xludf.DUMMYFUNCTION("""COMPUTED_VALUE"""),"GWS")</f>
        <v>GWS</v>
      </c>
      <c r="H11" s="39">
        <f>IFERROR(__xludf.DUMMYFUNCTION("""COMPUTED_VALUE"""),412.0)</f>
        <v>412</v>
      </c>
      <c r="I11" s="37">
        <f>IFERROR(__xludf.DUMMYFUNCTION("""COMPUTED_VALUE"""),0.0)</f>
        <v>0</v>
      </c>
      <c r="J11" s="37">
        <f>IFERROR(__xludf.DUMMYFUNCTION("""COMPUTED_VALUE"""),0.0)</f>
        <v>0</v>
      </c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B12" s="37" t="str">
        <f>IFERROR(__xludf.DUMMYFUNCTION("""COMPUTED_VALUE"""),"TW")</f>
        <v>TW</v>
      </c>
      <c r="C12" s="37"/>
      <c r="D12" s="37"/>
      <c r="E12" s="37"/>
      <c r="F12" s="37" t="str">
        <f>IFERROR(__xludf.DUMMYFUNCTION("""COMPUTED_VALUE"""),"行銷營運中心")</f>
        <v>行銷營運中心</v>
      </c>
      <c r="G12" s="37" t="str">
        <f>IFERROR(__xludf.DUMMYFUNCTION("""COMPUTED_VALUE"""),"Asana")</f>
        <v>Asana</v>
      </c>
      <c r="H12" s="39">
        <f>IFERROR(__xludf.DUMMYFUNCTION("""COMPUTED_VALUE"""),830.0)</f>
        <v>830</v>
      </c>
      <c r="I12" s="37">
        <f>IFERROR(__xludf.DUMMYFUNCTION("""COMPUTED_VALUE"""),54.0)</f>
        <v>54</v>
      </c>
      <c r="J12" s="37">
        <f>IFERROR(__xludf.DUMMYFUNCTION("""COMPUTED_VALUE"""),44820.0)</f>
        <v>44820</v>
      </c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B13" s="37" t="str">
        <f>IFERROR(__xludf.DUMMYFUNCTION("""COMPUTED_VALUE"""),"TW")</f>
        <v>TW</v>
      </c>
      <c r="C13" s="37"/>
      <c r="D13" s="37"/>
      <c r="E13" s="37"/>
      <c r="F13" s="37" t="str">
        <f>IFERROR(__xludf.DUMMYFUNCTION("""COMPUTED_VALUE"""),"研發中心")</f>
        <v>研發中心</v>
      </c>
      <c r="G13" s="37" t="str">
        <f>IFERROR(__xludf.DUMMYFUNCTION("""COMPUTED_VALUE"""),"Asana")</f>
        <v>Asana</v>
      </c>
      <c r="H13" s="39">
        <f>IFERROR(__xludf.DUMMYFUNCTION("""COMPUTED_VALUE"""),830.0)</f>
        <v>830</v>
      </c>
      <c r="I13" s="37">
        <f>IFERROR(__xludf.DUMMYFUNCTION("""COMPUTED_VALUE"""),47.0)</f>
        <v>47</v>
      </c>
      <c r="J13" s="37">
        <f>IFERROR(__xludf.DUMMYFUNCTION("""COMPUTED_VALUE"""),39010.0)</f>
        <v>39010</v>
      </c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B14" s="37" t="str">
        <f>IFERROR(__xludf.DUMMYFUNCTION("""COMPUTED_VALUE"""),"TW")</f>
        <v>TW</v>
      </c>
      <c r="C14" s="37"/>
      <c r="D14" s="37"/>
      <c r="E14" s="37"/>
      <c r="F14" s="37" t="str">
        <f>IFERROR(__xludf.DUMMYFUNCTION("""COMPUTED_VALUE"""),"客戶價值中心")</f>
        <v>客戶價值中心</v>
      </c>
      <c r="G14" s="37" t="str">
        <f>IFERROR(__xludf.DUMMYFUNCTION("""COMPUTED_VALUE"""),"Asana")</f>
        <v>Asana</v>
      </c>
      <c r="H14" s="39">
        <f>IFERROR(__xludf.DUMMYFUNCTION("""COMPUTED_VALUE"""),830.0)</f>
        <v>830</v>
      </c>
      <c r="I14" s="37">
        <f>IFERROR(__xludf.DUMMYFUNCTION("""COMPUTED_VALUE"""),27.0)</f>
        <v>27</v>
      </c>
      <c r="J14" s="37">
        <f>IFERROR(__xludf.DUMMYFUNCTION("""COMPUTED_VALUE"""),22410.0)</f>
        <v>22410</v>
      </c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B15" s="37" t="str">
        <f>IFERROR(__xludf.DUMMYFUNCTION("""COMPUTED_VALUE"""),"TW")</f>
        <v>TW</v>
      </c>
      <c r="C15" s="37"/>
      <c r="D15" s="37"/>
      <c r="E15" s="37"/>
      <c r="F15" s="37" t="str">
        <f>IFERROR(__xludf.DUMMYFUNCTION("""COMPUTED_VALUE"""),"管理中心")</f>
        <v>管理中心</v>
      </c>
      <c r="G15" s="37" t="str">
        <f>IFERROR(__xludf.DUMMYFUNCTION("""COMPUTED_VALUE"""),"Asana")</f>
        <v>Asana</v>
      </c>
      <c r="H15" s="39">
        <f>IFERROR(__xludf.DUMMYFUNCTION("""COMPUTED_VALUE"""),830.0)</f>
        <v>830</v>
      </c>
      <c r="I15" s="37">
        <f>IFERROR(__xludf.DUMMYFUNCTION("""COMPUTED_VALUE"""),13.0)</f>
        <v>13</v>
      </c>
      <c r="J15" s="37">
        <f>IFERROR(__xludf.DUMMYFUNCTION("""COMPUTED_VALUE"""),10790.0)</f>
        <v>10790</v>
      </c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B16" s="37" t="str">
        <f>IFERROR(__xludf.DUMMYFUNCTION("""COMPUTED_VALUE"""),"TW")</f>
        <v>TW</v>
      </c>
      <c r="C16" s="37"/>
      <c r="D16" s="37"/>
      <c r="E16" s="37"/>
      <c r="F16" s="37" t="str">
        <f>IFERROR(__xludf.DUMMYFUNCTION("""COMPUTED_VALUE"""),"執行長室")</f>
        <v>執行長室</v>
      </c>
      <c r="G16" s="37" t="str">
        <f>IFERROR(__xludf.DUMMYFUNCTION("""COMPUTED_VALUE"""),"Asana")</f>
        <v>Asana</v>
      </c>
      <c r="H16" s="39">
        <f>IFERROR(__xludf.DUMMYFUNCTION("""COMPUTED_VALUE"""),830.0)</f>
        <v>830</v>
      </c>
      <c r="I16" s="37">
        <f>IFERROR(__xludf.DUMMYFUNCTION("""COMPUTED_VALUE"""),4.0)</f>
        <v>4</v>
      </c>
      <c r="J16" s="37">
        <f>IFERROR(__xludf.DUMMYFUNCTION("""COMPUTED_VALUE"""),3320.0)</f>
        <v>3320</v>
      </c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B17" s="37" t="str">
        <f>IFERROR(__xludf.DUMMYFUNCTION("""COMPUTED_VALUE"""),"TW")</f>
        <v>TW</v>
      </c>
      <c r="C17" s="37"/>
      <c r="D17" s="37"/>
      <c r="E17" s="37"/>
      <c r="F17" s="37" t="str">
        <f>IFERROR(__xludf.DUMMYFUNCTION("""COMPUTED_VALUE"""),"財務中心")</f>
        <v>財務中心</v>
      </c>
      <c r="G17" s="37" t="str">
        <f>IFERROR(__xludf.DUMMYFUNCTION("""COMPUTED_VALUE"""),"Asana")</f>
        <v>Asana</v>
      </c>
      <c r="H17" s="39">
        <f>IFERROR(__xludf.DUMMYFUNCTION("""COMPUTED_VALUE"""),830.0)</f>
        <v>830</v>
      </c>
      <c r="I17" s="37">
        <f>IFERROR(__xludf.DUMMYFUNCTION("""COMPUTED_VALUE"""),5.0)</f>
        <v>5</v>
      </c>
      <c r="J17" s="37">
        <f>IFERROR(__xludf.DUMMYFUNCTION("""COMPUTED_VALUE"""),4150.0)</f>
        <v>4150</v>
      </c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B18" s="37" t="str">
        <f>IFERROR(__xludf.DUMMYFUNCTION("""COMPUTED_VALUE"""),"QLR")</f>
        <v>QLR</v>
      </c>
      <c r="C18" s="37"/>
      <c r="D18" s="37"/>
      <c r="E18" s="37"/>
      <c r="F18" s="37" t="str">
        <f>IFERROR(__xludf.DUMMYFUNCTION("""COMPUTED_VALUE"""),"Qlieer")</f>
        <v>Qlieer</v>
      </c>
      <c r="G18" s="37" t="str">
        <f>IFERROR(__xludf.DUMMYFUNCTION("""COMPUTED_VALUE"""),"Asana")</f>
        <v>Asana</v>
      </c>
      <c r="H18" s="39">
        <f>IFERROR(__xludf.DUMMYFUNCTION("""COMPUTED_VALUE"""),830.0)</f>
        <v>830</v>
      </c>
      <c r="I18" s="37">
        <f>IFERROR(__xludf.DUMMYFUNCTION("""COMPUTED_VALUE"""),0.0)</f>
        <v>0</v>
      </c>
      <c r="J18" s="37">
        <f>IFERROR(__xludf.DUMMYFUNCTION("""COMPUTED_VALUE"""),0.0)</f>
        <v>0</v>
      </c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B19" s="37" t="str">
        <f>IFERROR(__xludf.DUMMYFUNCTION("""COMPUTED_VALUE"""),"TW")</f>
        <v>TW</v>
      </c>
      <c r="C19" s="37"/>
      <c r="D19" s="37"/>
      <c r="E19" s="37"/>
      <c r="F19" s="37" t="str">
        <f>IFERROR(__xludf.DUMMYFUNCTION("""COMPUTED_VALUE"""),"策略資料中心")</f>
        <v>策略資料中心</v>
      </c>
      <c r="G19" s="37" t="str">
        <f>IFERROR(__xludf.DUMMYFUNCTION("""COMPUTED_VALUE"""),"Asana")</f>
        <v>Asana</v>
      </c>
      <c r="H19" s="39">
        <f>IFERROR(__xludf.DUMMYFUNCTION("""COMPUTED_VALUE"""),830.0)</f>
        <v>830</v>
      </c>
      <c r="I19" s="37">
        <f>IFERROR(__xludf.DUMMYFUNCTION("""COMPUTED_VALUE"""),5.0)</f>
        <v>5</v>
      </c>
      <c r="J19" s="37">
        <f>IFERROR(__xludf.DUMMYFUNCTION("""COMPUTED_VALUE"""),4150.0)</f>
        <v>4150</v>
      </c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B20" s="37" t="str">
        <f>IFERROR(__xludf.DUMMYFUNCTION("""COMPUTED_VALUE"""),"HK")</f>
        <v>HK</v>
      </c>
      <c r="C20" s="37"/>
      <c r="D20" s="37"/>
      <c r="E20" s="37"/>
      <c r="F20" s="37" t="str">
        <f>IFERROR(__xludf.DUMMYFUNCTION("""COMPUTED_VALUE"""),"海外執行長室")</f>
        <v>海外執行長室</v>
      </c>
      <c r="G20" s="37" t="str">
        <f>IFERROR(__xludf.DUMMYFUNCTION("""COMPUTED_VALUE"""),"Asana")</f>
        <v>Asana</v>
      </c>
      <c r="H20" s="39">
        <f>IFERROR(__xludf.DUMMYFUNCTION("""COMPUTED_VALUE"""),830.0)</f>
        <v>830</v>
      </c>
      <c r="I20" s="37">
        <f>IFERROR(__xludf.DUMMYFUNCTION("""COMPUTED_VALUE"""),0.0)</f>
        <v>0</v>
      </c>
      <c r="J20" s="37">
        <f>IFERROR(__xludf.DUMMYFUNCTION("""COMPUTED_VALUE"""),0.0)</f>
        <v>0</v>
      </c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B21" s="37" t="str">
        <f>IFERROR(__xludf.DUMMYFUNCTION("""COMPUTED_VALUE"""),"TW")</f>
        <v>TW</v>
      </c>
      <c r="C21" s="37"/>
      <c r="D21" s="37"/>
      <c r="E21" s="37"/>
      <c r="F21" s="37" t="str">
        <f>IFERROR(__xludf.DUMMYFUNCTION("""COMPUTED_VALUE"""),"行銷營運中心")</f>
        <v>行銷營運中心</v>
      </c>
      <c r="G21" s="37" t="str">
        <f>IFERROR(__xludf.DUMMYFUNCTION("""COMPUTED_VALUE"""),"Netsuite (完整帳號)")</f>
        <v>Netsuite (完整帳號)</v>
      </c>
      <c r="H21" s="40">
        <f>IFERROR(__xludf.DUMMYFUNCTION("""COMPUTED_VALUE"""),1384.0)</f>
        <v>1384</v>
      </c>
      <c r="I21" s="37">
        <f>IFERROR(__xludf.DUMMYFUNCTION("""COMPUTED_VALUE"""),10.0)</f>
        <v>10</v>
      </c>
      <c r="J21" s="40">
        <f>IFERROR(__xludf.DUMMYFUNCTION("""COMPUTED_VALUE"""),13840.0)</f>
        <v>13840</v>
      </c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B22" s="37" t="str">
        <f>IFERROR(__xludf.DUMMYFUNCTION("""COMPUTED_VALUE"""),"TW")</f>
        <v>TW</v>
      </c>
      <c r="C22" s="37"/>
      <c r="D22" s="37"/>
      <c r="E22" s="37"/>
      <c r="F22" s="37" t="str">
        <f>IFERROR(__xludf.DUMMYFUNCTION("""COMPUTED_VALUE"""),"研發中心")</f>
        <v>研發中心</v>
      </c>
      <c r="G22" s="37" t="str">
        <f>IFERROR(__xludf.DUMMYFUNCTION("""COMPUTED_VALUE"""),"Netsuite (完整帳號)")</f>
        <v>Netsuite (完整帳號)</v>
      </c>
      <c r="H22" s="40">
        <f>IFERROR(__xludf.DUMMYFUNCTION("""COMPUTED_VALUE"""),1384.0)</f>
        <v>1384</v>
      </c>
      <c r="I22" s="37">
        <f>IFERROR(__xludf.DUMMYFUNCTION("""COMPUTED_VALUE"""),4.0)</f>
        <v>4</v>
      </c>
      <c r="J22" s="40">
        <f>IFERROR(__xludf.DUMMYFUNCTION("""COMPUTED_VALUE"""),5536.0)</f>
        <v>5536</v>
      </c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B23" s="37" t="str">
        <f>IFERROR(__xludf.DUMMYFUNCTION("""COMPUTED_VALUE"""),"TW")</f>
        <v>TW</v>
      </c>
      <c r="C23" s="37"/>
      <c r="D23" s="37"/>
      <c r="E23" s="37"/>
      <c r="F23" s="37" t="str">
        <f>IFERROR(__xludf.DUMMYFUNCTION("""COMPUTED_VALUE"""),"客戶價值中心")</f>
        <v>客戶價值中心</v>
      </c>
      <c r="G23" s="37" t="str">
        <f>IFERROR(__xludf.DUMMYFUNCTION("""COMPUTED_VALUE"""),"Netsuite (完整帳號)")</f>
        <v>Netsuite (完整帳號)</v>
      </c>
      <c r="H23" s="40">
        <f>IFERROR(__xludf.DUMMYFUNCTION("""COMPUTED_VALUE"""),1384.0)</f>
        <v>1384</v>
      </c>
      <c r="I23" s="37">
        <f>IFERROR(__xludf.DUMMYFUNCTION("""COMPUTED_VALUE"""),8.0)</f>
        <v>8</v>
      </c>
      <c r="J23" s="40">
        <f>IFERROR(__xludf.DUMMYFUNCTION("""COMPUTED_VALUE"""),11072.0)</f>
        <v>11072</v>
      </c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B24" s="37" t="str">
        <f>IFERROR(__xludf.DUMMYFUNCTION("""COMPUTED_VALUE"""),"TW")</f>
        <v>TW</v>
      </c>
      <c r="C24" s="37"/>
      <c r="D24" s="37"/>
      <c r="E24" s="37"/>
      <c r="F24" s="37" t="str">
        <f>IFERROR(__xludf.DUMMYFUNCTION("""COMPUTED_VALUE"""),"管理中心")</f>
        <v>管理中心</v>
      </c>
      <c r="G24" s="37" t="str">
        <f>IFERROR(__xludf.DUMMYFUNCTION("""COMPUTED_VALUE"""),"Netsuite (完整帳號)")</f>
        <v>Netsuite (完整帳號)</v>
      </c>
      <c r="H24" s="40">
        <f>IFERROR(__xludf.DUMMYFUNCTION("""COMPUTED_VALUE"""),1384.0)</f>
        <v>1384</v>
      </c>
      <c r="I24" s="37">
        <f>IFERROR(__xludf.DUMMYFUNCTION("""COMPUTED_VALUE"""),5.0)</f>
        <v>5</v>
      </c>
      <c r="J24" s="40">
        <f>IFERROR(__xludf.DUMMYFUNCTION("""COMPUTED_VALUE"""),6920.0)</f>
        <v>6920</v>
      </c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B25" s="37" t="str">
        <f>IFERROR(__xludf.DUMMYFUNCTION("""COMPUTED_VALUE"""),"TW")</f>
        <v>TW</v>
      </c>
      <c r="C25" s="37"/>
      <c r="D25" s="37"/>
      <c r="E25" s="37"/>
      <c r="F25" s="37" t="str">
        <f>IFERROR(__xludf.DUMMYFUNCTION("""COMPUTED_VALUE"""),"執行長室")</f>
        <v>執行長室</v>
      </c>
      <c r="G25" s="37" t="str">
        <f>IFERROR(__xludf.DUMMYFUNCTION("""COMPUTED_VALUE"""),"Netsuite (完整帳號)")</f>
        <v>Netsuite (完整帳號)</v>
      </c>
      <c r="H25" s="40">
        <f>IFERROR(__xludf.DUMMYFUNCTION("""COMPUTED_VALUE"""),1384.0)</f>
        <v>1384</v>
      </c>
      <c r="I25" s="37">
        <f>IFERROR(__xludf.DUMMYFUNCTION("""COMPUTED_VALUE"""),3.0)</f>
        <v>3</v>
      </c>
      <c r="J25" s="40">
        <f>IFERROR(__xludf.DUMMYFUNCTION("""COMPUTED_VALUE"""),4152.0)</f>
        <v>4152</v>
      </c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B26" s="37" t="str">
        <f>IFERROR(__xludf.DUMMYFUNCTION("""COMPUTED_VALUE"""),"TW")</f>
        <v>TW</v>
      </c>
      <c r="C26" s="37"/>
      <c r="D26" s="37"/>
      <c r="E26" s="37"/>
      <c r="F26" s="37" t="str">
        <f>IFERROR(__xludf.DUMMYFUNCTION("""COMPUTED_VALUE"""),"財務中心")</f>
        <v>財務中心</v>
      </c>
      <c r="G26" s="37" t="str">
        <f>IFERROR(__xludf.DUMMYFUNCTION("""COMPUTED_VALUE"""),"Netsuite (完整帳號)")</f>
        <v>Netsuite (完整帳號)</v>
      </c>
      <c r="H26" s="40">
        <f>IFERROR(__xludf.DUMMYFUNCTION("""COMPUTED_VALUE"""),1384.0)</f>
        <v>1384</v>
      </c>
      <c r="I26" s="37">
        <f>IFERROR(__xludf.DUMMYFUNCTION("""COMPUTED_VALUE"""),5.0)</f>
        <v>5</v>
      </c>
      <c r="J26" s="40">
        <f>IFERROR(__xludf.DUMMYFUNCTION("""COMPUTED_VALUE"""),6920.0)</f>
        <v>6920</v>
      </c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B27" s="37" t="str">
        <f>IFERROR(__xludf.DUMMYFUNCTION("""COMPUTED_VALUE"""),"QLR")</f>
        <v>QLR</v>
      </c>
      <c r="C27" s="37"/>
      <c r="D27" s="37"/>
      <c r="E27" s="37"/>
      <c r="F27" s="37" t="str">
        <f>IFERROR(__xludf.DUMMYFUNCTION("""COMPUTED_VALUE"""),"Qlieer")</f>
        <v>Qlieer</v>
      </c>
      <c r="G27" s="37" t="str">
        <f>IFERROR(__xludf.DUMMYFUNCTION("""COMPUTED_VALUE"""),"Netsuite (完整帳號)")</f>
        <v>Netsuite (完整帳號)</v>
      </c>
      <c r="H27" s="40">
        <f>IFERROR(__xludf.DUMMYFUNCTION("""COMPUTED_VALUE"""),1384.0)</f>
        <v>1384</v>
      </c>
      <c r="I27" s="37">
        <f>IFERROR(__xludf.DUMMYFUNCTION("""COMPUTED_VALUE"""),7.0)</f>
        <v>7</v>
      </c>
      <c r="J27" s="40">
        <f>IFERROR(__xludf.DUMMYFUNCTION("""COMPUTED_VALUE"""),9688.0)</f>
        <v>9688</v>
      </c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B28" s="37" t="str">
        <f>IFERROR(__xludf.DUMMYFUNCTION("""COMPUTED_VALUE"""),"TW")</f>
        <v>TW</v>
      </c>
      <c r="C28" s="37"/>
      <c r="D28" s="37"/>
      <c r="E28" s="37"/>
      <c r="F28" s="37" t="str">
        <f>IFERROR(__xludf.DUMMYFUNCTION("""COMPUTED_VALUE"""),"策略資料中心")</f>
        <v>策略資料中心</v>
      </c>
      <c r="G28" s="37" t="str">
        <f>IFERROR(__xludf.DUMMYFUNCTION("""COMPUTED_VALUE"""),"Netsuite (完整帳號)")</f>
        <v>Netsuite (完整帳號)</v>
      </c>
      <c r="H28" s="40">
        <f>IFERROR(__xludf.DUMMYFUNCTION("""COMPUTED_VALUE"""),1384.0)</f>
        <v>1384</v>
      </c>
      <c r="I28" s="37">
        <f>IFERROR(__xludf.DUMMYFUNCTION("""COMPUTED_VALUE"""),4.0)</f>
        <v>4</v>
      </c>
      <c r="J28" s="40">
        <f>IFERROR(__xludf.DUMMYFUNCTION("""COMPUTED_VALUE"""),5536.0)</f>
        <v>5536</v>
      </c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B29" s="37" t="str">
        <f>IFERROR(__xludf.DUMMYFUNCTION("""COMPUTED_VALUE"""),"HK")</f>
        <v>HK</v>
      </c>
      <c r="C29" s="37"/>
      <c r="D29" s="37"/>
      <c r="E29" s="37"/>
      <c r="F29" s="37" t="str">
        <f>IFERROR(__xludf.DUMMYFUNCTION("""COMPUTED_VALUE"""),"海外執行長室")</f>
        <v>海外執行長室</v>
      </c>
      <c r="G29" s="37" t="str">
        <f>IFERROR(__xludf.DUMMYFUNCTION("""COMPUTED_VALUE"""),"Netsuite (完整帳號)")</f>
        <v>Netsuite (完整帳號)</v>
      </c>
      <c r="H29" s="40">
        <f>IFERROR(__xludf.DUMMYFUNCTION("""COMPUTED_VALUE"""),1384.0)</f>
        <v>1384</v>
      </c>
      <c r="I29" s="37">
        <f>IFERROR(__xludf.DUMMYFUNCTION("""COMPUTED_VALUE"""),0.0)</f>
        <v>0</v>
      </c>
      <c r="J29" s="40">
        <f>IFERROR(__xludf.DUMMYFUNCTION("""COMPUTED_VALUE"""),0.0)</f>
        <v>0</v>
      </c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B30" s="37" t="str">
        <f>IFERROR(__xludf.DUMMYFUNCTION("""COMPUTED_VALUE"""),"TW")</f>
        <v>TW</v>
      </c>
      <c r="C30" s="37"/>
      <c r="D30" s="37"/>
      <c r="E30" s="37"/>
      <c r="F30" s="37" t="str">
        <f>IFERROR(__xludf.DUMMYFUNCTION("""COMPUTED_VALUE"""),"行銷營運中心")</f>
        <v>行銷營運中心</v>
      </c>
      <c r="G30" s="37" t="str">
        <f>IFERROR(__xludf.DUMMYFUNCTION("""COMPUTED_VALUE"""),"Netsuite (請款帳號)")</f>
        <v>Netsuite (請款帳號)</v>
      </c>
      <c r="H30" s="40">
        <f>IFERROR(__xludf.DUMMYFUNCTION("""COMPUTED_VALUE"""),229.0)</f>
        <v>229</v>
      </c>
      <c r="I30" s="37">
        <f>IFERROR(__xludf.DUMMYFUNCTION("""COMPUTED_VALUE"""),38.0)</f>
        <v>38</v>
      </c>
      <c r="J30" s="40">
        <f>IFERROR(__xludf.DUMMYFUNCTION("""COMPUTED_VALUE"""),8702.0)</f>
        <v>8702</v>
      </c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B31" s="37" t="str">
        <f>IFERROR(__xludf.DUMMYFUNCTION("""COMPUTED_VALUE"""),"TW")</f>
        <v>TW</v>
      </c>
      <c r="C31" s="37"/>
      <c r="D31" s="37"/>
      <c r="E31" s="37"/>
      <c r="F31" s="37" t="str">
        <f>IFERROR(__xludf.DUMMYFUNCTION("""COMPUTED_VALUE"""),"研發中心")</f>
        <v>研發中心</v>
      </c>
      <c r="G31" s="37" t="str">
        <f>IFERROR(__xludf.DUMMYFUNCTION("""COMPUTED_VALUE"""),"Netsuite (請款帳號)")</f>
        <v>Netsuite (請款帳號)</v>
      </c>
      <c r="H31" s="40">
        <f>IFERROR(__xludf.DUMMYFUNCTION("""COMPUTED_VALUE"""),229.0)</f>
        <v>229</v>
      </c>
      <c r="I31" s="37">
        <f>IFERROR(__xludf.DUMMYFUNCTION("""COMPUTED_VALUE"""),42.0)</f>
        <v>42</v>
      </c>
      <c r="J31" s="40">
        <f>IFERROR(__xludf.DUMMYFUNCTION("""COMPUTED_VALUE"""),9618.0)</f>
        <v>9618</v>
      </c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B32" s="37" t="str">
        <f>IFERROR(__xludf.DUMMYFUNCTION("""COMPUTED_VALUE"""),"TW")</f>
        <v>TW</v>
      </c>
      <c r="C32" s="37"/>
      <c r="D32" s="37"/>
      <c r="E32" s="37"/>
      <c r="F32" s="37" t="str">
        <f>IFERROR(__xludf.DUMMYFUNCTION("""COMPUTED_VALUE"""),"客戶價值中心")</f>
        <v>客戶價值中心</v>
      </c>
      <c r="G32" s="37" t="str">
        <f>IFERROR(__xludf.DUMMYFUNCTION("""COMPUTED_VALUE"""),"Netsuite (請款帳號)")</f>
        <v>Netsuite (請款帳號)</v>
      </c>
      <c r="H32" s="40">
        <f>IFERROR(__xludf.DUMMYFUNCTION("""COMPUTED_VALUE"""),229.0)</f>
        <v>229</v>
      </c>
      <c r="I32" s="37">
        <f>IFERROR(__xludf.DUMMYFUNCTION("""COMPUTED_VALUE"""),18.0)</f>
        <v>18</v>
      </c>
      <c r="J32" s="40">
        <f>IFERROR(__xludf.DUMMYFUNCTION("""COMPUTED_VALUE"""),4122.0)</f>
        <v>4122</v>
      </c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B33" s="37" t="str">
        <f>IFERROR(__xludf.DUMMYFUNCTION("""COMPUTED_VALUE"""),"TW")</f>
        <v>TW</v>
      </c>
      <c r="C33" s="37"/>
      <c r="D33" s="37"/>
      <c r="E33" s="37"/>
      <c r="F33" s="37" t="str">
        <f>IFERROR(__xludf.DUMMYFUNCTION("""COMPUTED_VALUE"""),"管理中心")</f>
        <v>管理中心</v>
      </c>
      <c r="G33" s="37" t="str">
        <f>IFERROR(__xludf.DUMMYFUNCTION("""COMPUTED_VALUE"""),"Netsuite (請款帳號)")</f>
        <v>Netsuite (請款帳號)</v>
      </c>
      <c r="H33" s="40">
        <f>IFERROR(__xludf.DUMMYFUNCTION("""COMPUTED_VALUE"""),229.0)</f>
        <v>229</v>
      </c>
      <c r="I33" s="37">
        <f>IFERROR(__xludf.DUMMYFUNCTION("""COMPUTED_VALUE"""),8.0)</f>
        <v>8</v>
      </c>
      <c r="J33" s="40">
        <f>IFERROR(__xludf.DUMMYFUNCTION("""COMPUTED_VALUE"""),1832.0)</f>
        <v>1832</v>
      </c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B34" s="37" t="str">
        <f>IFERROR(__xludf.DUMMYFUNCTION("""COMPUTED_VALUE"""),"TW")</f>
        <v>TW</v>
      </c>
      <c r="C34" s="37"/>
      <c r="D34" s="37"/>
      <c r="E34" s="37"/>
      <c r="F34" s="37" t="str">
        <f>IFERROR(__xludf.DUMMYFUNCTION("""COMPUTED_VALUE"""),"執行長室")</f>
        <v>執行長室</v>
      </c>
      <c r="G34" s="37" t="str">
        <f>IFERROR(__xludf.DUMMYFUNCTION("""COMPUTED_VALUE"""),"Netsuite (請款帳號)")</f>
        <v>Netsuite (請款帳號)</v>
      </c>
      <c r="H34" s="40">
        <f>IFERROR(__xludf.DUMMYFUNCTION("""COMPUTED_VALUE"""),229.0)</f>
        <v>229</v>
      </c>
      <c r="I34" s="37">
        <f>IFERROR(__xludf.DUMMYFUNCTION("""COMPUTED_VALUE"""),1.0)</f>
        <v>1</v>
      </c>
      <c r="J34" s="40">
        <f>IFERROR(__xludf.DUMMYFUNCTION("""COMPUTED_VALUE"""),229.0)</f>
        <v>229</v>
      </c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B35" s="37" t="str">
        <f>IFERROR(__xludf.DUMMYFUNCTION("""COMPUTED_VALUE"""),"TW")</f>
        <v>TW</v>
      </c>
      <c r="C35" s="37"/>
      <c r="D35" s="37"/>
      <c r="E35" s="37"/>
      <c r="F35" s="37" t="str">
        <f>IFERROR(__xludf.DUMMYFUNCTION("""COMPUTED_VALUE"""),"財務中心")</f>
        <v>財務中心</v>
      </c>
      <c r="G35" s="37" t="str">
        <f>IFERROR(__xludf.DUMMYFUNCTION("""COMPUTED_VALUE"""),"Netsuite (請款帳號)")</f>
        <v>Netsuite (請款帳號)</v>
      </c>
      <c r="H35" s="40">
        <f>IFERROR(__xludf.DUMMYFUNCTION("""COMPUTED_VALUE"""),229.0)</f>
        <v>229</v>
      </c>
      <c r="I35" s="37">
        <f>IFERROR(__xludf.DUMMYFUNCTION("""COMPUTED_VALUE"""),0.0)</f>
        <v>0</v>
      </c>
      <c r="J35" s="40">
        <f>IFERROR(__xludf.DUMMYFUNCTION("""COMPUTED_VALUE"""),0.0)</f>
        <v>0</v>
      </c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B36" s="37" t="str">
        <f>IFERROR(__xludf.DUMMYFUNCTION("""COMPUTED_VALUE"""),"QLR")</f>
        <v>QLR</v>
      </c>
      <c r="C36" s="37"/>
      <c r="D36" s="37"/>
      <c r="E36" s="37"/>
      <c r="F36" s="37" t="str">
        <f>IFERROR(__xludf.DUMMYFUNCTION("""COMPUTED_VALUE"""),"Qlieer")</f>
        <v>Qlieer</v>
      </c>
      <c r="G36" s="37" t="str">
        <f>IFERROR(__xludf.DUMMYFUNCTION("""COMPUTED_VALUE"""),"Netsuite (請款帳號)")</f>
        <v>Netsuite (請款帳號)</v>
      </c>
      <c r="H36" s="40">
        <f>IFERROR(__xludf.DUMMYFUNCTION("""COMPUTED_VALUE"""),229.0)</f>
        <v>229</v>
      </c>
      <c r="I36" s="37">
        <f>IFERROR(__xludf.DUMMYFUNCTION("""COMPUTED_VALUE"""),25.0)</f>
        <v>25</v>
      </c>
      <c r="J36" s="40">
        <f>IFERROR(__xludf.DUMMYFUNCTION("""COMPUTED_VALUE"""),5725.0)</f>
        <v>5725</v>
      </c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B37" s="37" t="str">
        <f>IFERROR(__xludf.DUMMYFUNCTION("""COMPUTED_VALUE"""),"TW")</f>
        <v>TW</v>
      </c>
      <c r="C37" s="37"/>
      <c r="D37" s="37"/>
      <c r="E37" s="37"/>
      <c r="F37" s="37" t="str">
        <f>IFERROR(__xludf.DUMMYFUNCTION("""COMPUTED_VALUE"""),"策略資料中心")</f>
        <v>策略資料中心</v>
      </c>
      <c r="G37" s="37" t="str">
        <f>IFERROR(__xludf.DUMMYFUNCTION("""COMPUTED_VALUE"""),"Netsuite (請款帳號)")</f>
        <v>Netsuite (請款帳號)</v>
      </c>
      <c r="H37" s="40">
        <f>IFERROR(__xludf.DUMMYFUNCTION("""COMPUTED_VALUE"""),229.0)</f>
        <v>229</v>
      </c>
      <c r="I37" s="37">
        <f>IFERROR(__xludf.DUMMYFUNCTION("""COMPUTED_VALUE"""),1.0)</f>
        <v>1</v>
      </c>
      <c r="J37" s="40">
        <f>IFERROR(__xludf.DUMMYFUNCTION("""COMPUTED_VALUE"""),229.0)</f>
        <v>229</v>
      </c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B38" s="37" t="str">
        <f>IFERROR(__xludf.DUMMYFUNCTION("""COMPUTED_VALUE"""),"HK")</f>
        <v>HK</v>
      </c>
      <c r="C38" s="37"/>
      <c r="D38" s="37"/>
      <c r="E38" s="37"/>
      <c r="F38" s="37" t="str">
        <f>IFERROR(__xludf.DUMMYFUNCTION("""COMPUTED_VALUE"""),"海外執行長室")</f>
        <v>海外執行長室</v>
      </c>
      <c r="G38" s="37" t="str">
        <f>IFERROR(__xludf.DUMMYFUNCTION("""COMPUTED_VALUE"""),"Netsuite (請款帳號)")</f>
        <v>Netsuite (請款帳號)</v>
      </c>
      <c r="H38" s="40">
        <f>IFERROR(__xludf.DUMMYFUNCTION("""COMPUTED_VALUE"""),229.0)</f>
        <v>229</v>
      </c>
      <c r="I38" s="37">
        <f>IFERROR(__xludf.DUMMYFUNCTION("""COMPUTED_VALUE"""),0.0)</f>
        <v>0</v>
      </c>
      <c r="J38" s="40">
        <f>IFERROR(__xludf.DUMMYFUNCTION("""COMPUTED_VALUE"""),0.0)</f>
        <v>0</v>
      </c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B39" s="37" t="str">
        <f>IFERROR(__xludf.DUMMYFUNCTION("""COMPUTED_VALUE"""),"TW")</f>
        <v>TW</v>
      </c>
      <c r="C39" s="37"/>
      <c r="D39" s="37"/>
      <c r="E39" s="37"/>
      <c r="F39" s="37" t="str">
        <f>IFERROR(__xludf.DUMMYFUNCTION("""COMPUTED_VALUE"""),"行銷營運中心")</f>
        <v>行銷營運中心</v>
      </c>
      <c r="G39" s="37" t="str">
        <f>IFERROR(__xludf.DUMMYFUNCTION("""COMPUTED_VALUE"""),"Slack")</f>
        <v>Slack</v>
      </c>
      <c r="H39" s="39">
        <f>IFERROR(__xludf.DUMMYFUNCTION("""COMPUTED_VALUE"""),218.0)</f>
        <v>218</v>
      </c>
      <c r="I39" s="37">
        <f>IFERROR(__xludf.DUMMYFUNCTION("""COMPUTED_VALUE"""),56.0)</f>
        <v>56</v>
      </c>
      <c r="J39" s="37">
        <f>IFERROR(__xludf.DUMMYFUNCTION("""COMPUTED_VALUE"""),12208.0)</f>
        <v>12208</v>
      </c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B40" s="37" t="str">
        <f>IFERROR(__xludf.DUMMYFUNCTION("""COMPUTED_VALUE"""),"TW")</f>
        <v>TW</v>
      </c>
      <c r="C40" s="37"/>
      <c r="D40" s="37"/>
      <c r="E40" s="37"/>
      <c r="F40" s="37" t="str">
        <f>IFERROR(__xludf.DUMMYFUNCTION("""COMPUTED_VALUE"""),"研發中心")</f>
        <v>研發中心</v>
      </c>
      <c r="G40" s="37" t="str">
        <f>IFERROR(__xludf.DUMMYFUNCTION("""COMPUTED_VALUE"""),"Slack")</f>
        <v>Slack</v>
      </c>
      <c r="H40" s="39">
        <f>IFERROR(__xludf.DUMMYFUNCTION("""COMPUTED_VALUE"""),218.0)</f>
        <v>218</v>
      </c>
      <c r="I40" s="37">
        <f>IFERROR(__xludf.DUMMYFUNCTION("""COMPUTED_VALUE"""),48.0)</f>
        <v>48</v>
      </c>
      <c r="J40" s="37">
        <f>IFERROR(__xludf.DUMMYFUNCTION("""COMPUTED_VALUE"""),10464.0)</f>
        <v>10464</v>
      </c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B41" s="37" t="str">
        <f>IFERROR(__xludf.DUMMYFUNCTION("""COMPUTED_VALUE"""),"TW")</f>
        <v>TW</v>
      </c>
      <c r="C41" s="37"/>
      <c r="D41" s="37"/>
      <c r="E41" s="37"/>
      <c r="F41" s="37" t="str">
        <f>IFERROR(__xludf.DUMMYFUNCTION("""COMPUTED_VALUE"""),"客戶價值中心")</f>
        <v>客戶價值中心</v>
      </c>
      <c r="G41" s="37" t="str">
        <f>IFERROR(__xludf.DUMMYFUNCTION("""COMPUTED_VALUE"""),"Slack")</f>
        <v>Slack</v>
      </c>
      <c r="H41" s="39">
        <f>IFERROR(__xludf.DUMMYFUNCTION("""COMPUTED_VALUE"""),218.0)</f>
        <v>218</v>
      </c>
      <c r="I41" s="37">
        <f>IFERROR(__xludf.DUMMYFUNCTION("""COMPUTED_VALUE"""),37.0)</f>
        <v>37</v>
      </c>
      <c r="J41" s="37">
        <f>IFERROR(__xludf.DUMMYFUNCTION("""COMPUTED_VALUE"""),8066.0)</f>
        <v>8066</v>
      </c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B42" s="37" t="str">
        <f>IFERROR(__xludf.DUMMYFUNCTION("""COMPUTED_VALUE"""),"TW")</f>
        <v>TW</v>
      </c>
      <c r="C42" s="37"/>
      <c r="D42" s="37"/>
      <c r="E42" s="37"/>
      <c r="F42" s="37" t="str">
        <f>IFERROR(__xludf.DUMMYFUNCTION("""COMPUTED_VALUE"""),"管理中心")</f>
        <v>管理中心</v>
      </c>
      <c r="G42" s="37" t="str">
        <f>IFERROR(__xludf.DUMMYFUNCTION("""COMPUTED_VALUE"""),"Slack")</f>
        <v>Slack</v>
      </c>
      <c r="H42" s="39">
        <f>IFERROR(__xludf.DUMMYFUNCTION("""COMPUTED_VALUE"""),218.0)</f>
        <v>218</v>
      </c>
      <c r="I42" s="37">
        <f>IFERROR(__xludf.DUMMYFUNCTION("""COMPUTED_VALUE"""),12.0)</f>
        <v>12</v>
      </c>
      <c r="J42" s="37">
        <f>IFERROR(__xludf.DUMMYFUNCTION("""COMPUTED_VALUE"""),2616.0)</f>
        <v>2616</v>
      </c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B43" s="37" t="str">
        <f>IFERROR(__xludf.DUMMYFUNCTION("""COMPUTED_VALUE"""),"TW")</f>
        <v>TW</v>
      </c>
      <c r="C43" s="37"/>
      <c r="D43" s="37"/>
      <c r="E43" s="37"/>
      <c r="F43" s="37" t="str">
        <f>IFERROR(__xludf.DUMMYFUNCTION("""COMPUTED_VALUE"""),"執行長室")</f>
        <v>執行長室</v>
      </c>
      <c r="G43" s="37" t="str">
        <f>IFERROR(__xludf.DUMMYFUNCTION("""COMPUTED_VALUE"""),"Slack")</f>
        <v>Slack</v>
      </c>
      <c r="H43" s="39">
        <f>IFERROR(__xludf.DUMMYFUNCTION("""COMPUTED_VALUE"""),218.0)</f>
        <v>218</v>
      </c>
      <c r="I43" s="37">
        <f>IFERROR(__xludf.DUMMYFUNCTION("""COMPUTED_VALUE"""),6.0)</f>
        <v>6</v>
      </c>
      <c r="J43" s="37">
        <f>IFERROR(__xludf.DUMMYFUNCTION("""COMPUTED_VALUE"""),1308.0)</f>
        <v>1308</v>
      </c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B44" s="37" t="str">
        <f>IFERROR(__xludf.DUMMYFUNCTION("""COMPUTED_VALUE"""),"TW")</f>
        <v>TW</v>
      </c>
      <c r="C44" s="37"/>
      <c r="D44" s="37"/>
      <c r="E44" s="37"/>
      <c r="F44" s="37" t="str">
        <f>IFERROR(__xludf.DUMMYFUNCTION("""COMPUTED_VALUE"""),"財務中心")</f>
        <v>財務中心</v>
      </c>
      <c r="G44" s="37" t="str">
        <f>IFERROR(__xludf.DUMMYFUNCTION("""COMPUTED_VALUE"""),"Slack")</f>
        <v>Slack</v>
      </c>
      <c r="H44" s="39">
        <f>IFERROR(__xludf.DUMMYFUNCTION("""COMPUTED_VALUE"""),218.0)</f>
        <v>218</v>
      </c>
      <c r="I44" s="37">
        <f>IFERROR(__xludf.DUMMYFUNCTION("""COMPUTED_VALUE"""),5.0)</f>
        <v>5</v>
      </c>
      <c r="J44" s="37">
        <f>IFERROR(__xludf.DUMMYFUNCTION("""COMPUTED_VALUE"""),1090.0)</f>
        <v>1090</v>
      </c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B45" s="37" t="str">
        <f>IFERROR(__xludf.DUMMYFUNCTION("""COMPUTED_VALUE"""),"QLR")</f>
        <v>QLR</v>
      </c>
      <c r="C45" s="37"/>
      <c r="D45" s="37"/>
      <c r="E45" s="37"/>
      <c r="F45" s="37" t="str">
        <f>IFERROR(__xludf.DUMMYFUNCTION("""COMPUTED_VALUE"""),"Qlieer")</f>
        <v>Qlieer</v>
      </c>
      <c r="G45" s="37" t="str">
        <f>IFERROR(__xludf.DUMMYFUNCTION("""COMPUTED_VALUE"""),"Slack")</f>
        <v>Slack</v>
      </c>
      <c r="H45" s="39">
        <f>IFERROR(__xludf.DUMMYFUNCTION("""COMPUTED_VALUE"""),218.0)</f>
        <v>218</v>
      </c>
      <c r="I45" s="37">
        <f>IFERROR(__xludf.DUMMYFUNCTION("""COMPUTED_VALUE"""),0.0)</f>
        <v>0</v>
      </c>
      <c r="J45" s="37">
        <f>IFERROR(__xludf.DUMMYFUNCTION("""COMPUTED_VALUE"""),0.0)</f>
        <v>0</v>
      </c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B46" s="37" t="str">
        <f>IFERROR(__xludf.DUMMYFUNCTION("""COMPUTED_VALUE"""),"TW")</f>
        <v>TW</v>
      </c>
      <c r="C46" s="37"/>
      <c r="D46" s="37"/>
      <c r="E46" s="37"/>
      <c r="F46" s="37" t="str">
        <f>IFERROR(__xludf.DUMMYFUNCTION("""COMPUTED_VALUE"""),"策略資料中心")</f>
        <v>策略資料中心</v>
      </c>
      <c r="G46" s="37" t="str">
        <f>IFERROR(__xludf.DUMMYFUNCTION("""COMPUTED_VALUE"""),"Slack")</f>
        <v>Slack</v>
      </c>
      <c r="H46" s="39">
        <f>IFERROR(__xludf.DUMMYFUNCTION("""COMPUTED_VALUE"""),218.0)</f>
        <v>218</v>
      </c>
      <c r="I46" s="37">
        <f>IFERROR(__xludf.DUMMYFUNCTION("""COMPUTED_VALUE"""),4.0)</f>
        <v>4</v>
      </c>
      <c r="J46" s="37">
        <f>IFERROR(__xludf.DUMMYFUNCTION("""COMPUTED_VALUE"""),872.0)</f>
        <v>872</v>
      </c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B47" s="37" t="str">
        <f>IFERROR(__xludf.DUMMYFUNCTION("""COMPUTED_VALUE"""),"HK")</f>
        <v>HK</v>
      </c>
      <c r="C47" s="37"/>
      <c r="D47" s="37"/>
      <c r="E47" s="37"/>
      <c r="F47" s="37" t="str">
        <f>IFERROR(__xludf.DUMMYFUNCTION("""COMPUTED_VALUE"""),"海外執行長室")</f>
        <v>海外執行長室</v>
      </c>
      <c r="G47" s="37" t="str">
        <f>IFERROR(__xludf.DUMMYFUNCTION("""COMPUTED_VALUE"""),"Slack")</f>
        <v>Slack</v>
      </c>
      <c r="H47" s="39">
        <f>IFERROR(__xludf.DUMMYFUNCTION("""COMPUTED_VALUE"""),218.0)</f>
        <v>218</v>
      </c>
      <c r="I47" s="37">
        <f>IFERROR(__xludf.DUMMYFUNCTION("""COMPUTED_VALUE"""),5.0)</f>
        <v>5</v>
      </c>
      <c r="J47" s="37">
        <f>IFERROR(__xludf.DUMMYFUNCTION("""COMPUTED_VALUE"""),1090.0)</f>
        <v>1090</v>
      </c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B48" s="37" t="str">
        <f>IFERROR(__xludf.DUMMYFUNCTION("""COMPUTED_VALUE"""),"TW")</f>
        <v>TW</v>
      </c>
      <c r="C48" s="37"/>
      <c r="D48" s="37"/>
      <c r="E48" s="37"/>
      <c r="F48" s="37" t="str">
        <f>IFERROR(__xludf.DUMMYFUNCTION("""COMPUTED_VALUE"""),"行銷營運中心")</f>
        <v>行銷營運中心</v>
      </c>
      <c r="G48" s="37" t="str">
        <f>IFERROR(__xludf.DUMMYFUNCTION("""COMPUTED_VALUE"""),"Notion")</f>
        <v>Notion</v>
      </c>
      <c r="H48" s="39">
        <f>IFERROR(__xludf.DUMMYFUNCTION("""COMPUTED_VALUE"""),300.0)</f>
        <v>300</v>
      </c>
      <c r="I48" s="37">
        <f>IFERROR(__xludf.DUMMYFUNCTION("""COMPUTED_VALUE"""),50.0)</f>
        <v>50</v>
      </c>
      <c r="J48" s="37">
        <f>IFERROR(__xludf.DUMMYFUNCTION("""COMPUTED_VALUE"""),15000.0)</f>
        <v>15000</v>
      </c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B49" s="37" t="str">
        <f>IFERROR(__xludf.DUMMYFUNCTION("""COMPUTED_VALUE"""),"TW")</f>
        <v>TW</v>
      </c>
      <c r="C49" s="37"/>
      <c r="D49" s="37"/>
      <c r="E49" s="37"/>
      <c r="F49" s="37" t="str">
        <f>IFERROR(__xludf.DUMMYFUNCTION("""COMPUTED_VALUE"""),"研發中心")</f>
        <v>研發中心</v>
      </c>
      <c r="G49" s="37" t="str">
        <f>IFERROR(__xludf.DUMMYFUNCTION("""COMPUTED_VALUE"""),"Notion")</f>
        <v>Notion</v>
      </c>
      <c r="H49" s="39">
        <f>IFERROR(__xludf.DUMMYFUNCTION("""COMPUTED_VALUE"""),300.0)</f>
        <v>300</v>
      </c>
      <c r="I49" s="37">
        <f>IFERROR(__xludf.DUMMYFUNCTION("""COMPUTED_VALUE"""),48.0)</f>
        <v>48</v>
      </c>
      <c r="J49" s="37">
        <f>IFERROR(__xludf.DUMMYFUNCTION("""COMPUTED_VALUE"""),14400.0)</f>
        <v>14400</v>
      </c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B50" s="37" t="str">
        <f>IFERROR(__xludf.DUMMYFUNCTION("""COMPUTED_VALUE"""),"TW")</f>
        <v>TW</v>
      </c>
      <c r="C50" s="37"/>
      <c r="D50" s="37"/>
      <c r="E50" s="37"/>
      <c r="F50" s="37" t="str">
        <f>IFERROR(__xludf.DUMMYFUNCTION("""COMPUTED_VALUE"""),"客戶價值中心")</f>
        <v>客戶價值中心</v>
      </c>
      <c r="G50" s="37" t="str">
        <f>IFERROR(__xludf.DUMMYFUNCTION("""COMPUTED_VALUE"""),"Notion")</f>
        <v>Notion</v>
      </c>
      <c r="H50" s="39">
        <f>IFERROR(__xludf.DUMMYFUNCTION("""COMPUTED_VALUE"""),300.0)</f>
        <v>300</v>
      </c>
      <c r="I50" s="37">
        <f>IFERROR(__xludf.DUMMYFUNCTION("""COMPUTED_VALUE"""),31.0)</f>
        <v>31</v>
      </c>
      <c r="J50" s="37">
        <f>IFERROR(__xludf.DUMMYFUNCTION("""COMPUTED_VALUE"""),9300.0)</f>
        <v>9300</v>
      </c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B51" s="37" t="str">
        <f>IFERROR(__xludf.DUMMYFUNCTION("""COMPUTED_VALUE"""),"TW")</f>
        <v>TW</v>
      </c>
      <c r="C51" s="37"/>
      <c r="D51" s="37"/>
      <c r="E51" s="37"/>
      <c r="F51" s="37" t="str">
        <f>IFERROR(__xludf.DUMMYFUNCTION("""COMPUTED_VALUE"""),"管理中心")</f>
        <v>管理中心</v>
      </c>
      <c r="G51" s="37" t="str">
        <f>IFERROR(__xludf.DUMMYFUNCTION("""COMPUTED_VALUE"""),"Notion")</f>
        <v>Notion</v>
      </c>
      <c r="H51" s="39">
        <f>IFERROR(__xludf.DUMMYFUNCTION("""COMPUTED_VALUE"""),300.0)</f>
        <v>300</v>
      </c>
      <c r="I51" s="37">
        <f>IFERROR(__xludf.DUMMYFUNCTION("""COMPUTED_VALUE"""),12.0)</f>
        <v>12</v>
      </c>
      <c r="J51" s="37">
        <f>IFERROR(__xludf.DUMMYFUNCTION("""COMPUTED_VALUE"""),3600.0)</f>
        <v>3600</v>
      </c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B52" s="37" t="str">
        <f>IFERROR(__xludf.DUMMYFUNCTION("""COMPUTED_VALUE"""),"TW")</f>
        <v>TW</v>
      </c>
      <c r="C52" s="37"/>
      <c r="D52" s="37"/>
      <c r="E52" s="37"/>
      <c r="F52" s="37" t="str">
        <f>IFERROR(__xludf.DUMMYFUNCTION("""COMPUTED_VALUE"""),"執行長室")</f>
        <v>執行長室</v>
      </c>
      <c r="G52" s="37" t="str">
        <f>IFERROR(__xludf.DUMMYFUNCTION("""COMPUTED_VALUE"""),"Notion")</f>
        <v>Notion</v>
      </c>
      <c r="H52" s="39">
        <f>IFERROR(__xludf.DUMMYFUNCTION("""COMPUTED_VALUE"""),300.0)</f>
        <v>300</v>
      </c>
      <c r="I52" s="37">
        <f>IFERROR(__xludf.DUMMYFUNCTION("""COMPUTED_VALUE"""),4.0)</f>
        <v>4</v>
      </c>
      <c r="J52" s="37">
        <f>IFERROR(__xludf.DUMMYFUNCTION("""COMPUTED_VALUE"""),1200.0)</f>
        <v>1200</v>
      </c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B53" s="37" t="str">
        <f>IFERROR(__xludf.DUMMYFUNCTION("""COMPUTED_VALUE"""),"TW")</f>
        <v>TW</v>
      </c>
      <c r="C53" s="37"/>
      <c r="D53" s="37"/>
      <c r="E53" s="37"/>
      <c r="F53" s="37" t="str">
        <f>IFERROR(__xludf.DUMMYFUNCTION("""COMPUTED_VALUE"""),"財務中心")</f>
        <v>財務中心</v>
      </c>
      <c r="G53" s="37" t="str">
        <f>IFERROR(__xludf.DUMMYFUNCTION("""COMPUTED_VALUE"""),"Notion")</f>
        <v>Notion</v>
      </c>
      <c r="H53" s="39">
        <f>IFERROR(__xludf.DUMMYFUNCTION("""COMPUTED_VALUE"""),300.0)</f>
        <v>300</v>
      </c>
      <c r="I53" s="37">
        <f>IFERROR(__xludf.DUMMYFUNCTION("""COMPUTED_VALUE"""),5.0)</f>
        <v>5</v>
      </c>
      <c r="J53" s="37">
        <f>IFERROR(__xludf.DUMMYFUNCTION("""COMPUTED_VALUE"""),1500.0)</f>
        <v>1500</v>
      </c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B54" s="37" t="str">
        <f>IFERROR(__xludf.DUMMYFUNCTION("""COMPUTED_VALUE"""),"QLR")</f>
        <v>QLR</v>
      </c>
      <c r="C54" s="37"/>
      <c r="D54" s="37"/>
      <c r="E54" s="37"/>
      <c r="F54" s="37" t="str">
        <f>IFERROR(__xludf.DUMMYFUNCTION("""COMPUTED_VALUE"""),"Qlieer")</f>
        <v>Qlieer</v>
      </c>
      <c r="G54" s="37" t="str">
        <f>IFERROR(__xludf.DUMMYFUNCTION("""COMPUTED_VALUE"""),"Notion")</f>
        <v>Notion</v>
      </c>
      <c r="H54" s="39">
        <f>IFERROR(__xludf.DUMMYFUNCTION("""COMPUTED_VALUE"""),300.0)</f>
        <v>300</v>
      </c>
      <c r="I54" s="37">
        <f>IFERROR(__xludf.DUMMYFUNCTION("""COMPUTED_VALUE"""),2.0)</f>
        <v>2</v>
      </c>
      <c r="J54" s="37">
        <f>IFERROR(__xludf.DUMMYFUNCTION("""COMPUTED_VALUE"""),600.0)</f>
        <v>600</v>
      </c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B55" s="37" t="str">
        <f>IFERROR(__xludf.DUMMYFUNCTION("""COMPUTED_VALUE"""),"TW")</f>
        <v>TW</v>
      </c>
      <c r="C55" s="37"/>
      <c r="D55" s="37"/>
      <c r="E55" s="37"/>
      <c r="F55" s="37" t="str">
        <f>IFERROR(__xludf.DUMMYFUNCTION("""COMPUTED_VALUE"""),"策略資料中心")</f>
        <v>策略資料中心</v>
      </c>
      <c r="G55" s="37" t="str">
        <f>IFERROR(__xludf.DUMMYFUNCTION("""COMPUTED_VALUE"""),"Notion")</f>
        <v>Notion</v>
      </c>
      <c r="H55" s="39">
        <f>IFERROR(__xludf.DUMMYFUNCTION("""COMPUTED_VALUE"""),300.0)</f>
        <v>300</v>
      </c>
      <c r="I55" s="37">
        <f>IFERROR(__xludf.DUMMYFUNCTION("""COMPUTED_VALUE"""),4.0)</f>
        <v>4</v>
      </c>
      <c r="J55" s="37">
        <f>IFERROR(__xludf.DUMMYFUNCTION("""COMPUTED_VALUE"""),1200.0)</f>
        <v>1200</v>
      </c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B56" s="37" t="str">
        <f>IFERROR(__xludf.DUMMYFUNCTION("""COMPUTED_VALUE"""),"HK")</f>
        <v>HK</v>
      </c>
      <c r="C56" s="37"/>
      <c r="D56" s="37"/>
      <c r="E56" s="37"/>
      <c r="F56" s="37" t="str">
        <f>IFERROR(__xludf.DUMMYFUNCTION("""COMPUTED_VALUE"""),"海外執行長室")</f>
        <v>海外執行長室</v>
      </c>
      <c r="G56" s="37" t="str">
        <f>IFERROR(__xludf.DUMMYFUNCTION("""COMPUTED_VALUE"""),"Notion")</f>
        <v>Notion</v>
      </c>
      <c r="H56" s="39">
        <f>IFERROR(__xludf.DUMMYFUNCTION("""COMPUTED_VALUE"""),300.0)</f>
        <v>300</v>
      </c>
      <c r="I56" s="37">
        <f>IFERROR(__xludf.DUMMYFUNCTION("""COMPUTED_VALUE"""),0.0)</f>
        <v>0</v>
      </c>
      <c r="J56" s="37">
        <f>IFERROR(__xludf.DUMMYFUNCTION("""COMPUTED_VALUE"""),0.0)</f>
        <v>0</v>
      </c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B57" s="37" t="str">
        <f>IFERROR(__xludf.DUMMYFUNCTION("""COMPUTED_VALUE"""),"TW")</f>
        <v>TW</v>
      </c>
      <c r="C57" s="37"/>
      <c r="D57" s="37"/>
      <c r="E57" s="37"/>
      <c r="F57" s="37" t="str">
        <f>IFERROR(__xludf.DUMMYFUNCTION("""COMPUTED_VALUE"""),"行銷營運中心")</f>
        <v>行銷營運中心</v>
      </c>
      <c r="G57" s="37" t="str">
        <f>IFERROR(__xludf.DUMMYFUNCTION("""COMPUTED_VALUE"""),"Salesforce Sales Cloud")</f>
        <v>Salesforce Sales Cloud</v>
      </c>
      <c r="H57" s="40">
        <f>IFERROR(__xludf.DUMMYFUNCTION("""COMPUTED_VALUE"""),3728.0)</f>
        <v>3728</v>
      </c>
      <c r="I57" s="37">
        <f>IFERROR(__xludf.DUMMYFUNCTION("""COMPUTED_VALUE"""),40.0)</f>
        <v>40</v>
      </c>
      <c r="J57" s="40">
        <f>IFERROR(__xludf.DUMMYFUNCTION("""COMPUTED_VALUE"""),149120.0)</f>
        <v>149120</v>
      </c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B58" s="37" t="str">
        <f>IFERROR(__xludf.DUMMYFUNCTION("""COMPUTED_VALUE"""),"TW")</f>
        <v>TW</v>
      </c>
      <c r="C58" s="37"/>
      <c r="D58" s="37"/>
      <c r="E58" s="37"/>
      <c r="F58" s="37" t="str">
        <f>IFERROR(__xludf.DUMMYFUNCTION("""COMPUTED_VALUE"""),"研發中心")</f>
        <v>研發中心</v>
      </c>
      <c r="G58" s="37" t="str">
        <f>IFERROR(__xludf.DUMMYFUNCTION("""COMPUTED_VALUE"""),"Salesforce Sales Cloud")</f>
        <v>Salesforce Sales Cloud</v>
      </c>
      <c r="H58" s="40">
        <f>IFERROR(__xludf.DUMMYFUNCTION("""COMPUTED_VALUE"""),3728.0)</f>
        <v>3728</v>
      </c>
      <c r="I58" s="37">
        <f>IFERROR(__xludf.DUMMYFUNCTION("""COMPUTED_VALUE"""),2.0)</f>
        <v>2</v>
      </c>
      <c r="J58" s="40">
        <f>IFERROR(__xludf.DUMMYFUNCTION("""COMPUTED_VALUE"""),7456.0)</f>
        <v>7456</v>
      </c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B59" s="37" t="str">
        <f>IFERROR(__xludf.DUMMYFUNCTION("""COMPUTED_VALUE"""),"TW")</f>
        <v>TW</v>
      </c>
      <c r="C59" s="37"/>
      <c r="D59" s="37"/>
      <c r="E59" s="37"/>
      <c r="F59" s="37" t="str">
        <f>IFERROR(__xludf.DUMMYFUNCTION("""COMPUTED_VALUE"""),"客戶價值中心")</f>
        <v>客戶價值中心</v>
      </c>
      <c r="G59" s="37" t="str">
        <f>IFERROR(__xludf.DUMMYFUNCTION("""COMPUTED_VALUE"""),"Salesforce Sales Cloud")</f>
        <v>Salesforce Sales Cloud</v>
      </c>
      <c r="H59" s="40">
        <f>IFERROR(__xludf.DUMMYFUNCTION("""COMPUTED_VALUE"""),3728.0)</f>
        <v>3728</v>
      </c>
      <c r="I59" s="37">
        <f>IFERROR(__xludf.DUMMYFUNCTION("""COMPUTED_VALUE"""),0.0)</f>
        <v>0</v>
      </c>
      <c r="J59" s="40">
        <f>IFERROR(__xludf.DUMMYFUNCTION("""COMPUTED_VALUE"""),0.0)</f>
        <v>0</v>
      </c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B60" s="37" t="str">
        <f>IFERROR(__xludf.DUMMYFUNCTION("""COMPUTED_VALUE"""),"TW")</f>
        <v>TW</v>
      </c>
      <c r="C60" s="37"/>
      <c r="D60" s="37"/>
      <c r="E60" s="37"/>
      <c r="F60" s="37" t="str">
        <f>IFERROR(__xludf.DUMMYFUNCTION("""COMPUTED_VALUE"""),"管理中心")</f>
        <v>管理中心</v>
      </c>
      <c r="G60" s="37" t="str">
        <f>IFERROR(__xludf.DUMMYFUNCTION("""COMPUTED_VALUE"""),"Salesforce Sales Cloud")</f>
        <v>Salesforce Sales Cloud</v>
      </c>
      <c r="H60" s="40">
        <f>IFERROR(__xludf.DUMMYFUNCTION("""COMPUTED_VALUE"""),3728.0)</f>
        <v>3728</v>
      </c>
      <c r="I60" s="37">
        <f>IFERROR(__xludf.DUMMYFUNCTION("""COMPUTED_VALUE"""),2.0)</f>
        <v>2</v>
      </c>
      <c r="J60" s="40">
        <f>IFERROR(__xludf.DUMMYFUNCTION("""COMPUTED_VALUE"""),7456.0)</f>
        <v>7456</v>
      </c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B61" s="37" t="str">
        <f>IFERROR(__xludf.DUMMYFUNCTION("""COMPUTED_VALUE"""),"TW")</f>
        <v>TW</v>
      </c>
      <c r="C61" s="37"/>
      <c r="D61" s="37"/>
      <c r="E61" s="37"/>
      <c r="F61" s="37" t="str">
        <f>IFERROR(__xludf.DUMMYFUNCTION("""COMPUTED_VALUE"""),"執行長室")</f>
        <v>執行長室</v>
      </c>
      <c r="G61" s="37" t="str">
        <f>IFERROR(__xludf.DUMMYFUNCTION("""COMPUTED_VALUE"""),"Salesforce Sales Cloud")</f>
        <v>Salesforce Sales Cloud</v>
      </c>
      <c r="H61" s="40">
        <f>IFERROR(__xludf.DUMMYFUNCTION("""COMPUTED_VALUE"""),3728.0)</f>
        <v>3728</v>
      </c>
      <c r="I61" s="37">
        <f>IFERROR(__xludf.DUMMYFUNCTION("""COMPUTED_VALUE"""),2.0)</f>
        <v>2</v>
      </c>
      <c r="J61" s="40">
        <f>IFERROR(__xludf.DUMMYFUNCTION("""COMPUTED_VALUE"""),7456.0)</f>
        <v>7456</v>
      </c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B62" s="37" t="str">
        <f>IFERROR(__xludf.DUMMYFUNCTION("""COMPUTED_VALUE"""),"TW")</f>
        <v>TW</v>
      </c>
      <c r="C62" s="37"/>
      <c r="D62" s="37"/>
      <c r="E62" s="37"/>
      <c r="F62" s="37" t="str">
        <f>IFERROR(__xludf.DUMMYFUNCTION("""COMPUTED_VALUE"""),"財務中心")</f>
        <v>財務中心</v>
      </c>
      <c r="G62" s="37" t="str">
        <f>IFERROR(__xludf.DUMMYFUNCTION("""COMPUTED_VALUE"""),"Salesforce Sales Cloud")</f>
        <v>Salesforce Sales Cloud</v>
      </c>
      <c r="H62" s="40">
        <f>IFERROR(__xludf.DUMMYFUNCTION("""COMPUTED_VALUE"""),3728.0)</f>
        <v>3728</v>
      </c>
      <c r="I62" s="37">
        <f>IFERROR(__xludf.DUMMYFUNCTION("""COMPUTED_VALUE"""),0.0)</f>
        <v>0</v>
      </c>
      <c r="J62" s="40">
        <f>IFERROR(__xludf.DUMMYFUNCTION("""COMPUTED_VALUE"""),0.0)</f>
        <v>0</v>
      </c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B63" s="37" t="str">
        <f>IFERROR(__xludf.DUMMYFUNCTION("""COMPUTED_VALUE"""),"QLR")</f>
        <v>QLR</v>
      </c>
      <c r="C63" s="37"/>
      <c r="D63" s="37"/>
      <c r="E63" s="37"/>
      <c r="F63" s="37" t="str">
        <f>IFERROR(__xludf.DUMMYFUNCTION("""COMPUTED_VALUE"""),"Qlieer")</f>
        <v>Qlieer</v>
      </c>
      <c r="G63" s="37" t="str">
        <f>IFERROR(__xludf.DUMMYFUNCTION("""COMPUTED_VALUE"""),"Salesforce Sales Cloud")</f>
        <v>Salesforce Sales Cloud</v>
      </c>
      <c r="H63" s="40">
        <f>IFERROR(__xludf.DUMMYFUNCTION("""COMPUTED_VALUE"""),3728.0)</f>
        <v>3728</v>
      </c>
      <c r="I63" s="37">
        <f>IFERROR(__xludf.DUMMYFUNCTION("""COMPUTED_VALUE"""),0.0)</f>
        <v>0</v>
      </c>
      <c r="J63" s="40">
        <f>IFERROR(__xludf.DUMMYFUNCTION("""COMPUTED_VALUE"""),0.0)</f>
        <v>0</v>
      </c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B64" s="37" t="str">
        <f>IFERROR(__xludf.DUMMYFUNCTION("""COMPUTED_VALUE"""),"TW")</f>
        <v>TW</v>
      </c>
      <c r="C64" s="37"/>
      <c r="D64" s="37"/>
      <c r="E64" s="37"/>
      <c r="F64" s="37" t="str">
        <f>IFERROR(__xludf.DUMMYFUNCTION("""COMPUTED_VALUE"""),"策略資料中心")</f>
        <v>策略資料中心</v>
      </c>
      <c r="G64" s="37" t="str">
        <f>IFERROR(__xludf.DUMMYFUNCTION("""COMPUTED_VALUE"""),"Salesforce Sales Cloud")</f>
        <v>Salesforce Sales Cloud</v>
      </c>
      <c r="H64" s="40">
        <f>IFERROR(__xludf.DUMMYFUNCTION("""COMPUTED_VALUE"""),3728.0)</f>
        <v>3728</v>
      </c>
      <c r="I64" s="37">
        <f>IFERROR(__xludf.DUMMYFUNCTION("""COMPUTED_VALUE"""),2.0)</f>
        <v>2</v>
      </c>
      <c r="J64" s="40">
        <f>IFERROR(__xludf.DUMMYFUNCTION("""COMPUTED_VALUE"""),7456.0)</f>
        <v>7456</v>
      </c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B65" s="37" t="str">
        <f>IFERROR(__xludf.DUMMYFUNCTION("""COMPUTED_VALUE"""),"HK")</f>
        <v>HK</v>
      </c>
      <c r="C65" s="37"/>
      <c r="D65" s="37"/>
      <c r="E65" s="37"/>
      <c r="F65" s="37" t="str">
        <f>IFERROR(__xludf.DUMMYFUNCTION("""COMPUTED_VALUE"""),"海外執行長室")</f>
        <v>海外執行長室</v>
      </c>
      <c r="G65" s="37" t="str">
        <f>IFERROR(__xludf.DUMMYFUNCTION("""COMPUTED_VALUE"""),"Salesforce Sales Cloud")</f>
        <v>Salesforce Sales Cloud</v>
      </c>
      <c r="H65" s="40">
        <f>IFERROR(__xludf.DUMMYFUNCTION("""COMPUTED_VALUE"""),3728.0)</f>
        <v>3728</v>
      </c>
      <c r="I65" s="37">
        <f>IFERROR(__xludf.DUMMYFUNCTION("""COMPUTED_VALUE"""),0.0)</f>
        <v>0</v>
      </c>
      <c r="J65" s="40">
        <f>IFERROR(__xludf.DUMMYFUNCTION("""COMPUTED_VALUE"""),0.0)</f>
        <v>0</v>
      </c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B66" s="37" t="str">
        <f>IFERROR(__xludf.DUMMYFUNCTION("""COMPUTED_VALUE"""),"TW")</f>
        <v>TW</v>
      </c>
      <c r="C66" s="37"/>
      <c r="D66" s="37"/>
      <c r="E66" s="37"/>
      <c r="F66" s="37" t="str">
        <f>IFERROR(__xludf.DUMMYFUNCTION("""COMPUTED_VALUE"""),"行銷營運中心")</f>
        <v>行銷營運中心</v>
      </c>
      <c r="G66" s="37" t="str">
        <f>IFERROR(__xludf.DUMMYFUNCTION("""COMPUTED_VALUE"""),"Salesforce Service Cloud")</f>
        <v>Salesforce Service Cloud</v>
      </c>
      <c r="H66" s="40">
        <f>IFERROR(__xludf.DUMMYFUNCTION("""COMPUTED_VALUE"""),3728.0)</f>
        <v>3728</v>
      </c>
      <c r="I66" s="37">
        <f>IFERROR(__xludf.DUMMYFUNCTION("""COMPUTED_VALUE"""),0.0)</f>
        <v>0</v>
      </c>
      <c r="J66" s="40">
        <f>IFERROR(__xludf.DUMMYFUNCTION("""COMPUTED_VALUE"""),0.0)</f>
        <v>0</v>
      </c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B67" s="37" t="str">
        <f>IFERROR(__xludf.DUMMYFUNCTION("""COMPUTED_VALUE"""),"TW")</f>
        <v>TW</v>
      </c>
      <c r="C67" s="37"/>
      <c r="D67" s="37"/>
      <c r="E67" s="37"/>
      <c r="F67" s="37" t="str">
        <f>IFERROR(__xludf.DUMMYFUNCTION("""COMPUTED_VALUE"""),"研發中心")</f>
        <v>研發中心</v>
      </c>
      <c r="G67" s="37" t="str">
        <f>IFERROR(__xludf.DUMMYFUNCTION("""COMPUTED_VALUE"""),"Salesforce Service Cloud")</f>
        <v>Salesforce Service Cloud</v>
      </c>
      <c r="H67" s="40">
        <f>IFERROR(__xludf.DUMMYFUNCTION("""COMPUTED_VALUE"""),3728.0)</f>
        <v>3728</v>
      </c>
      <c r="I67" s="37">
        <f>IFERROR(__xludf.DUMMYFUNCTION("""COMPUTED_VALUE"""),0.0)</f>
        <v>0</v>
      </c>
      <c r="J67" s="40">
        <f>IFERROR(__xludf.DUMMYFUNCTION("""COMPUTED_VALUE"""),0.0)</f>
        <v>0</v>
      </c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B68" s="37" t="str">
        <f>IFERROR(__xludf.DUMMYFUNCTION("""COMPUTED_VALUE"""),"TW")</f>
        <v>TW</v>
      </c>
      <c r="C68" s="37"/>
      <c r="D68" s="37"/>
      <c r="E68" s="37"/>
      <c r="F68" s="37" t="str">
        <f>IFERROR(__xludf.DUMMYFUNCTION("""COMPUTED_VALUE"""),"客戶價值中心")</f>
        <v>客戶價值中心</v>
      </c>
      <c r="G68" s="37" t="str">
        <f>IFERROR(__xludf.DUMMYFUNCTION("""COMPUTED_VALUE"""),"Salesforce Service Cloud")</f>
        <v>Salesforce Service Cloud</v>
      </c>
      <c r="H68" s="40">
        <f>IFERROR(__xludf.DUMMYFUNCTION("""COMPUTED_VALUE"""),3728.0)</f>
        <v>3728</v>
      </c>
      <c r="I68" s="37">
        <f>IFERROR(__xludf.DUMMYFUNCTION("""COMPUTED_VALUE"""),28.0)</f>
        <v>28</v>
      </c>
      <c r="J68" s="40">
        <f>IFERROR(__xludf.DUMMYFUNCTION("""COMPUTED_VALUE"""),104384.0)</f>
        <v>104384</v>
      </c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B69" s="37" t="str">
        <f>IFERROR(__xludf.DUMMYFUNCTION("""COMPUTED_VALUE"""),"TW")</f>
        <v>TW</v>
      </c>
      <c r="C69" s="37"/>
      <c r="D69" s="37"/>
      <c r="E69" s="37"/>
      <c r="F69" s="37" t="str">
        <f>IFERROR(__xludf.DUMMYFUNCTION("""COMPUTED_VALUE"""),"管理中心")</f>
        <v>管理中心</v>
      </c>
      <c r="G69" s="37" t="str">
        <f>IFERROR(__xludf.DUMMYFUNCTION("""COMPUTED_VALUE"""),"Salesforce Service Cloud")</f>
        <v>Salesforce Service Cloud</v>
      </c>
      <c r="H69" s="40">
        <f>IFERROR(__xludf.DUMMYFUNCTION("""COMPUTED_VALUE"""),3728.0)</f>
        <v>3728</v>
      </c>
      <c r="I69" s="37">
        <f>IFERROR(__xludf.DUMMYFUNCTION("""COMPUTED_VALUE"""),4.0)</f>
        <v>4</v>
      </c>
      <c r="J69" s="40">
        <f>IFERROR(__xludf.DUMMYFUNCTION("""COMPUTED_VALUE"""),14912.0)</f>
        <v>14912</v>
      </c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B70" s="37" t="str">
        <f>IFERROR(__xludf.DUMMYFUNCTION("""COMPUTED_VALUE"""),"TW")</f>
        <v>TW</v>
      </c>
      <c r="C70" s="37"/>
      <c r="D70" s="37"/>
      <c r="E70" s="37"/>
      <c r="F70" s="37" t="str">
        <f>IFERROR(__xludf.DUMMYFUNCTION("""COMPUTED_VALUE"""),"執行長室")</f>
        <v>執行長室</v>
      </c>
      <c r="G70" s="37" t="str">
        <f>IFERROR(__xludf.DUMMYFUNCTION("""COMPUTED_VALUE"""),"Salesforce Service Cloud")</f>
        <v>Salesforce Service Cloud</v>
      </c>
      <c r="H70" s="40">
        <f>IFERROR(__xludf.DUMMYFUNCTION("""COMPUTED_VALUE"""),3728.0)</f>
        <v>3728</v>
      </c>
      <c r="I70" s="37">
        <f>IFERROR(__xludf.DUMMYFUNCTION("""COMPUTED_VALUE"""),0.0)</f>
        <v>0</v>
      </c>
      <c r="J70" s="40">
        <f>IFERROR(__xludf.DUMMYFUNCTION("""COMPUTED_VALUE"""),0.0)</f>
        <v>0</v>
      </c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B71" s="37" t="str">
        <f>IFERROR(__xludf.DUMMYFUNCTION("""COMPUTED_VALUE"""),"TW")</f>
        <v>TW</v>
      </c>
      <c r="C71" s="37"/>
      <c r="D71" s="37"/>
      <c r="E71" s="37"/>
      <c r="F71" s="37" t="str">
        <f>IFERROR(__xludf.DUMMYFUNCTION("""COMPUTED_VALUE"""),"財務中心")</f>
        <v>財務中心</v>
      </c>
      <c r="G71" s="37" t="str">
        <f>IFERROR(__xludf.DUMMYFUNCTION("""COMPUTED_VALUE"""),"Salesforce Service Cloud")</f>
        <v>Salesforce Service Cloud</v>
      </c>
      <c r="H71" s="40">
        <f>IFERROR(__xludf.DUMMYFUNCTION("""COMPUTED_VALUE"""),3728.0)</f>
        <v>3728</v>
      </c>
      <c r="I71" s="37">
        <f>IFERROR(__xludf.DUMMYFUNCTION("""COMPUTED_VALUE"""),0.0)</f>
        <v>0</v>
      </c>
      <c r="J71" s="40">
        <f>IFERROR(__xludf.DUMMYFUNCTION("""COMPUTED_VALUE"""),0.0)</f>
        <v>0</v>
      </c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B72" s="37" t="str">
        <f>IFERROR(__xludf.DUMMYFUNCTION("""COMPUTED_VALUE"""),"QLR")</f>
        <v>QLR</v>
      </c>
      <c r="C72" s="37"/>
      <c r="D72" s="37"/>
      <c r="E72" s="37"/>
      <c r="F72" s="37" t="str">
        <f>IFERROR(__xludf.DUMMYFUNCTION("""COMPUTED_VALUE"""),"Qlieer")</f>
        <v>Qlieer</v>
      </c>
      <c r="G72" s="37" t="str">
        <f>IFERROR(__xludf.DUMMYFUNCTION("""COMPUTED_VALUE"""),"Salesforce Service Cloud")</f>
        <v>Salesforce Service Cloud</v>
      </c>
      <c r="H72" s="40">
        <f>IFERROR(__xludf.DUMMYFUNCTION("""COMPUTED_VALUE"""),3728.0)</f>
        <v>3728</v>
      </c>
      <c r="I72" s="37">
        <f>IFERROR(__xludf.DUMMYFUNCTION("""COMPUTED_VALUE"""),0.0)</f>
        <v>0</v>
      </c>
      <c r="J72" s="40">
        <f>IFERROR(__xludf.DUMMYFUNCTION("""COMPUTED_VALUE"""),0.0)</f>
        <v>0</v>
      </c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B73" s="37" t="str">
        <f>IFERROR(__xludf.DUMMYFUNCTION("""COMPUTED_VALUE"""),"TW")</f>
        <v>TW</v>
      </c>
      <c r="C73" s="37"/>
      <c r="D73" s="37"/>
      <c r="E73" s="37"/>
      <c r="F73" s="37" t="str">
        <f>IFERROR(__xludf.DUMMYFUNCTION("""COMPUTED_VALUE"""),"策略資料中心")</f>
        <v>策略資料中心</v>
      </c>
      <c r="G73" s="37" t="str">
        <f>IFERROR(__xludf.DUMMYFUNCTION("""COMPUTED_VALUE"""),"Salesforce Service Cloud")</f>
        <v>Salesforce Service Cloud</v>
      </c>
      <c r="H73" s="40">
        <f>IFERROR(__xludf.DUMMYFUNCTION("""COMPUTED_VALUE"""),3728.0)</f>
        <v>3728</v>
      </c>
      <c r="I73" s="37">
        <f>IFERROR(__xludf.DUMMYFUNCTION("""COMPUTED_VALUE"""),0.0)</f>
        <v>0</v>
      </c>
      <c r="J73" s="40">
        <f>IFERROR(__xludf.DUMMYFUNCTION("""COMPUTED_VALUE"""),0.0)</f>
        <v>0</v>
      </c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B74" s="37" t="str">
        <f>IFERROR(__xludf.DUMMYFUNCTION("""COMPUTED_VALUE"""),"HK")</f>
        <v>HK</v>
      </c>
      <c r="C74" s="37"/>
      <c r="D74" s="37"/>
      <c r="E74" s="37"/>
      <c r="F74" s="37" t="str">
        <f>IFERROR(__xludf.DUMMYFUNCTION("""COMPUTED_VALUE"""),"海外執行長室")</f>
        <v>海外執行長室</v>
      </c>
      <c r="G74" s="37" t="str">
        <f>IFERROR(__xludf.DUMMYFUNCTION("""COMPUTED_VALUE"""),"Salesforce Service Cloud")</f>
        <v>Salesforce Service Cloud</v>
      </c>
      <c r="H74" s="40">
        <f>IFERROR(__xludf.DUMMYFUNCTION("""COMPUTED_VALUE"""),3728.0)</f>
        <v>3728</v>
      </c>
      <c r="I74" s="37">
        <f>IFERROR(__xludf.DUMMYFUNCTION("""COMPUTED_VALUE"""),0.0)</f>
        <v>0</v>
      </c>
      <c r="J74" s="40">
        <f>IFERROR(__xludf.DUMMYFUNCTION("""COMPUTED_VALUE"""),0.0)</f>
        <v>0</v>
      </c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B75" s="37" t="str">
        <f>IFERROR(__xludf.DUMMYFUNCTION("""COMPUTED_VALUE"""),"TW")</f>
        <v>TW</v>
      </c>
      <c r="C75" s="37"/>
      <c r="D75" s="37"/>
      <c r="E75" s="37"/>
      <c r="F75" s="37" t="str">
        <f>IFERROR(__xludf.DUMMYFUNCTION("""COMPUTED_VALUE"""),"行銷營運中心")</f>
        <v>行銷營運中心</v>
      </c>
      <c r="G75" s="37" t="str">
        <f>IFERROR(__xludf.DUMMYFUNCTION("""COMPUTED_VALUE"""),"Salesforce Sales+Service Cloud")</f>
        <v>Salesforce Sales+Service Cloud</v>
      </c>
      <c r="H75" s="40">
        <f>IFERROR(__xludf.DUMMYFUNCTION("""COMPUTED_VALUE"""),4680.0)</f>
        <v>4680</v>
      </c>
      <c r="I75" s="37">
        <f>IFERROR(__xludf.DUMMYFUNCTION("""COMPUTED_VALUE"""),0.0)</f>
        <v>0</v>
      </c>
      <c r="J75" s="40">
        <f>IFERROR(__xludf.DUMMYFUNCTION("""COMPUTED_VALUE"""),0.0)</f>
        <v>0</v>
      </c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B76" s="37" t="str">
        <f>IFERROR(__xludf.DUMMYFUNCTION("""COMPUTED_VALUE"""),"TW")</f>
        <v>TW</v>
      </c>
      <c r="C76" s="37"/>
      <c r="D76" s="37"/>
      <c r="E76" s="37"/>
      <c r="F76" s="37" t="str">
        <f>IFERROR(__xludf.DUMMYFUNCTION("""COMPUTED_VALUE"""),"研發中心")</f>
        <v>研發中心</v>
      </c>
      <c r="G76" s="37" t="str">
        <f>IFERROR(__xludf.DUMMYFUNCTION("""COMPUTED_VALUE"""),"Salesforce Sales+Service Cloud")</f>
        <v>Salesforce Sales+Service Cloud</v>
      </c>
      <c r="H76" s="40">
        <f>IFERROR(__xludf.DUMMYFUNCTION("""COMPUTED_VALUE"""),4680.0)</f>
        <v>4680</v>
      </c>
      <c r="I76" s="37">
        <f>IFERROR(__xludf.DUMMYFUNCTION("""COMPUTED_VALUE"""),0.0)</f>
        <v>0</v>
      </c>
      <c r="J76" s="40">
        <f>IFERROR(__xludf.DUMMYFUNCTION("""COMPUTED_VALUE"""),0.0)</f>
        <v>0</v>
      </c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B77" s="37" t="str">
        <f>IFERROR(__xludf.DUMMYFUNCTION("""COMPUTED_VALUE"""),"TW")</f>
        <v>TW</v>
      </c>
      <c r="C77" s="37"/>
      <c r="D77" s="37"/>
      <c r="E77" s="37"/>
      <c r="F77" s="37" t="str">
        <f>IFERROR(__xludf.DUMMYFUNCTION("""COMPUTED_VALUE"""),"客戶價值中心")</f>
        <v>客戶價值中心</v>
      </c>
      <c r="G77" s="37" t="str">
        <f>IFERROR(__xludf.DUMMYFUNCTION("""COMPUTED_VALUE"""),"Salesforce Sales+Service Cloud")</f>
        <v>Salesforce Sales+Service Cloud</v>
      </c>
      <c r="H77" s="40">
        <f>IFERROR(__xludf.DUMMYFUNCTION("""COMPUTED_VALUE"""),4680.0)</f>
        <v>4680</v>
      </c>
      <c r="I77" s="37">
        <f>IFERROR(__xludf.DUMMYFUNCTION("""COMPUTED_VALUE"""),0.0)</f>
        <v>0</v>
      </c>
      <c r="J77" s="40">
        <f>IFERROR(__xludf.DUMMYFUNCTION("""COMPUTED_VALUE"""),0.0)</f>
        <v>0</v>
      </c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B78" s="37" t="str">
        <f>IFERROR(__xludf.DUMMYFUNCTION("""COMPUTED_VALUE"""),"TW")</f>
        <v>TW</v>
      </c>
      <c r="C78" s="37"/>
      <c r="D78" s="37"/>
      <c r="E78" s="37"/>
      <c r="F78" s="37" t="str">
        <f>IFERROR(__xludf.DUMMYFUNCTION("""COMPUTED_VALUE"""),"管理中心")</f>
        <v>管理中心</v>
      </c>
      <c r="G78" s="37" t="str">
        <f>IFERROR(__xludf.DUMMYFUNCTION("""COMPUTED_VALUE"""),"Salesforce Sales+Service Cloud")</f>
        <v>Salesforce Sales+Service Cloud</v>
      </c>
      <c r="H78" s="40">
        <f>IFERROR(__xludf.DUMMYFUNCTION("""COMPUTED_VALUE"""),4680.0)</f>
        <v>4680</v>
      </c>
      <c r="I78" s="37">
        <f>IFERROR(__xludf.DUMMYFUNCTION("""COMPUTED_VALUE"""),2.0)</f>
        <v>2</v>
      </c>
      <c r="J78" s="40">
        <f>IFERROR(__xludf.DUMMYFUNCTION("""COMPUTED_VALUE"""),9360.0)</f>
        <v>9360</v>
      </c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B79" s="37" t="str">
        <f>IFERROR(__xludf.DUMMYFUNCTION("""COMPUTED_VALUE"""),"TW")</f>
        <v>TW</v>
      </c>
      <c r="C79" s="37"/>
      <c r="D79" s="37"/>
      <c r="E79" s="37"/>
      <c r="F79" s="37" t="str">
        <f>IFERROR(__xludf.DUMMYFUNCTION("""COMPUTED_VALUE"""),"執行長室")</f>
        <v>執行長室</v>
      </c>
      <c r="G79" s="37" t="str">
        <f>IFERROR(__xludf.DUMMYFUNCTION("""COMPUTED_VALUE"""),"Salesforce Sales+Service Cloud")</f>
        <v>Salesforce Sales+Service Cloud</v>
      </c>
      <c r="H79" s="40">
        <f>IFERROR(__xludf.DUMMYFUNCTION("""COMPUTED_VALUE"""),4680.0)</f>
        <v>4680</v>
      </c>
      <c r="I79" s="37">
        <f>IFERROR(__xludf.DUMMYFUNCTION("""COMPUTED_VALUE"""),0.0)</f>
        <v>0</v>
      </c>
      <c r="J79" s="40">
        <f>IFERROR(__xludf.DUMMYFUNCTION("""COMPUTED_VALUE"""),0.0)</f>
        <v>0</v>
      </c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B80" s="37" t="str">
        <f>IFERROR(__xludf.DUMMYFUNCTION("""COMPUTED_VALUE"""),"TW")</f>
        <v>TW</v>
      </c>
      <c r="C80" s="37"/>
      <c r="D80" s="37"/>
      <c r="E80" s="37"/>
      <c r="F80" s="37" t="str">
        <f>IFERROR(__xludf.DUMMYFUNCTION("""COMPUTED_VALUE"""),"財務中心")</f>
        <v>財務中心</v>
      </c>
      <c r="G80" s="37" t="str">
        <f>IFERROR(__xludf.DUMMYFUNCTION("""COMPUTED_VALUE"""),"Salesforce Sales+Service Cloud")</f>
        <v>Salesforce Sales+Service Cloud</v>
      </c>
      <c r="H80" s="40">
        <f>IFERROR(__xludf.DUMMYFUNCTION("""COMPUTED_VALUE"""),4680.0)</f>
        <v>4680</v>
      </c>
      <c r="I80" s="37">
        <f>IFERROR(__xludf.DUMMYFUNCTION("""COMPUTED_VALUE"""),0.0)</f>
        <v>0</v>
      </c>
      <c r="J80" s="40">
        <f>IFERROR(__xludf.DUMMYFUNCTION("""COMPUTED_VALUE"""),0.0)</f>
        <v>0</v>
      </c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B81" s="37" t="str">
        <f>IFERROR(__xludf.DUMMYFUNCTION("""COMPUTED_VALUE"""),"QLR")</f>
        <v>QLR</v>
      </c>
      <c r="C81" s="37"/>
      <c r="D81" s="37"/>
      <c r="E81" s="37"/>
      <c r="F81" s="37" t="str">
        <f>IFERROR(__xludf.DUMMYFUNCTION("""COMPUTED_VALUE"""),"Qlieer")</f>
        <v>Qlieer</v>
      </c>
      <c r="G81" s="37" t="str">
        <f>IFERROR(__xludf.DUMMYFUNCTION("""COMPUTED_VALUE"""),"Salesforce Sales+Service Cloud")</f>
        <v>Salesforce Sales+Service Cloud</v>
      </c>
      <c r="H81" s="40">
        <f>IFERROR(__xludf.DUMMYFUNCTION("""COMPUTED_VALUE"""),4680.0)</f>
        <v>4680</v>
      </c>
      <c r="I81" s="37">
        <f>IFERROR(__xludf.DUMMYFUNCTION("""COMPUTED_VALUE"""),0.0)</f>
        <v>0</v>
      </c>
      <c r="J81" s="40">
        <f>IFERROR(__xludf.DUMMYFUNCTION("""COMPUTED_VALUE"""),0.0)</f>
        <v>0</v>
      </c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B82" s="37" t="str">
        <f>IFERROR(__xludf.DUMMYFUNCTION("""COMPUTED_VALUE"""),"TW")</f>
        <v>TW</v>
      </c>
      <c r="C82" s="37"/>
      <c r="D82" s="37"/>
      <c r="E82" s="37"/>
      <c r="F82" s="37" t="str">
        <f>IFERROR(__xludf.DUMMYFUNCTION("""COMPUTED_VALUE"""),"策略資料中心")</f>
        <v>策略資料中心</v>
      </c>
      <c r="G82" s="37" t="str">
        <f>IFERROR(__xludf.DUMMYFUNCTION("""COMPUTED_VALUE"""),"Salesforce Sales+Service Cloud")</f>
        <v>Salesforce Sales+Service Cloud</v>
      </c>
      <c r="H82" s="40">
        <f>IFERROR(__xludf.DUMMYFUNCTION("""COMPUTED_VALUE"""),4680.0)</f>
        <v>4680</v>
      </c>
      <c r="I82" s="37">
        <f>IFERROR(__xludf.DUMMYFUNCTION("""COMPUTED_VALUE"""),0.0)</f>
        <v>0</v>
      </c>
      <c r="J82" s="40">
        <f>IFERROR(__xludf.DUMMYFUNCTION("""COMPUTED_VALUE"""),0.0)</f>
        <v>0</v>
      </c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B83" s="37" t="str">
        <f>IFERROR(__xludf.DUMMYFUNCTION("""COMPUTED_VALUE"""),"HK")</f>
        <v>HK</v>
      </c>
      <c r="C83" s="37"/>
      <c r="D83" s="37"/>
      <c r="E83" s="37"/>
      <c r="F83" s="37" t="str">
        <f>IFERROR(__xludf.DUMMYFUNCTION("""COMPUTED_VALUE"""),"海外執行長室")</f>
        <v>海外執行長室</v>
      </c>
      <c r="G83" s="37" t="str">
        <f>IFERROR(__xludf.DUMMYFUNCTION("""COMPUTED_VALUE"""),"Salesforce Sales+Service Cloud")</f>
        <v>Salesforce Sales+Service Cloud</v>
      </c>
      <c r="H83" s="40">
        <f>IFERROR(__xludf.DUMMYFUNCTION("""COMPUTED_VALUE"""),4680.0)</f>
        <v>4680</v>
      </c>
      <c r="I83" s="37">
        <f>IFERROR(__xludf.DUMMYFUNCTION("""COMPUTED_VALUE"""),0.0)</f>
        <v>0</v>
      </c>
      <c r="J83" s="40">
        <f>IFERROR(__xludf.DUMMYFUNCTION("""COMPUTED_VALUE"""),0.0)</f>
        <v>0</v>
      </c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B84" s="37" t="str">
        <f>IFERROR(__xludf.DUMMYFUNCTION("""COMPUTED_VALUE"""),"TW")</f>
        <v>TW</v>
      </c>
      <c r="C84" s="37"/>
      <c r="D84" s="37"/>
      <c r="E84" s="37"/>
      <c r="F84" s="37" t="str">
        <f>IFERROR(__xludf.DUMMYFUNCTION("""COMPUTED_VALUE"""),"行銷營運中心")</f>
        <v>行銷營運中心</v>
      </c>
      <c r="G84" s="37" t="str">
        <f>IFERROR(__xludf.DUMMYFUNCTION("""COMPUTED_VALUE"""),"點點簽")</f>
        <v>點點簽</v>
      </c>
      <c r="H84" s="40">
        <f>IFERROR(__xludf.DUMMYFUNCTION("""COMPUTED_VALUE"""),450.0)</f>
        <v>450</v>
      </c>
      <c r="I84" s="37">
        <f>IFERROR(__xludf.DUMMYFUNCTION("""COMPUTED_VALUE"""),3.0)</f>
        <v>3</v>
      </c>
      <c r="J84" s="40">
        <f>IFERROR(__xludf.DUMMYFUNCTION("""COMPUTED_VALUE"""),1350.0)</f>
        <v>1350</v>
      </c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B85" s="37" t="str">
        <f>IFERROR(__xludf.DUMMYFUNCTION("""COMPUTED_VALUE"""),"TW")</f>
        <v>TW</v>
      </c>
      <c r="C85" s="37"/>
      <c r="D85" s="37"/>
      <c r="E85" s="37"/>
      <c r="F85" s="37" t="str">
        <f>IFERROR(__xludf.DUMMYFUNCTION("""COMPUTED_VALUE"""),"研發中心")</f>
        <v>研發中心</v>
      </c>
      <c r="G85" s="37" t="str">
        <f>IFERROR(__xludf.DUMMYFUNCTION("""COMPUTED_VALUE"""),"點點簽")</f>
        <v>點點簽</v>
      </c>
      <c r="H85" s="40">
        <f>IFERROR(__xludf.DUMMYFUNCTION("""COMPUTED_VALUE"""),450.0)</f>
        <v>450</v>
      </c>
      <c r="I85" s="37">
        <f>IFERROR(__xludf.DUMMYFUNCTION("""COMPUTED_VALUE"""),0.0)</f>
        <v>0</v>
      </c>
      <c r="J85" s="40">
        <f>IFERROR(__xludf.DUMMYFUNCTION("""COMPUTED_VALUE"""),0.0)</f>
        <v>0</v>
      </c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B86" s="37" t="str">
        <f>IFERROR(__xludf.DUMMYFUNCTION("""COMPUTED_VALUE"""),"TW")</f>
        <v>TW</v>
      </c>
      <c r="C86" s="37"/>
      <c r="D86" s="37"/>
      <c r="E86" s="37"/>
      <c r="F86" s="37" t="str">
        <f>IFERROR(__xludf.DUMMYFUNCTION("""COMPUTED_VALUE"""),"客戶價值中心")</f>
        <v>客戶價值中心</v>
      </c>
      <c r="G86" s="37" t="str">
        <f>IFERROR(__xludf.DUMMYFUNCTION("""COMPUTED_VALUE"""),"點點簽")</f>
        <v>點點簽</v>
      </c>
      <c r="H86" s="40">
        <f>IFERROR(__xludf.DUMMYFUNCTION("""COMPUTED_VALUE"""),450.0)</f>
        <v>450</v>
      </c>
      <c r="I86" s="37">
        <f>IFERROR(__xludf.DUMMYFUNCTION("""COMPUTED_VALUE"""),1.0)</f>
        <v>1</v>
      </c>
      <c r="J86" s="40">
        <f>IFERROR(__xludf.DUMMYFUNCTION("""COMPUTED_VALUE"""),450.0)</f>
        <v>450</v>
      </c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B87" s="37" t="str">
        <f>IFERROR(__xludf.DUMMYFUNCTION("""COMPUTED_VALUE"""),"TW")</f>
        <v>TW</v>
      </c>
      <c r="C87" s="37"/>
      <c r="D87" s="37"/>
      <c r="E87" s="37"/>
      <c r="F87" s="37" t="str">
        <f>IFERROR(__xludf.DUMMYFUNCTION("""COMPUTED_VALUE"""),"管理中心")</f>
        <v>管理中心</v>
      </c>
      <c r="G87" s="37" t="str">
        <f>IFERROR(__xludf.DUMMYFUNCTION("""COMPUTED_VALUE"""),"點點簽")</f>
        <v>點點簽</v>
      </c>
      <c r="H87" s="40">
        <f>IFERROR(__xludf.DUMMYFUNCTION("""COMPUTED_VALUE"""),450.0)</f>
        <v>450</v>
      </c>
      <c r="I87" s="37">
        <f>IFERROR(__xludf.DUMMYFUNCTION("""COMPUTED_VALUE"""),2.0)</f>
        <v>2</v>
      </c>
      <c r="J87" s="40">
        <f>IFERROR(__xludf.DUMMYFUNCTION("""COMPUTED_VALUE"""),900.0)</f>
        <v>900</v>
      </c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B88" s="37" t="str">
        <f>IFERROR(__xludf.DUMMYFUNCTION("""COMPUTED_VALUE"""),"TW")</f>
        <v>TW</v>
      </c>
      <c r="C88" s="37"/>
      <c r="D88" s="37"/>
      <c r="E88" s="37"/>
      <c r="F88" s="37" t="str">
        <f>IFERROR(__xludf.DUMMYFUNCTION("""COMPUTED_VALUE"""),"執行長室")</f>
        <v>執行長室</v>
      </c>
      <c r="G88" s="37" t="str">
        <f>IFERROR(__xludf.DUMMYFUNCTION("""COMPUTED_VALUE"""),"點點簽")</f>
        <v>點點簽</v>
      </c>
      <c r="H88" s="40">
        <f>IFERROR(__xludf.DUMMYFUNCTION("""COMPUTED_VALUE"""),450.0)</f>
        <v>450</v>
      </c>
      <c r="I88" s="37">
        <f>IFERROR(__xludf.DUMMYFUNCTION("""COMPUTED_VALUE"""),0.0)</f>
        <v>0</v>
      </c>
      <c r="J88" s="40">
        <f>IFERROR(__xludf.DUMMYFUNCTION("""COMPUTED_VALUE"""),0.0)</f>
        <v>0</v>
      </c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B89" s="37" t="str">
        <f>IFERROR(__xludf.DUMMYFUNCTION("""COMPUTED_VALUE"""),"TW")</f>
        <v>TW</v>
      </c>
      <c r="C89" s="37"/>
      <c r="D89" s="37"/>
      <c r="E89" s="37"/>
      <c r="F89" s="37" t="str">
        <f>IFERROR(__xludf.DUMMYFUNCTION("""COMPUTED_VALUE"""),"財務中心")</f>
        <v>財務中心</v>
      </c>
      <c r="G89" s="37" t="str">
        <f>IFERROR(__xludf.DUMMYFUNCTION("""COMPUTED_VALUE"""),"點點簽")</f>
        <v>點點簽</v>
      </c>
      <c r="H89" s="40">
        <f>IFERROR(__xludf.DUMMYFUNCTION("""COMPUTED_VALUE"""),450.0)</f>
        <v>450</v>
      </c>
      <c r="I89" s="37">
        <f>IFERROR(__xludf.DUMMYFUNCTION("""COMPUTED_VALUE"""),0.0)</f>
        <v>0</v>
      </c>
      <c r="J89" s="40">
        <f>IFERROR(__xludf.DUMMYFUNCTION("""COMPUTED_VALUE"""),0.0)</f>
        <v>0</v>
      </c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B90" s="37" t="str">
        <f>IFERROR(__xludf.DUMMYFUNCTION("""COMPUTED_VALUE"""),"QLR")</f>
        <v>QLR</v>
      </c>
      <c r="C90" s="37"/>
      <c r="D90" s="37"/>
      <c r="E90" s="37"/>
      <c r="F90" s="37" t="str">
        <f>IFERROR(__xludf.DUMMYFUNCTION("""COMPUTED_VALUE"""),"Qlieer")</f>
        <v>Qlieer</v>
      </c>
      <c r="G90" s="37" t="str">
        <f>IFERROR(__xludf.DUMMYFUNCTION("""COMPUTED_VALUE"""),"點點簽")</f>
        <v>點點簽</v>
      </c>
      <c r="H90" s="40">
        <f>IFERROR(__xludf.DUMMYFUNCTION("""COMPUTED_VALUE"""),450.0)</f>
        <v>450</v>
      </c>
      <c r="I90" s="37">
        <f>IFERROR(__xludf.DUMMYFUNCTION("""COMPUTED_VALUE"""),0.0)</f>
        <v>0</v>
      </c>
      <c r="J90" s="40">
        <f>IFERROR(__xludf.DUMMYFUNCTION("""COMPUTED_VALUE"""),0.0)</f>
        <v>0</v>
      </c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B91" s="37" t="str">
        <f>IFERROR(__xludf.DUMMYFUNCTION("""COMPUTED_VALUE"""),"TW")</f>
        <v>TW</v>
      </c>
      <c r="C91" s="37"/>
      <c r="D91" s="37"/>
      <c r="E91" s="37"/>
      <c r="F91" s="37" t="str">
        <f>IFERROR(__xludf.DUMMYFUNCTION("""COMPUTED_VALUE"""),"策略資料中心")</f>
        <v>策略資料中心</v>
      </c>
      <c r="G91" s="37" t="str">
        <f>IFERROR(__xludf.DUMMYFUNCTION("""COMPUTED_VALUE"""),"點點簽")</f>
        <v>點點簽</v>
      </c>
      <c r="H91" s="40">
        <f>IFERROR(__xludf.DUMMYFUNCTION("""COMPUTED_VALUE"""),450.0)</f>
        <v>450</v>
      </c>
      <c r="I91" s="37">
        <f>IFERROR(__xludf.DUMMYFUNCTION("""COMPUTED_VALUE"""),0.0)</f>
        <v>0</v>
      </c>
      <c r="J91" s="40">
        <f>IFERROR(__xludf.DUMMYFUNCTION("""COMPUTED_VALUE"""),0.0)</f>
        <v>0</v>
      </c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B92" s="37" t="str">
        <f>IFERROR(__xludf.DUMMYFUNCTION("""COMPUTED_VALUE"""),"HK")</f>
        <v>HK</v>
      </c>
      <c r="C92" s="37"/>
      <c r="D92" s="37"/>
      <c r="E92" s="37"/>
      <c r="F92" s="37" t="str">
        <f>IFERROR(__xludf.DUMMYFUNCTION("""COMPUTED_VALUE"""),"海外執行長室")</f>
        <v>海外執行長室</v>
      </c>
      <c r="G92" s="37" t="str">
        <f>IFERROR(__xludf.DUMMYFUNCTION("""COMPUTED_VALUE"""),"點點簽")</f>
        <v>點點簽</v>
      </c>
      <c r="H92" s="40">
        <f>IFERROR(__xludf.DUMMYFUNCTION("""COMPUTED_VALUE"""),450.0)</f>
        <v>450</v>
      </c>
      <c r="I92" s="37">
        <f>IFERROR(__xludf.DUMMYFUNCTION("""COMPUTED_VALUE"""),0.0)</f>
        <v>0</v>
      </c>
      <c r="J92" s="40">
        <f>IFERROR(__xludf.DUMMYFUNCTION("""COMPUTED_VALUE"""),0.0)</f>
        <v>0</v>
      </c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25"/>
  </cols>
  <sheetData>
    <row r="1">
      <c r="B1" s="37" t="str">
        <f>IFERROR(__xludf.DUMMYFUNCTION("IMPORTRANGE(""https://docs.google.com/spreadsheets/d/1Yrxsn8C18gISxf9WNSTc0LQFuMxCzhbdl_-iVkie1qA/edit?gid=261496806#gid=261496806"",""2026 設備明細!A1:AG"")"),"中心主管核准採購與時間")</f>
        <v>中心主管核准採購與時間</v>
      </c>
      <c r="C1" s="37" t="str">
        <f>IFERROR(__xludf.DUMMYFUNCTION("""COMPUTED_VALUE"""),"採購資格類別")</f>
        <v>採購資格類別</v>
      </c>
      <c r="D1" s="37" t="str">
        <f>IFERROR(__xludf.DUMMYFUNCTION("""COMPUTED_VALUE"""),"子公司")</f>
        <v>子公司</v>
      </c>
      <c r="E1" s="37" t="str">
        <f>IFERROR(__xludf.DUMMYFUNCTION("""COMPUTED_VALUE"""),"事業單位")</f>
        <v>事業單位</v>
      </c>
      <c r="F1" s="37" t="str">
        <f>IFERROR(__xludf.DUMMYFUNCTION("""COMPUTED_VALUE"""),"Si 編號")</f>
        <v>Si 編號</v>
      </c>
      <c r="G1" s="37" t="str">
        <f>IFERROR(__xludf.DUMMYFUNCTION("""COMPUTED_VALUE"""),"TA 編號")</f>
        <v>TA 編號</v>
      </c>
      <c r="H1" s="37" t="str">
        <f>IFERROR(__xludf.DUMMYFUNCTION("""COMPUTED_VALUE"""),"費用單位")</f>
        <v>費用單位</v>
      </c>
      <c r="I1" s="37" t="str">
        <f>IFERROR(__xludf.DUMMYFUNCTION("""COMPUTED_VALUE"""),"資產分類")</f>
        <v>資產分類</v>
      </c>
      <c r="J1" s="37" t="str">
        <f>IFERROR(__xludf.DUMMYFUNCTION("""COMPUTED_VALUE"""),"資產編號")</f>
        <v>資產編號</v>
      </c>
      <c r="K1" s="37" t="str">
        <f>IFERROR(__xludf.DUMMYFUNCTION("""COMPUTED_VALUE"""),"產品完整名稱")</f>
        <v>產品完整名稱</v>
      </c>
      <c r="L1" s="37" t="str">
        <f>IFERROR(__xludf.DUMMYFUNCTION("""COMPUTED_VALUE"""),"機器序號")</f>
        <v>機器序號</v>
      </c>
      <c r="M1" s="37" t="str">
        <f>IFERROR(__xludf.DUMMYFUNCTION("""COMPUTED_VALUE"""),"保管人")</f>
        <v>保管人</v>
      </c>
      <c r="N1" s="37" t="str">
        <f>IFERROR(__xludf.DUMMYFUNCTION("""COMPUTED_VALUE"""),"登錄日期")</f>
        <v>登錄日期</v>
      </c>
      <c r="O1" s="37" t="str">
        <f>IFERROR(__xludf.DUMMYFUNCTION("""COMPUTED_VALUE"""),"購入價格(未稅)")</f>
        <v>購入價格(未稅)</v>
      </c>
      <c r="P1" s="37" t="str">
        <f>IFERROR(__xludf.DUMMYFUNCTION("""COMPUTED_VALUE"""),"資產分類")</f>
        <v>資產分類</v>
      </c>
      <c r="Q1" s="37" t="str">
        <f>IFERROR(__xludf.DUMMYFUNCTION("""COMPUTED_VALUE"""),"預計使用月數")</f>
        <v>預計使用月數</v>
      </c>
      <c r="R1" s="37" t="str">
        <f>IFERROR(__xludf.DUMMYFUNCTION("""COMPUTED_VALUE"""),"己過月數")</f>
        <v>己過月數</v>
      </c>
      <c r="S1" s="37" t="str">
        <f>IFERROR(__xludf.DUMMYFUNCTION("""COMPUTED_VALUE"""),"己提折舊")</f>
        <v>己提折舊</v>
      </c>
      <c r="T1" s="37" t="str">
        <f>IFERROR(__xludf.DUMMYFUNCTION("""COMPUTED_VALUE"""),"裝置規格")</f>
        <v>裝置規格</v>
      </c>
      <c r="U1" s="37" t="str">
        <f>IFERROR(__xludf.DUMMYFUNCTION("""COMPUTED_VALUE"""),"是否更換")</f>
        <v>是否更換</v>
      </c>
      <c r="V1" s="37" t="str">
        <f>IFERROR(__xludf.DUMMYFUNCTION("""COMPUTED_VALUE"""),"採購金額")</f>
        <v>採購金額</v>
      </c>
      <c r="W1" s="42" t="str">
        <f>IFERROR(__xludf.DUMMYFUNCTION("""COMPUTED_VALUE"""),"採購月份")</f>
        <v>採購月份</v>
      </c>
      <c r="X1" s="43">
        <f>IFERROR(__xludf.DUMMYFUNCTION("""COMPUTED_VALUE"""),46023.0)</f>
        <v>46023</v>
      </c>
      <c r="Y1" s="43">
        <f>IFERROR(__xludf.DUMMYFUNCTION("""COMPUTED_VALUE"""),46054.0)</f>
        <v>46054</v>
      </c>
      <c r="Z1" s="43">
        <f>IFERROR(__xludf.DUMMYFUNCTION("""COMPUTED_VALUE"""),46082.0)</f>
        <v>46082</v>
      </c>
      <c r="AA1" s="43">
        <f>IFERROR(__xludf.DUMMYFUNCTION("""COMPUTED_VALUE"""),46113.0)</f>
        <v>46113</v>
      </c>
      <c r="AB1" s="43">
        <f>IFERROR(__xludf.DUMMYFUNCTION("""COMPUTED_VALUE"""),46143.0)</f>
        <v>46143</v>
      </c>
      <c r="AC1" s="43">
        <f>IFERROR(__xludf.DUMMYFUNCTION("""COMPUTED_VALUE"""),46174.0)</f>
        <v>46174</v>
      </c>
      <c r="AD1" s="43">
        <f>IFERROR(__xludf.DUMMYFUNCTION("""COMPUTED_VALUE"""),46204.0)</f>
        <v>46204</v>
      </c>
      <c r="AE1" s="43">
        <f>IFERROR(__xludf.DUMMYFUNCTION("""COMPUTED_VALUE"""),46235.0)</f>
        <v>46235</v>
      </c>
      <c r="AF1" s="43">
        <f>IFERROR(__xludf.DUMMYFUNCTION("""COMPUTED_VALUE"""),46266.0)</f>
        <v>46266</v>
      </c>
      <c r="AG1" s="43">
        <f>IFERROR(__xludf.DUMMYFUNCTION("""COMPUTED_VALUE"""),46296.0)</f>
        <v>46296</v>
      </c>
      <c r="AH1" s="43">
        <f>IFERROR(__xludf.DUMMYFUNCTION("""COMPUTED_VALUE"""),46327.0)</f>
        <v>46327</v>
      </c>
    </row>
    <row r="2">
      <c r="B2" s="37" t="str">
        <f>IFERROR(__xludf.DUMMYFUNCTION("""COMPUTED_VALUE"""),"由對應中心主管勾選是否採購，資訊部統整回收後計算費用攤提")</f>
        <v>由對應中心主管勾選是否採購，資訊部統整回收後計算費用攤提</v>
      </c>
      <c r="C2" s="37" t="str">
        <f>IFERROR(__xludf.DUMMYFUNCTION("""COMPUTED_VALUE"""),"填入「滿三年更換」或「新人購入」")</f>
        <v>填入「滿三年更換」或「新人購入」</v>
      </c>
      <c r="D2" s="37" t="str">
        <f>IFERROR(__xludf.DUMMYFUNCTION("""COMPUTED_VALUE"""),"歸屬子公司，例如:TW、QLR")</f>
        <v>歸屬子公司，例如:TW、QLR</v>
      </c>
      <c r="E2" s="37" t="str">
        <f>IFERROR(__xludf.DUMMYFUNCTION("""COMPUTED_VALUE"""),"不需填寫")</f>
        <v>不需填寫</v>
      </c>
      <c r="F2" s="37" t="str">
        <f>IFERROR(__xludf.DUMMYFUNCTION("""COMPUTED_VALUE"""),"不需填寫")</f>
        <v>不需填寫</v>
      </c>
      <c r="G2" s="37" t="str">
        <f>IFERROR(__xludf.DUMMYFUNCTION("""COMPUTED_VALUE"""),"不需填寫")</f>
        <v>不需填寫</v>
      </c>
      <c r="H2" s="37" t="str">
        <f>IFERROR(__xludf.DUMMYFUNCTION("""COMPUTED_VALUE"""),"需按中心/部門/團隊規格，例如：行銷營運中心:銷售營運部:導入教練團隊")</f>
        <v>需按中心/部門/團隊規格，例如：行銷營運中心:銷售營運部:導入教練團隊</v>
      </c>
      <c r="I2" s="37" t="str">
        <f>IFERROR(__xludf.DUMMYFUNCTION("""COMPUTED_VALUE"""),"依資訊部管理方式設定")</f>
        <v>依資訊部管理方式設定</v>
      </c>
      <c r="J2" s="37" t="str">
        <f>IFERROR(__xludf.DUMMYFUNCTION("""COMPUTED_VALUE"""),"依資訊部管理方式設定")</f>
        <v>依資訊部管理方式設定</v>
      </c>
      <c r="K2" s="37" t="str">
        <f>IFERROR(__xludf.DUMMYFUNCTION("""COMPUTED_VALUE"""),"依資訊部管理方式設定")</f>
        <v>依資訊部管理方式設定</v>
      </c>
      <c r="L2" s="37" t="str">
        <f>IFERROR(__xludf.DUMMYFUNCTION("""COMPUTED_VALUE"""),"依資訊部管理方式設定")</f>
        <v>依資訊部管理方式設定</v>
      </c>
      <c r="M2" s="37" t="str">
        <f>IFERROR(__xludf.DUMMYFUNCTION("""COMPUTED_VALUE"""),"依資訊部管理方式設定")</f>
        <v>依資訊部管理方式設定</v>
      </c>
      <c r="N2" s="37" t="str">
        <f>IFERROR(__xludf.DUMMYFUNCTION("""COMPUTED_VALUE"""),"依資訊部管理方式設定")</f>
        <v>依資訊部管理方式設定</v>
      </c>
      <c r="O2" s="37" t="str">
        <f>IFERROR(__xludf.DUMMYFUNCTION("""COMPUTED_VALUE"""),"依資訊部管理方式設定")</f>
        <v>依資訊部管理方式設定</v>
      </c>
      <c r="P2" s="37" t="str">
        <f>IFERROR(__xludf.DUMMYFUNCTION("""COMPUTED_VALUE"""),"依資訊部管理方式設定")</f>
        <v>依資訊部管理方式設定</v>
      </c>
      <c r="Q2" s="37" t="str">
        <f>IFERROR(__xludf.DUMMYFUNCTION("""COMPUTED_VALUE"""),"依資訊部管理方式設定")</f>
        <v>依資訊部管理方式設定</v>
      </c>
      <c r="R2" s="37" t="str">
        <f>IFERROR(__xludf.DUMMYFUNCTION("""COMPUTED_VALUE"""),"依資訊部管理方式設定")</f>
        <v>依資訊部管理方式設定</v>
      </c>
      <c r="S2" s="37" t="str">
        <f>IFERROR(__xludf.DUMMYFUNCTION("""COMPUTED_VALUE"""),"依資訊部管理方式設定")</f>
        <v>依資訊部管理方式設定</v>
      </c>
      <c r="T2" s="37" t="str">
        <f>IFERROR(__xludf.DUMMYFUNCTION("""COMPUTED_VALUE"""),"依資訊部管理方式設定")</f>
        <v>依資訊部管理方式設定</v>
      </c>
      <c r="U2" s="37" t="str">
        <f>IFERROR(__xludf.DUMMYFUNCTION("""COMPUTED_VALUE"""),"依資訊部管理方式設定")</f>
        <v>依資訊部管理方式設定</v>
      </c>
      <c r="V2" s="37" t="str">
        <f>IFERROR(__xludf.DUMMYFUNCTION("""COMPUTED_VALUE"""),"依資訊部管理方式設定")</f>
        <v>依資訊部管理方式設定</v>
      </c>
      <c r="W2" s="37" t="str">
        <f>IFERROR(__xludf.DUMMYFUNCTION("""COMPUTED_VALUE"""),"依資訊部管理方式設定")</f>
        <v>依資訊部管理方式設定</v>
      </c>
      <c r="X2" s="37" t="str">
        <f>IFERROR(__xludf.DUMMYFUNCTION("""COMPUTED_VALUE"""),"填品項金額，例如 300")</f>
        <v>填品項金額，例如 300</v>
      </c>
      <c r="Y2" s="37" t="str">
        <f>IFERROR(__xludf.DUMMYFUNCTION("""COMPUTED_VALUE"""),"填品項金額，例如 300")</f>
        <v>填品項金額，例如 300</v>
      </c>
      <c r="Z2" s="37" t="str">
        <f>IFERROR(__xludf.DUMMYFUNCTION("""COMPUTED_VALUE"""),"填品項金額，例如 300")</f>
        <v>填品項金額，例如 300</v>
      </c>
      <c r="AA2" s="37" t="str">
        <f>IFERROR(__xludf.DUMMYFUNCTION("""COMPUTED_VALUE"""),"填品項金額，例如 300")</f>
        <v>填品項金額，例如 300</v>
      </c>
      <c r="AB2" s="37" t="str">
        <f>IFERROR(__xludf.DUMMYFUNCTION("""COMPUTED_VALUE"""),"填品項金額，例如 300")</f>
        <v>填品項金額，例如 300</v>
      </c>
      <c r="AC2" s="37" t="str">
        <f>IFERROR(__xludf.DUMMYFUNCTION("""COMPUTED_VALUE"""),"填品項金額，例如 300")</f>
        <v>填品項金額，例如 300</v>
      </c>
      <c r="AD2" s="37" t="str">
        <f>IFERROR(__xludf.DUMMYFUNCTION("""COMPUTED_VALUE"""),"填品項金額，例如 300")</f>
        <v>填品項金額，例如 300</v>
      </c>
      <c r="AE2" s="37" t="str">
        <f>IFERROR(__xludf.DUMMYFUNCTION("""COMPUTED_VALUE"""),"填品項金額，例如 300")</f>
        <v>填品項金額，例如 300</v>
      </c>
      <c r="AF2" s="37" t="str">
        <f>IFERROR(__xludf.DUMMYFUNCTION("""COMPUTED_VALUE"""),"填品項金額，例如 300")</f>
        <v>填品項金額，例如 300</v>
      </c>
      <c r="AG2" s="37" t="str">
        <f>IFERROR(__xludf.DUMMYFUNCTION("""COMPUTED_VALUE"""),"填品項金額，例如 300")</f>
        <v>填品項金額，例如 300</v>
      </c>
      <c r="AH2" s="37" t="str">
        <f>IFERROR(__xludf.DUMMYFUNCTION("""COMPUTED_VALUE"""),"填品項金額，例如 300")</f>
        <v>填品項金額，例如 300</v>
      </c>
    </row>
    <row r="3">
      <c r="B3" s="37"/>
      <c r="C3" s="37" t="str">
        <f>IFERROR(__xludf.DUMMYFUNCTION("""COMPUTED_VALUE"""),"滿三年更換")</f>
        <v>滿三年更換</v>
      </c>
      <c r="D3" s="37" t="str">
        <f>IFERROR(__xludf.DUMMYFUNCTION("""COMPUTED_VALUE"""),"TW")</f>
        <v>TW</v>
      </c>
      <c r="E3" s="37" t="str">
        <f>IFERROR(__xludf.DUMMYFUNCTION("""COMPUTED_VALUE"""),"Corporate")</f>
        <v>Corporate</v>
      </c>
      <c r="F3" s="37" t="str">
        <f>IFERROR(__xludf.DUMMYFUNCTION("""COMPUTED_VALUE"""),"Corporation")</f>
        <v>Corporation</v>
      </c>
      <c r="G3" s="37" t="str">
        <f>IFERROR(__xludf.DUMMYFUNCTION("""COMPUTED_VALUE"""),"Baseline")</f>
        <v>Baseline</v>
      </c>
      <c r="H3" s="44" t="str">
        <f>IFERROR(__xludf.DUMMYFUNCTION("""COMPUTED_VALUE"""),"客戶價值中心:客戶關係管理部:TSE團隊")</f>
        <v>客戶價值中心:客戶關係管理部:TSE團隊</v>
      </c>
      <c r="I3" s="37" t="str">
        <f>IFERROR(__xludf.DUMMYFUNCTION("""COMPUTED_VALUE"""),"資訊裝置")</f>
        <v>資訊裝置</v>
      </c>
      <c r="J3" s="37" t="str">
        <f>IFERROR(__xludf.DUMMYFUNCTION("""COMPUTED_VALUE"""),"AICHMA02101011")</f>
        <v>AICHMA02101011</v>
      </c>
      <c r="K3" s="37" t="str">
        <f>IFERROR(__xludf.DUMMYFUNCTION("""COMPUTED_VALUE"""),"Macbook Air")</f>
        <v>Macbook Air</v>
      </c>
      <c r="L3" s="37" t="str">
        <f>IFERROR(__xludf.DUMMYFUNCTION("""COMPUTED_VALUE"""),"FVHF32E7Q6L4")</f>
        <v>FVHF32E7Q6L4</v>
      </c>
      <c r="M3" s="37" t="str">
        <f>IFERROR(__xludf.DUMMYFUNCTION("""COMPUTED_VALUE"""),"丁伊柔")</f>
        <v>丁伊柔</v>
      </c>
      <c r="N3" s="44">
        <f>IFERROR(__xludf.DUMMYFUNCTION("""COMPUTED_VALUE"""),44224.0)</f>
        <v>44224</v>
      </c>
      <c r="O3" s="40">
        <f>IFERROR(__xludf.DUMMYFUNCTION("""COMPUTED_VALUE"""),8455.0)</f>
        <v>8455</v>
      </c>
      <c r="P3" s="37" t="str">
        <f>IFERROR(__xludf.DUMMYFUNCTION("""COMPUTED_VALUE"""),"資訊裝置")</f>
        <v>資訊裝置</v>
      </c>
      <c r="Q3" s="37">
        <f>IFERROR(__xludf.DUMMYFUNCTION("""COMPUTED_VALUE"""),36.0)</f>
        <v>36</v>
      </c>
      <c r="R3" s="37">
        <f>IFERROR(__xludf.DUMMYFUNCTION("""COMPUTED_VALUE"""),36.0)</f>
        <v>36</v>
      </c>
      <c r="S3" s="37" t="str">
        <f>IFERROR(__xludf.DUMMYFUNCTION("""COMPUTED_VALUE"""),"NT$8,455")</f>
        <v>NT$8,455</v>
      </c>
      <c r="T3" s="37" t="str">
        <f>IFERROR(__xludf.DUMMYFUNCTION("""COMPUTED_VALUE"""),"A2337 MBA13 (2020) M1/8GBRAM/256GBSSD")</f>
        <v>A2337 MBA13 (2020) M1/8GBRAM/256GBSSD</v>
      </c>
      <c r="U3" s="37"/>
      <c r="V3" s="37"/>
      <c r="W3" s="37"/>
      <c r="X3" s="40" t="str">
        <f>IFERROR(__xludf.DUMMYFUNCTION("""COMPUTED_VALUE"""),"")</f>
        <v/>
      </c>
      <c r="Y3" s="37"/>
      <c r="Z3" s="37"/>
      <c r="AA3" s="37"/>
      <c r="AB3" s="37"/>
      <c r="AC3" s="37"/>
      <c r="AD3" s="37"/>
      <c r="AE3" s="37"/>
      <c r="AF3" s="37"/>
      <c r="AG3" s="37"/>
      <c r="AH3" s="37"/>
    </row>
    <row r="4">
      <c r="B4" s="37"/>
      <c r="C4" s="37" t="str">
        <f>IFERROR(__xludf.DUMMYFUNCTION("""COMPUTED_VALUE"""),"滿三年更換")</f>
        <v>滿三年更換</v>
      </c>
      <c r="D4" s="37" t="str">
        <f>IFERROR(__xludf.DUMMYFUNCTION("""COMPUTED_VALUE"""),"TW")</f>
        <v>TW</v>
      </c>
      <c r="E4" s="37"/>
      <c r="F4" s="37"/>
      <c r="G4" s="37"/>
      <c r="H4" s="44" t="str">
        <f>IFERROR(__xludf.DUMMYFUNCTION("""COMPUTED_VALUE"""),"客戶價值中心:客戶關係管理部:TSE團隊")</f>
        <v>客戶價值中心:客戶關係管理部:TSE團隊</v>
      </c>
      <c r="I4" s="37" t="str">
        <f>IFERROR(__xludf.DUMMYFUNCTION("""COMPUTED_VALUE"""),"資訊裝置")</f>
        <v>資訊裝置</v>
      </c>
      <c r="J4" s="37" t="str">
        <f>IFERROR(__xludf.DUMMYFUNCTION("""COMPUTED_VALUE"""),"AICHIP02112083")</f>
        <v>AICHIP02112083</v>
      </c>
      <c r="K4" s="37" t="str">
        <f>IFERROR(__xludf.DUMMYFUNCTION("""COMPUTED_VALUE"""),"iPad")</f>
        <v>iPad</v>
      </c>
      <c r="L4" s="37" t="str">
        <f>IFERROR(__xludf.DUMMYFUNCTION("""COMPUTED_VALUE"""),"DMPX7DC6JMVR")</f>
        <v>DMPX7DC6JMVR</v>
      </c>
      <c r="M4" s="37" t="str">
        <f>IFERROR(__xludf.DUMMYFUNCTION("""COMPUTED_VALUE"""),"丁伊柔")</f>
        <v>丁伊柔</v>
      </c>
      <c r="N4" s="44">
        <f>IFERROR(__xludf.DUMMYFUNCTION("""COMPUTED_VALUE"""),44538.0)</f>
        <v>44538</v>
      </c>
      <c r="O4" s="37"/>
      <c r="P4" s="37" t="str">
        <f>IFERROR(__xludf.DUMMYFUNCTION("""COMPUTED_VALUE"""),"資訊裝置")</f>
        <v>資訊裝置</v>
      </c>
      <c r="Q4" s="37">
        <f>IFERROR(__xludf.DUMMYFUNCTION("""COMPUTED_VALUE"""),36.0)</f>
        <v>36</v>
      </c>
      <c r="R4" s="37">
        <f>IFERROR(__xludf.DUMMYFUNCTION("""COMPUTED_VALUE"""),36.0)</f>
        <v>36</v>
      </c>
      <c r="S4" s="37" t="str">
        <f>IFERROR(__xludf.DUMMYFUNCTION("""COMPUTED_VALUE"""),"NT$0")</f>
        <v>NT$0</v>
      </c>
      <c r="T4" s="37" t="str">
        <f>IFERROR(__xludf.DUMMYFUNCTION("""COMPUTED_VALUE"""),"iPad (第六代) 32GB WIFI(A1893)")</f>
        <v>iPad (第六代) 32GB WIFI(A1893)</v>
      </c>
      <c r="U4" s="37"/>
      <c r="V4" s="37"/>
      <c r="W4" s="37"/>
      <c r="X4" s="40" t="str">
        <f>IFERROR(__xludf.DUMMYFUNCTION("""COMPUTED_VALUE"""),"")</f>
        <v/>
      </c>
      <c r="Y4" s="37"/>
      <c r="Z4" s="37"/>
      <c r="AA4" s="37"/>
      <c r="AB4" s="37"/>
      <c r="AC4" s="37"/>
      <c r="AD4" s="37"/>
      <c r="AE4" s="37"/>
      <c r="AF4" s="37"/>
      <c r="AG4" s="37"/>
      <c r="AH4" s="37"/>
    </row>
    <row r="5">
      <c r="B5" s="37"/>
      <c r="C5" s="37" t="str">
        <f>IFERROR(__xludf.DUMMYFUNCTION("""COMPUTED_VALUE"""),"滿三年更換")</f>
        <v>滿三年更換</v>
      </c>
      <c r="D5" s="37" t="str">
        <f>IFERROR(__xludf.DUMMYFUNCTION("""COMPUTED_VALUE"""),"TW")</f>
        <v>TW</v>
      </c>
      <c r="E5" s="37"/>
      <c r="F5" s="37"/>
      <c r="G5" s="37"/>
      <c r="H5" s="44" t="str">
        <f>IFERROR(__xludf.DUMMYFUNCTION("""COMPUTED_VALUE"""),"客戶價值中心:客戶關係管理部:TSE團隊")</f>
        <v>客戶價值中心:客戶關係管理部:TSE團隊</v>
      </c>
      <c r="I5" s="37" t="str">
        <f>IFERROR(__xludf.DUMMYFUNCTION("""COMPUTED_VALUE"""),"資訊裝置")</f>
        <v>資訊裝置</v>
      </c>
      <c r="J5" s="37" t="str">
        <f>IFERROR(__xludf.DUMMYFUNCTION("""COMPUTED_VALUE"""),"AICHMN01606033")</f>
        <v>AICHMN01606033</v>
      </c>
      <c r="K5" s="37" t="str">
        <f>IFERROR(__xludf.DUMMYFUNCTION("""COMPUTED_VALUE"""),"螢幕")</f>
        <v>螢幕</v>
      </c>
      <c r="L5" s="37" t="str">
        <f>IFERROR(__xludf.DUMMYFUNCTION("""COMPUTED_VALUE"""),"CN-0MTYGK-64180-633-00ZS-A02")</f>
        <v>CN-0MTYGK-64180-633-00ZS-A02</v>
      </c>
      <c r="M5" s="37" t="str">
        <f>IFERROR(__xludf.DUMMYFUNCTION("""COMPUTED_VALUE"""),"丁伊柔")</f>
        <v>丁伊柔</v>
      </c>
      <c r="N5" s="44">
        <f>IFERROR(__xludf.DUMMYFUNCTION("""COMPUTED_VALUE"""),42523.0)</f>
        <v>42523</v>
      </c>
      <c r="O5" s="37"/>
      <c r="P5" s="37" t="str">
        <f>IFERROR(__xludf.DUMMYFUNCTION("""COMPUTED_VALUE"""),"資訊裝置")</f>
        <v>資訊裝置</v>
      </c>
      <c r="Q5" s="37">
        <f>IFERROR(__xludf.DUMMYFUNCTION("""COMPUTED_VALUE"""),36.0)</f>
        <v>36</v>
      </c>
      <c r="R5" s="37">
        <f>IFERROR(__xludf.DUMMYFUNCTION("""COMPUTED_VALUE"""),36.0)</f>
        <v>36</v>
      </c>
      <c r="S5" s="37" t="str">
        <f>IFERROR(__xludf.DUMMYFUNCTION("""COMPUTED_VALUE"""),"NT$0")</f>
        <v>NT$0</v>
      </c>
      <c r="T5" s="37" t="str">
        <f>IFERROR(__xludf.DUMMYFUNCTION("""COMPUTED_VALUE"""),"Dell 24吋 U2412Mc")</f>
        <v>Dell 24吋 U2412Mc</v>
      </c>
      <c r="U5" s="37"/>
      <c r="V5" s="37"/>
      <c r="W5" s="37"/>
      <c r="X5" s="40" t="str">
        <f>IFERROR(__xludf.DUMMYFUNCTION("""COMPUTED_VALUE"""),"")</f>
        <v/>
      </c>
      <c r="Y5" s="37"/>
      <c r="Z5" s="37"/>
      <c r="AA5" s="37"/>
      <c r="AB5" s="37"/>
      <c r="AC5" s="37"/>
      <c r="AD5" s="37"/>
      <c r="AE5" s="37"/>
      <c r="AF5" s="37"/>
      <c r="AG5" s="37"/>
      <c r="AH5" s="37"/>
    </row>
    <row r="6">
      <c r="B6" s="37"/>
      <c r="C6" s="37" t="str">
        <f>IFERROR(__xludf.DUMMYFUNCTION("""COMPUTED_VALUE"""),"滿三年更換")</f>
        <v>滿三年更換</v>
      </c>
      <c r="D6" s="37" t="str">
        <f>IFERROR(__xludf.DUMMYFUNCTION("""COMPUTED_VALUE"""),"TW")</f>
        <v>TW</v>
      </c>
      <c r="E6" s="37"/>
      <c r="F6" s="37"/>
      <c r="G6" s="37"/>
      <c r="H6" s="37" t="str">
        <f>IFERROR(__xludf.DUMMYFUNCTION("""COMPUTED_VALUE"""),"管理中心:資訊部")</f>
        <v>管理中心:資訊部</v>
      </c>
      <c r="I6" s="37" t="str">
        <f>IFERROR(__xludf.DUMMYFUNCTION("""COMPUTED_VALUE"""),"資訊裝置")</f>
        <v>資訊裝置</v>
      </c>
      <c r="J6" s="37" t="str">
        <f>IFERROR(__xludf.DUMMYFUNCTION("""COMPUTED_VALUE"""),"AICHMP02108032")</f>
        <v>AICHMP02108032</v>
      </c>
      <c r="K6" s="37" t="str">
        <f>IFERROR(__xludf.DUMMYFUNCTION("""COMPUTED_VALUE"""),"Macbook Pro")</f>
        <v>Macbook Pro</v>
      </c>
      <c r="L6" s="37" t="str">
        <f>IFERROR(__xludf.DUMMYFUNCTION("""COMPUTED_VALUE"""),"C02G41S4MD6M")</f>
        <v>C02G41S4MD6M</v>
      </c>
      <c r="M6" s="37" t="str">
        <f>IFERROR(__xludf.DUMMYFUNCTION("""COMPUTED_VALUE"""),"王壯為")</f>
        <v>王壯為</v>
      </c>
      <c r="N6" s="44">
        <f>IFERROR(__xludf.DUMMYFUNCTION("""COMPUTED_VALUE"""),44414.0)</f>
        <v>44414</v>
      </c>
      <c r="O6" s="40">
        <f>IFERROR(__xludf.DUMMYFUNCTION("""COMPUTED_VALUE"""),68260.0)</f>
        <v>68260</v>
      </c>
      <c r="P6" s="37" t="str">
        <f>IFERROR(__xludf.DUMMYFUNCTION("""COMPUTED_VALUE"""),"資訊裝置")</f>
        <v>資訊裝置</v>
      </c>
      <c r="Q6" s="37">
        <f>IFERROR(__xludf.DUMMYFUNCTION("""COMPUTED_VALUE"""),36.0)</f>
        <v>36</v>
      </c>
      <c r="R6" s="37">
        <f>IFERROR(__xludf.DUMMYFUNCTION("""COMPUTED_VALUE"""),36.0)</f>
        <v>36</v>
      </c>
      <c r="S6" s="37" t="str">
        <f>IFERROR(__xludf.DUMMYFUNCTION("""COMPUTED_VALUE"""),"NT$68,260")</f>
        <v>NT$68,260</v>
      </c>
      <c r="T6" s="37" t="str">
        <f>IFERROR(__xludf.DUMMYFUNCTION("""COMPUTED_VALUE"""),"MBP16 (2019) I7/16GBRAM/512GBSSD(MVVJ2TA/A)")</f>
        <v>MBP16 (2019) I7/16GBRAM/512GBSSD(MVVJ2TA/A)</v>
      </c>
      <c r="U6" s="37"/>
      <c r="V6" s="37"/>
      <c r="W6" s="37"/>
      <c r="X6" s="40" t="str">
        <f>IFERROR(__xludf.DUMMYFUNCTION("""COMPUTED_VALUE"""),"")</f>
        <v/>
      </c>
      <c r="Y6" s="37"/>
      <c r="Z6" s="37"/>
      <c r="AA6" s="37"/>
      <c r="AB6" s="37"/>
      <c r="AC6" s="37"/>
      <c r="AD6" s="37"/>
      <c r="AE6" s="37"/>
      <c r="AF6" s="37"/>
      <c r="AG6" s="37"/>
      <c r="AH6" s="37"/>
    </row>
    <row r="7">
      <c r="B7" s="37"/>
      <c r="C7" s="37" t="str">
        <f>IFERROR(__xludf.DUMMYFUNCTION("""COMPUTED_VALUE"""),"滿三年更換")</f>
        <v>滿三年更換</v>
      </c>
      <c r="D7" s="37" t="str">
        <f>IFERROR(__xludf.DUMMYFUNCTION("""COMPUTED_VALUE"""),"TW")</f>
        <v>TW</v>
      </c>
      <c r="E7" s="37"/>
      <c r="F7" s="37"/>
      <c r="G7" s="37"/>
      <c r="H7" s="37" t="str">
        <f>IFERROR(__xludf.DUMMYFUNCTION("""COMPUTED_VALUE"""),"管理中心:資訊部")</f>
        <v>管理中心:資訊部</v>
      </c>
      <c r="I7" s="37" t="str">
        <f>IFERROR(__xludf.DUMMYFUNCTION("""COMPUTED_VALUE"""),"資訊裝置")</f>
        <v>資訊裝置</v>
      </c>
      <c r="J7" s="37" t="str">
        <f>IFERROR(__xludf.DUMMYFUNCTION("""COMPUTED_VALUE"""),"AICHMN02108107")</f>
        <v>AICHMN02108107</v>
      </c>
      <c r="K7" s="37" t="str">
        <f>IFERROR(__xludf.DUMMYFUNCTION("""COMPUTED_VALUE"""),"螢幕")</f>
        <v>螢幕</v>
      </c>
      <c r="L7" s="37" t="str">
        <f>IFERROR(__xludf.DUMMYFUNCTION("""COMPUTED_VALUE"""),"CN-0458FC-WSL00-163-012B-A04")</f>
        <v>CN-0458FC-WSL00-163-012B-A04</v>
      </c>
      <c r="M7" s="37" t="str">
        <f>IFERROR(__xludf.DUMMYFUNCTION("""COMPUTED_VALUE"""),"王壯為")</f>
        <v>王壯為</v>
      </c>
      <c r="N7" s="44">
        <f>IFERROR(__xludf.DUMMYFUNCTION("""COMPUTED_VALUE"""),44418.0)</f>
        <v>44418</v>
      </c>
      <c r="O7" s="40">
        <f>IFERROR(__xludf.DUMMYFUNCTION("""COMPUTED_VALUE"""),8754.0)</f>
        <v>8754</v>
      </c>
      <c r="P7" s="37" t="str">
        <f>IFERROR(__xludf.DUMMYFUNCTION("""COMPUTED_VALUE"""),"資訊裝置")</f>
        <v>資訊裝置</v>
      </c>
      <c r="Q7" s="37">
        <f>IFERROR(__xludf.DUMMYFUNCTION("""COMPUTED_VALUE"""),36.0)</f>
        <v>36</v>
      </c>
      <c r="R7" s="37">
        <f>IFERROR(__xludf.DUMMYFUNCTION("""COMPUTED_VALUE"""),36.0)</f>
        <v>36</v>
      </c>
      <c r="S7" s="37" t="str">
        <f>IFERROR(__xludf.DUMMYFUNCTION("""COMPUTED_VALUE"""),"NT$8,754")</f>
        <v>NT$8,754</v>
      </c>
      <c r="T7" s="37" t="str">
        <f>IFERROR(__xludf.DUMMYFUNCTION("""COMPUTED_VALUE"""),"Dell 24吋 S2421HSX")</f>
        <v>Dell 24吋 S2421HSX</v>
      </c>
      <c r="U7" s="37"/>
      <c r="V7" s="37"/>
      <c r="W7" s="37"/>
      <c r="X7" s="40" t="str">
        <f>IFERROR(__xludf.DUMMYFUNCTION("""COMPUTED_VALUE"""),"")</f>
        <v/>
      </c>
      <c r="Y7" s="37"/>
      <c r="Z7" s="37"/>
      <c r="AA7" s="37"/>
      <c r="AB7" s="37"/>
      <c r="AC7" s="37"/>
      <c r="AD7" s="37"/>
      <c r="AE7" s="37"/>
      <c r="AF7" s="37"/>
      <c r="AG7" s="37"/>
      <c r="AH7" s="37"/>
    </row>
    <row r="8">
      <c r="B8" s="37"/>
      <c r="C8" s="37" t="str">
        <f>IFERROR(__xludf.DUMMYFUNCTION("""COMPUTED_VALUE"""),"滿三年更換")</f>
        <v>滿三年更換</v>
      </c>
      <c r="D8" s="37" t="str">
        <f>IFERROR(__xludf.DUMMYFUNCTION("""COMPUTED_VALUE"""),"TW")</f>
        <v>TW</v>
      </c>
      <c r="E8" s="37"/>
      <c r="F8" s="37"/>
      <c r="G8" s="37"/>
      <c r="H8" s="44" t="str">
        <f>IFERROR(__xludf.DUMMYFUNCTION("""COMPUTED_VALUE"""),"行銷營運中心:銷售營運部:客戶導入團隊")</f>
        <v>行銷營運中心:銷售營運部:客戶導入團隊</v>
      </c>
      <c r="I8" s="37" t="str">
        <f>IFERROR(__xludf.DUMMYFUNCTION("""COMPUTED_VALUE"""),"資訊裝置")</f>
        <v>資訊裝置</v>
      </c>
      <c r="J8" s="37" t="str">
        <f>IFERROR(__xludf.DUMMYFUNCTION("""COMPUTED_VALUE"""),"AICHMA02012008")</f>
        <v>AICHMA02012008</v>
      </c>
      <c r="K8" s="37" t="str">
        <f>IFERROR(__xludf.DUMMYFUNCTION("""COMPUTED_VALUE"""),"Macbook Air")</f>
        <v>Macbook Air</v>
      </c>
      <c r="L8" s="37" t="str">
        <f>IFERROR(__xludf.DUMMYFUNCTION("""COMPUTED_VALUE"""),"FVHDJ74AMNHP")</f>
        <v>FVHDJ74AMNHP</v>
      </c>
      <c r="M8" s="37" t="str">
        <f>IFERROR(__xludf.DUMMYFUNCTION("""COMPUTED_VALUE"""),"王威淳")</f>
        <v>王威淳</v>
      </c>
      <c r="N8" s="45">
        <f>IFERROR(__xludf.DUMMYFUNCTION("""COMPUTED_VALUE"""),44180.0)</f>
        <v>44180</v>
      </c>
      <c r="O8" s="40">
        <f>IFERROR(__xludf.DUMMYFUNCTION("""COMPUTED_VALUE"""),23800.0)</f>
        <v>23800</v>
      </c>
      <c r="P8" s="37" t="str">
        <f>IFERROR(__xludf.DUMMYFUNCTION("""COMPUTED_VALUE"""),"資訊裝置")</f>
        <v>資訊裝置</v>
      </c>
      <c r="Q8" s="37">
        <f>IFERROR(__xludf.DUMMYFUNCTION("""COMPUTED_VALUE"""),36.0)</f>
        <v>36</v>
      </c>
      <c r="R8" s="37">
        <f>IFERROR(__xludf.DUMMYFUNCTION("""COMPUTED_VALUE"""),36.0)</f>
        <v>36</v>
      </c>
      <c r="S8" s="37" t="str">
        <f>IFERROR(__xludf.DUMMYFUNCTION("""COMPUTED_VALUE"""),"NT$23,800")</f>
        <v>NT$23,800</v>
      </c>
      <c r="T8" s="37" t="str">
        <f>IFERROR(__xludf.DUMMYFUNCTION("""COMPUTED_VALUE"""),"MBA13 (Retina, 2020) I3/8GBRAM/256GBSSD")</f>
        <v>MBA13 (Retina, 2020) I3/8GBRAM/256GBSSD</v>
      </c>
      <c r="U8" s="37"/>
      <c r="V8" s="37"/>
      <c r="W8" s="37"/>
      <c r="X8" s="40" t="str">
        <f>IFERROR(__xludf.DUMMYFUNCTION("""COMPUTED_VALUE"""),"")</f>
        <v/>
      </c>
      <c r="Y8" s="37"/>
      <c r="Z8" s="37"/>
      <c r="AA8" s="37"/>
      <c r="AB8" s="37"/>
      <c r="AC8" s="37"/>
      <c r="AD8" s="37"/>
      <c r="AE8" s="37"/>
      <c r="AF8" s="37"/>
      <c r="AG8" s="37"/>
      <c r="AH8" s="37"/>
    </row>
    <row r="9">
      <c r="B9" s="37"/>
      <c r="C9" s="37" t="str">
        <f>IFERROR(__xludf.DUMMYFUNCTION("""COMPUTED_VALUE"""),"滿三年更換")</f>
        <v>滿三年更換</v>
      </c>
      <c r="D9" s="37" t="str">
        <f>IFERROR(__xludf.DUMMYFUNCTION("""COMPUTED_VALUE"""),"TW")</f>
        <v>TW</v>
      </c>
      <c r="E9" s="37"/>
      <c r="F9" s="37"/>
      <c r="G9" s="37"/>
      <c r="H9" s="44" t="str">
        <f>IFERROR(__xludf.DUMMYFUNCTION("""COMPUTED_VALUE"""),"行銷營運中心:銷售營運部:客戶導入團隊")</f>
        <v>行銷營運中心:銷售營運部:客戶導入團隊</v>
      </c>
      <c r="I9" s="37" t="str">
        <f>IFERROR(__xludf.DUMMYFUNCTION("""COMPUTED_VALUE"""),"資訊裝置")</f>
        <v>資訊裝置</v>
      </c>
      <c r="J9" s="37" t="str">
        <f>IFERROR(__xludf.DUMMYFUNCTION("""COMPUTED_VALUE"""),"AICHIP02102047")</f>
        <v>AICHIP02102047</v>
      </c>
      <c r="K9" s="37" t="str">
        <f>IFERROR(__xludf.DUMMYFUNCTION("""COMPUTED_VALUE"""),"iPad")</f>
        <v>iPad</v>
      </c>
      <c r="L9" s="37" t="str">
        <f>IFERROR(__xludf.DUMMYFUNCTION("""COMPUTED_VALUE"""),"DMPCTB9GMF3N")</f>
        <v>DMPCTB9GMF3N</v>
      </c>
      <c r="M9" s="37" t="str">
        <f>IFERROR(__xludf.DUMMYFUNCTION("""COMPUTED_VALUE"""),"王威淳")</f>
        <v>王威淳</v>
      </c>
      <c r="N9" s="44">
        <f>IFERROR(__xludf.DUMMYFUNCTION("""COMPUTED_VALUE"""),44236.0)</f>
        <v>44236</v>
      </c>
      <c r="O9" s="40">
        <f>IFERROR(__xludf.DUMMYFUNCTION("""COMPUTED_VALUE"""),8640.0)</f>
        <v>8640</v>
      </c>
      <c r="P9" s="37" t="str">
        <f>IFERROR(__xludf.DUMMYFUNCTION("""COMPUTED_VALUE"""),"資訊裝置")</f>
        <v>資訊裝置</v>
      </c>
      <c r="Q9" s="37">
        <f>IFERROR(__xludf.DUMMYFUNCTION("""COMPUTED_VALUE"""),36.0)</f>
        <v>36</v>
      </c>
      <c r="R9" s="37">
        <f>IFERROR(__xludf.DUMMYFUNCTION("""COMPUTED_VALUE"""),36.0)</f>
        <v>36</v>
      </c>
      <c r="S9" s="37" t="str">
        <f>IFERROR(__xludf.DUMMYFUNCTION("""COMPUTED_VALUE"""),"NT$8,640")</f>
        <v>NT$8,640</v>
      </c>
      <c r="T9" s="37" t="str">
        <f>IFERROR(__xludf.DUMMYFUNCTION("""COMPUTED_VALUE"""),"iPad (第七代) 32GB WIFI(A2197)")</f>
        <v>iPad (第七代) 32GB WIFI(A2197)</v>
      </c>
      <c r="U9" s="37"/>
      <c r="V9" s="37"/>
      <c r="W9" s="37"/>
      <c r="X9" s="40" t="str">
        <f>IFERROR(__xludf.DUMMYFUNCTION("""COMPUTED_VALUE"""),"")</f>
        <v/>
      </c>
      <c r="Y9" s="37"/>
      <c r="Z9" s="37"/>
      <c r="AA9" s="37"/>
      <c r="AB9" s="37"/>
      <c r="AC9" s="37"/>
      <c r="AD9" s="37"/>
      <c r="AE9" s="37"/>
      <c r="AF9" s="37"/>
      <c r="AG9" s="37"/>
      <c r="AH9" s="37"/>
    </row>
    <row r="10">
      <c r="B10" s="37"/>
      <c r="C10" s="37" t="str">
        <f>IFERROR(__xludf.DUMMYFUNCTION("""COMPUTED_VALUE"""),"滿三年更換")</f>
        <v>滿三年更換</v>
      </c>
      <c r="D10" s="37" t="str">
        <f>IFERROR(__xludf.DUMMYFUNCTION("""COMPUTED_VALUE"""),"TW")</f>
        <v>TW</v>
      </c>
      <c r="E10" s="37"/>
      <c r="F10" s="37"/>
      <c r="G10" s="37"/>
      <c r="H10" s="44" t="str">
        <f>IFERROR(__xludf.DUMMYFUNCTION("""COMPUTED_VALUE"""),"行銷營運中心:銷售營運部:客戶導入團隊")</f>
        <v>行銷營運中心:銷售營運部:客戶導入團隊</v>
      </c>
      <c r="I10" s="37" t="str">
        <f>IFERROR(__xludf.DUMMYFUNCTION("""COMPUTED_VALUE"""),"資訊裝置")</f>
        <v>資訊裝置</v>
      </c>
      <c r="J10" s="37" t="str">
        <f>IFERROR(__xludf.DUMMYFUNCTION("""COMPUTED_VALUE"""),"AICHMA02106025")</f>
        <v>AICHMA02106025</v>
      </c>
      <c r="K10" s="37" t="str">
        <f>IFERROR(__xludf.DUMMYFUNCTION("""COMPUTED_VALUE"""),"Macbook Air")</f>
        <v>Macbook Air</v>
      </c>
      <c r="L10" s="37" t="str">
        <f>IFERROR(__xludf.DUMMYFUNCTION("""COMPUTED_VALUE"""),"FVFFV0RLQ6L7")</f>
        <v>FVFFV0RLQ6L7</v>
      </c>
      <c r="M10" s="37" t="str">
        <f>IFERROR(__xludf.DUMMYFUNCTION("""COMPUTED_VALUE"""),"王暐綸")</f>
        <v>王暐綸</v>
      </c>
      <c r="N10" s="44">
        <f>IFERROR(__xludf.DUMMYFUNCTION("""COMPUTED_VALUE"""),44370.0)</f>
        <v>44370</v>
      </c>
      <c r="O10" s="40">
        <f>IFERROR(__xludf.DUMMYFUNCTION("""COMPUTED_VALUE"""),27075.0)</f>
        <v>27075</v>
      </c>
      <c r="P10" s="37" t="str">
        <f>IFERROR(__xludf.DUMMYFUNCTION("""COMPUTED_VALUE"""),"資訊裝置")</f>
        <v>資訊裝置</v>
      </c>
      <c r="Q10" s="37">
        <f>IFERROR(__xludf.DUMMYFUNCTION("""COMPUTED_VALUE"""),36.0)</f>
        <v>36</v>
      </c>
      <c r="R10" s="37">
        <f>IFERROR(__xludf.DUMMYFUNCTION("""COMPUTED_VALUE"""),36.0)</f>
        <v>36</v>
      </c>
      <c r="S10" s="37" t="str">
        <f>IFERROR(__xludf.DUMMYFUNCTION("""COMPUTED_VALUE"""),"NT$27,075")</f>
        <v>NT$27,075</v>
      </c>
      <c r="T10" s="37" t="str">
        <f>IFERROR(__xludf.DUMMYFUNCTION("""COMPUTED_VALUE"""),"MBA13 (2020) M1/8GBRAM/256GBSSD")</f>
        <v>MBA13 (2020) M1/8GBRAM/256GBSSD</v>
      </c>
      <c r="U10" s="37"/>
      <c r="V10" s="37"/>
      <c r="W10" s="37"/>
      <c r="X10" s="40" t="str">
        <f>IFERROR(__xludf.DUMMYFUNCTION("""COMPUTED_VALUE"""),"")</f>
        <v/>
      </c>
      <c r="Y10" s="37"/>
      <c r="Z10" s="37"/>
      <c r="AA10" s="37"/>
      <c r="AB10" s="37"/>
      <c r="AC10" s="37"/>
      <c r="AD10" s="37"/>
      <c r="AE10" s="37"/>
      <c r="AF10" s="37"/>
      <c r="AG10" s="37"/>
      <c r="AH10" s="37"/>
    </row>
    <row r="11">
      <c r="B11" s="37"/>
      <c r="C11" s="37" t="str">
        <f>IFERROR(__xludf.DUMMYFUNCTION("""COMPUTED_VALUE"""),"滿三年更換")</f>
        <v>滿三年更換</v>
      </c>
      <c r="D11" s="37" t="str">
        <f>IFERROR(__xludf.DUMMYFUNCTION("""COMPUTED_VALUE"""),"TW")</f>
        <v>TW</v>
      </c>
      <c r="E11" s="37"/>
      <c r="F11" s="37"/>
      <c r="G11" s="37"/>
      <c r="H11" s="44" t="str">
        <f>IFERROR(__xludf.DUMMYFUNCTION("""COMPUTED_VALUE"""),"行銷營運中心:銷售營運部:客戶導入團隊")</f>
        <v>行銷營運中心:銷售營運部:客戶導入團隊</v>
      </c>
      <c r="I11" s="37" t="str">
        <f>IFERROR(__xludf.DUMMYFUNCTION("""COMPUTED_VALUE"""),"資訊裝置")</f>
        <v>資訊裝置</v>
      </c>
      <c r="J11" s="37" t="str">
        <f>IFERROR(__xludf.DUMMYFUNCTION("""COMPUTED_VALUE"""),"AICHIP02008036")</f>
        <v>AICHIP02008036</v>
      </c>
      <c r="K11" s="37" t="str">
        <f>IFERROR(__xludf.DUMMYFUNCTION("""COMPUTED_VALUE"""),"iPad")</f>
        <v>iPad</v>
      </c>
      <c r="L11" s="37" t="str">
        <f>IFERROR(__xludf.DUMMYFUNCTION("""COMPUTED_VALUE"""),"DMPD3C6ZMF3P")</f>
        <v>DMPD3C6ZMF3P</v>
      </c>
      <c r="M11" s="37" t="str">
        <f>IFERROR(__xludf.DUMMYFUNCTION("""COMPUTED_VALUE"""),"王暐綸")</f>
        <v>王暐綸</v>
      </c>
      <c r="N11" s="44">
        <f>IFERROR(__xludf.DUMMYFUNCTION("""COMPUTED_VALUE"""),44074.0)</f>
        <v>44074</v>
      </c>
      <c r="O11" s="40">
        <f>IFERROR(__xludf.DUMMYFUNCTION("""COMPUTED_VALUE"""),9818.0)</f>
        <v>9818</v>
      </c>
      <c r="P11" s="37" t="str">
        <f>IFERROR(__xludf.DUMMYFUNCTION("""COMPUTED_VALUE"""),"資訊裝置")</f>
        <v>資訊裝置</v>
      </c>
      <c r="Q11" s="37">
        <f>IFERROR(__xludf.DUMMYFUNCTION("""COMPUTED_VALUE"""),36.0)</f>
        <v>36</v>
      </c>
      <c r="R11" s="37">
        <f>IFERROR(__xludf.DUMMYFUNCTION("""COMPUTED_VALUE"""),36.0)</f>
        <v>36</v>
      </c>
      <c r="S11" s="37" t="str">
        <f>IFERROR(__xludf.DUMMYFUNCTION("""COMPUTED_VALUE"""),"NT$9,818")</f>
        <v>NT$9,818</v>
      </c>
      <c r="T11" s="37" t="str">
        <f>IFERROR(__xludf.DUMMYFUNCTION("""COMPUTED_VALUE"""),"iPad (第七代) 32GB WIFI (MW762TA/A)")</f>
        <v>iPad (第七代) 32GB WIFI (MW762TA/A)</v>
      </c>
      <c r="U11" s="37"/>
      <c r="V11" s="37"/>
      <c r="W11" s="37"/>
      <c r="X11" s="40" t="str">
        <f>IFERROR(__xludf.DUMMYFUNCTION("""COMPUTED_VALUE"""),"")</f>
        <v/>
      </c>
      <c r="Y11" s="37"/>
      <c r="Z11" s="37"/>
      <c r="AA11" s="37"/>
      <c r="AB11" s="37"/>
      <c r="AC11" s="37"/>
      <c r="AD11" s="37"/>
      <c r="AE11" s="37"/>
      <c r="AF11" s="37"/>
      <c r="AG11" s="37"/>
      <c r="AH11" s="37"/>
    </row>
    <row r="12">
      <c r="B12" s="37"/>
      <c r="C12" s="37" t="str">
        <f>IFERROR(__xludf.DUMMYFUNCTION("""COMPUTED_VALUE"""),"滿三年更換")</f>
        <v>滿三年更換</v>
      </c>
      <c r="D12" s="37" t="str">
        <f>IFERROR(__xludf.DUMMYFUNCTION("""COMPUTED_VALUE"""),"TW")</f>
        <v>TW</v>
      </c>
      <c r="E12" s="37"/>
      <c r="F12" s="37"/>
      <c r="G12" s="37"/>
      <c r="H12" s="44" t="str">
        <f>IFERROR(__xludf.DUMMYFUNCTION("""COMPUTED_VALUE"""),"客戶價值中心:客戶成功管理部:PE團隊")</f>
        <v>客戶價值中心:客戶成功管理部:PE團隊</v>
      </c>
      <c r="I12" s="37" t="str">
        <f>IFERROR(__xludf.DUMMYFUNCTION("""COMPUTED_VALUE"""),"資訊裝置")</f>
        <v>資訊裝置</v>
      </c>
      <c r="J12" s="37" t="str">
        <f>IFERROR(__xludf.DUMMYFUNCTION("""COMPUTED_VALUE"""),"AICHIP02103052")</f>
        <v>AICHIP02103052</v>
      </c>
      <c r="K12" s="37" t="str">
        <f>IFERROR(__xludf.DUMMYFUNCTION("""COMPUTED_VALUE"""),"iPad")</f>
        <v>iPad</v>
      </c>
      <c r="L12" s="37" t="str">
        <f>IFERROR(__xludf.DUMMYFUNCTION("""COMPUTED_VALUE"""),"GG7CN2N8MF3M")</f>
        <v>GG7CN2N8MF3M</v>
      </c>
      <c r="M12" s="37" t="str">
        <f>IFERROR(__xludf.DUMMYFUNCTION("""COMPUTED_VALUE"""),"朱肇平")</f>
        <v>朱肇平</v>
      </c>
      <c r="N12" s="44">
        <f>IFERROR(__xludf.DUMMYFUNCTION("""COMPUTED_VALUE"""),44285.0)</f>
        <v>44285</v>
      </c>
      <c r="O12" s="40">
        <f>IFERROR(__xludf.DUMMYFUNCTION("""COMPUTED_VALUE"""),8640.0)</f>
        <v>8640</v>
      </c>
      <c r="P12" s="37" t="str">
        <f>IFERROR(__xludf.DUMMYFUNCTION("""COMPUTED_VALUE"""),"資訊裝置")</f>
        <v>資訊裝置</v>
      </c>
      <c r="Q12" s="37">
        <f>IFERROR(__xludf.DUMMYFUNCTION("""COMPUTED_VALUE"""),36.0)</f>
        <v>36</v>
      </c>
      <c r="R12" s="37">
        <f>IFERROR(__xludf.DUMMYFUNCTION("""COMPUTED_VALUE"""),36.0)</f>
        <v>36</v>
      </c>
      <c r="S12" s="37" t="str">
        <f>IFERROR(__xludf.DUMMYFUNCTION("""COMPUTED_VALUE"""),"NT$8,640")</f>
        <v>NT$8,640</v>
      </c>
      <c r="T12" s="37" t="str">
        <f>IFERROR(__xludf.DUMMYFUNCTION("""COMPUTED_VALUE"""),"iPad (第七代) 32GB WIFI(MW742TA/A)")</f>
        <v>iPad (第七代) 32GB WIFI(MW742TA/A)</v>
      </c>
      <c r="U12" s="37"/>
      <c r="V12" s="37"/>
      <c r="W12" s="37"/>
      <c r="X12" s="40" t="str">
        <f>IFERROR(__xludf.DUMMYFUNCTION("""COMPUTED_VALUE"""),"")</f>
        <v/>
      </c>
      <c r="Y12" s="37"/>
      <c r="Z12" s="37"/>
      <c r="AA12" s="37"/>
      <c r="AB12" s="37"/>
      <c r="AC12" s="37"/>
      <c r="AD12" s="37"/>
      <c r="AE12" s="37"/>
      <c r="AF12" s="37"/>
      <c r="AG12" s="37"/>
      <c r="AH12" s="37"/>
    </row>
    <row r="13">
      <c r="B13" s="37"/>
      <c r="C13" s="37" t="str">
        <f>IFERROR(__xludf.DUMMYFUNCTION("""COMPUTED_VALUE"""),"滿三年更換")</f>
        <v>滿三年更換</v>
      </c>
      <c r="D13" s="37" t="str">
        <f>IFERROR(__xludf.DUMMYFUNCTION("""COMPUTED_VALUE"""),"TW")</f>
        <v>TW</v>
      </c>
      <c r="E13" s="37"/>
      <c r="F13" s="37"/>
      <c r="G13" s="37"/>
      <c r="H13" s="44" t="str">
        <f>IFERROR(__xludf.DUMMYFUNCTION("""COMPUTED_VALUE"""),"客戶價值中心:客戶成功管理部:PE團隊")</f>
        <v>客戶價值中心:客戶成功管理部:PE團隊</v>
      </c>
      <c r="I13" s="37" t="str">
        <f>IFERROR(__xludf.DUMMYFUNCTION("""COMPUTED_VALUE"""),"資訊裝置")</f>
        <v>資訊裝置</v>
      </c>
      <c r="J13" s="37" t="str">
        <f>IFERROR(__xludf.DUMMYFUNCTION("""COMPUTED_VALUE"""),"AICHMN02010086")</f>
        <v>AICHMN02010086</v>
      </c>
      <c r="K13" s="37" t="str">
        <f>IFERROR(__xludf.DUMMYFUNCTION("""COMPUTED_VALUE"""),"螢幕")</f>
        <v>螢幕</v>
      </c>
      <c r="L13" s="37" t="str">
        <f>IFERROR(__xludf.DUMMYFUNCTION("""COMPUTED_VALUE"""),"CN-0CYKT7-WSL00-09F-CZCW-A09")</f>
        <v>CN-0CYKT7-WSL00-09F-CZCW-A09</v>
      </c>
      <c r="M13" s="37" t="str">
        <f>IFERROR(__xludf.DUMMYFUNCTION("""COMPUTED_VALUE"""),"朱肇平")</f>
        <v>朱肇平</v>
      </c>
      <c r="N13" s="45">
        <f>IFERROR(__xludf.DUMMYFUNCTION("""COMPUTED_VALUE"""),44180.0)</f>
        <v>44180</v>
      </c>
      <c r="O13" s="40">
        <f>IFERROR(__xludf.DUMMYFUNCTION("""COMPUTED_VALUE"""),9446.0)</f>
        <v>9446</v>
      </c>
      <c r="P13" s="37" t="str">
        <f>IFERROR(__xludf.DUMMYFUNCTION("""COMPUTED_VALUE"""),"資訊裝置")</f>
        <v>資訊裝置</v>
      </c>
      <c r="Q13" s="37">
        <f>IFERROR(__xludf.DUMMYFUNCTION("""COMPUTED_VALUE"""),36.0)</f>
        <v>36</v>
      </c>
      <c r="R13" s="37">
        <f>IFERROR(__xludf.DUMMYFUNCTION("""COMPUTED_VALUE"""),36.0)</f>
        <v>36</v>
      </c>
      <c r="S13" s="37" t="str">
        <f>IFERROR(__xludf.DUMMYFUNCTION("""COMPUTED_VALUE"""),"NT$9,446")</f>
        <v>NT$9,446</v>
      </c>
      <c r="T13" s="37" t="str">
        <f>IFERROR(__xludf.DUMMYFUNCTION("""COMPUTED_VALUE"""),"Dell 24吋 U2419H")</f>
        <v>Dell 24吋 U2419H</v>
      </c>
      <c r="U13" s="37"/>
      <c r="V13" s="37"/>
      <c r="W13" s="37"/>
      <c r="X13" s="40" t="str">
        <f>IFERROR(__xludf.DUMMYFUNCTION("""COMPUTED_VALUE"""),"")</f>
        <v/>
      </c>
      <c r="Y13" s="37"/>
      <c r="Z13" s="37"/>
      <c r="AA13" s="37"/>
      <c r="AB13" s="37"/>
      <c r="AC13" s="37"/>
      <c r="AD13" s="37"/>
      <c r="AE13" s="37"/>
      <c r="AF13" s="37"/>
      <c r="AG13" s="37"/>
      <c r="AH13" s="37"/>
    </row>
    <row r="14">
      <c r="B14" s="37"/>
      <c r="C14" s="37" t="str">
        <f>IFERROR(__xludf.DUMMYFUNCTION("""COMPUTED_VALUE"""),"滿三年更換")</f>
        <v>滿三年更換</v>
      </c>
      <c r="D14" s="37" t="str">
        <f>IFERROR(__xludf.DUMMYFUNCTION("""COMPUTED_VALUE"""),"TW")</f>
        <v>TW</v>
      </c>
      <c r="E14" s="37"/>
      <c r="F14" s="37"/>
      <c r="G14" s="37"/>
      <c r="H14" s="44" t="str">
        <f>IFERROR(__xludf.DUMMYFUNCTION("""COMPUTED_VALUE"""),"行銷營運中心:產品行銷部:產品品牌團隊")</f>
        <v>行銷營運中心:產品行銷部:產品品牌團隊</v>
      </c>
      <c r="I14" s="37" t="str">
        <f>IFERROR(__xludf.DUMMYFUNCTION("""COMPUTED_VALUE"""),"資訊裝置")</f>
        <v>資訊裝置</v>
      </c>
      <c r="J14" s="37" t="str">
        <f>IFERROR(__xludf.DUMMYFUNCTION("""COMPUTED_VALUE"""),"AICHMN01904056")</f>
        <v>AICHMN01904056</v>
      </c>
      <c r="K14" s="37" t="str">
        <f>IFERROR(__xludf.DUMMYFUNCTION("""COMPUTED_VALUE"""),"螢幕")</f>
        <v>螢幕</v>
      </c>
      <c r="L14" s="37" t="str">
        <f>IFERROR(__xludf.DUMMYFUNCTION("""COMPUTED_VALUE"""),"CN-07JNY5-74445-43F-110S")</f>
        <v>CN-07JNY5-74445-43F-110S</v>
      </c>
      <c r="M14" s="37" t="str">
        <f>IFERROR(__xludf.DUMMYFUNCTION("""COMPUTED_VALUE"""),"江彧琳")</f>
        <v>江彧琳</v>
      </c>
      <c r="N14" s="44">
        <f>IFERROR(__xludf.DUMMYFUNCTION("""COMPUTED_VALUE"""),43585.0)</f>
        <v>43585</v>
      </c>
      <c r="O14" s="37"/>
      <c r="P14" s="37" t="str">
        <f>IFERROR(__xludf.DUMMYFUNCTION("""COMPUTED_VALUE"""),"資訊裝置")</f>
        <v>資訊裝置</v>
      </c>
      <c r="Q14" s="37">
        <f>IFERROR(__xludf.DUMMYFUNCTION("""COMPUTED_VALUE"""),36.0)</f>
        <v>36</v>
      </c>
      <c r="R14" s="37">
        <f>IFERROR(__xludf.DUMMYFUNCTION("""COMPUTED_VALUE"""),36.0)</f>
        <v>36</v>
      </c>
      <c r="S14" s="37" t="str">
        <f>IFERROR(__xludf.DUMMYFUNCTION("""COMPUTED_VALUE"""),"NT$0")</f>
        <v>NT$0</v>
      </c>
      <c r="T14" s="37" t="str">
        <f>IFERROR(__xludf.DUMMYFUNCTION("""COMPUTED_VALUE"""),"Dell 27吋 U2713H")</f>
        <v>Dell 27吋 U2713H</v>
      </c>
      <c r="U14" s="37"/>
      <c r="V14" s="37"/>
      <c r="W14" s="37"/>
      <c r="X14" s="40" t="str">
        <f>IFERROR(__xludf.DUMMYFUNCTION("""COMPUTED_VALUE"""),"")</f>
        <v/>
      </c>
      <c r="Y14" s="37"/>
      <c r="Z14" s="37"/>
      <c r="AA14" s="37"/>
      <c r="AB14" s="37"/>
      <c r="AC14" s="37"/>
      <c r="AD14" s="37"/>
      <c r="AE14" s="37"/>
      <c r="AF14" s="37"/>
      <c r="AG14" s="37"/>
      <c r="AH14" s="37"/>
    </row>
    <row r="15">
      <c r="B15" s="37"/>
      <c r="C15" s="37" t="str">
        <f>IFERROR(__xludf.DUMMYFUNCTION("""COMPUTED_VALUE"""),"滿三年更換")</f>
        <v>滿三年更換</v>
      </c>
      <c r="D15" s="37" t="str">
        <f>IFERROR(__xludf.DUMMYFUNCTION("""COMPUTED_VALUE"""),"TW")</f>
        <v>TW</v>
      </c>
      <c r="E15" s="37"/>
      <c r="F15" s="37"/>
      <c r="G15" s="37"/>
      <c r="H15" s="44" t="str">
        <f>IFERROR(__xludf.DUMMYFUNCTION("""COMPUTED_VALUE"""),"研發中心:產品設計部:產品經理團隊")</f>
        <v>研發中心:產品設計部:產品經理團隊</v>
      </c>
      <c r="I15" s="37" t="str">
        <f>IFERROR(__xludf.DUMMYFUNCTION("""COMPUTED_VALUE"""),"資訊裝置")</f>
        <v>資訊裝置</v>
      </c>
      <c r="J15" s="37" t="str">
        <f>IFERROR(__xludf.DUMMYFUNCTION("""COMPUTED_VALUE"""),"AICHMP02108033")</f>
        <v>AICHMP02108033</v>
      </c>
      <c r="K15" s="37" t="str">
        <f>IFERROR(__xludf.DUMMYFUNCTION("""COMPUTED_VALUE"""),"Macbook Pro")</f>
        <v>Macbook Pro</v>
      </c>
      <c r="L15" s="37" t="str">
        <f>IFERROR(__xludf.DUMMYFUNCTION("""COMPUTED_VALUE"""),"C02G459MQ05P")</f>
        <v>C02G459MQ05P</v>
      </c>
      <c r="M15" s="37" t="str">
        <f>IFERROR(__xludf.DUMMYFUNCTION("""COMPUTED_VALUE"""),"吳允欣")</f>
        <v>吳允欣</v>
      </c>
      <c r="N15" s="44">
        <f>IFERROR(__xludf.DUMMYFUNCTION("""COMPUTED_VALUE"""),44414.0)</f>
        <v>44414</v>
      </c>
      <c r="O15" s="40">
        <f>IFERROR(__xludf.DUMMYFUNCTION("""COMPUTED_VALUE"""),45500.0)</f>
        <v>45500</v>
      </c>
      <c r="P15" s="37" t="str">
        <f>IFERROR(__xludf.DUMMYFUNCTION("""COMPUTED_VALUE"""),"資訊裝置")</f>
        <v>資訊裝置</v>
      </c>
      <c r="Q15" s="37">
        <f>IFERROR(__xludf.DUMMYFUNCTION("""COMPUTED_VALUE"""),36.0)</f>
        <v>36</v>
      </c>
      <c r="R15" s="37">
        <f>IFERROR(__xludf.DUMMYFUNCTION("""COMPUTED_VALUE"""),36.0)</f>
        <v>36</v>
      </c>
      <c r="S15" s="37" t="str">
        <f>IFERROR(__xludf.DUMMYFUNCTION("""COMPUTED_VALUE"""),"NT$45,500")</f>
        <v>NT$45,500</v>
      </c>
      <c r="T15" s="37" t="str">
        <f>IFERROR(__xludf.DUMMYFUNCTION("""COMPUTED_VALUE"""),"A2338 MBP13 (2020) M1/16GBRAM/512GBSSD")</f>
        <v>A2338 MBP13 (2020) M1/16GBRAM/512GBSSD</v>
      </c>
      <c r="U15" s="37"/>
      <c r="V15" s="37"/>
      <c r="W15" s="37"/>
      <c r="X15" s="40" t="str">
        <f>IFERROR(__xludf.DUMMYFUNCTION("""COMPUTED_VALUE"""),"")</f>
        <v/>
      </c>
      <c r="Y15" s="37"/>
      <c r="Z15" s="37"/>
      <c r="AA15" s="37"/>
      <c r="AB15" s="37"/>
      <c r="AC15" s="37"/>
      <c r="AD15" s="37"/>
      <c r="AE15" s="37"/>
      <c r="AF15" s="37"/>
      <c r="AG15" s="37"/>
      <c r="AH15" s="37"/>
    </row>
    <row r="16">
      <c r="B16" s="37"/>
      <c r="C16" s="37" t="str">
        <f>IFERROR(__xludf.DUMMYFUNCTION("""COMPUTED_VALUE"""),"滿三年更換")</f>
        <v>滿三年更換</v>
      </c>
      <c r="D16" s="37" t="str">
        <f>IFERROR(__xludf.DUMMYFUNCTION("""COMPUTED_VALUE"""),"TW")</f>
        <v>TW</v>
      </c>
      <c r="E16" s="37"/>
      <c r="F16" s="37"/>
      <c r="G16" s="37"/>
      <c r="H16" s="44" t="str">
        <f>IFERROR(__xludf.DUMMYFUNCTION("""COMPUTED_VALUE"""),"研發中心:產品設計部:產品經理團隊")</f>
        <v>研發中心:產品設計部:產品經理團隊</v>
      </c>
      <c r="I16" s="37" t="str">
        <f>IFERROR(__xludf.DUMMYFUNCTION("""COMPUTED_VALUE"""),"資訊裝置")</f>
        <v>資訊裝置</v>
      </c>
      <c r="J16" s="37" t="str">
        <f>IFERROR(__xludf.DUMMYFUNCTION("""COMPUTED_VALUE"""),"AICHIP02107066")</f>
        <v>AICHIP02107066</v>
      </c>
      <c r="K16" s="37" t="str">
        <f>IFERROR(__xludf.DUMMYFUNCTION("""COMPUTED_VALUE"""),"iPad")</f>
        <v>iPad</v>
      </c>
      <c r="L16" s="37" t="str">
        <f>IFERROR(__xludf.DUMMYFUNCTION("""COMPUTED_VALUE"""),"F9FFQ4CWQ1GD")</f>
        <v>F9FFQ4CWQ1GD</v>
      </c>
      <c r="M16" s="37" t="str">
        <f>IFERROR(__xludf.DUMMYFUNCTION("""COMPUTED_VALUE"""),"吳允欣")</f>
        <v>吳允欣</v>
      </c>
      <c r="N16" s="44">
        <f>IFERROR(__xludf.DUMMYFUNCTION("""COMPUTED_VALUE"""),44398.0)</f>
        <v>44398</v>
      </c>
      <c r="O16" s="40">
        <f>IFERROR(__xludf.DUMMYFUNCTION("""COMPUTED_VALUE"""),9450.0)</f>
        <v>9450</v>
      </c>
      <c r="P16" s="37" t="str">
        <f>IFERROR(__xludf.DUMMYFUNCTION("""COMPUTED_VALUE"""),"資訊裝置")</f>
        <v>資訊裝置</v>
      </c>
      <c r="Q16" s="37">
        <f>IFERROR(__xludf.DUMMYFUNCTION("""COMPUTED_VALUE"""),36.0)</f>
        <v>36</v>
      </c>
      <c r="R16" s="37">
        <f>IFERROR(__xludf.DUMMYFUNCTION("""COMPUTED_VALUE"""),36.0)</f>
        <v>36</v>
      </c>
      <c r="S16" s="37" t="str">
        <f>IFERROR(__xludf.DUMMYFUNCTION("""COMPUTED_VALUE"""),"NT$9,450")</f>
        <v>NT$9,450</v>
      </c>
      <c r="T16" s="37" t="str">
        <f>IFERROR(__xludf.DUMMYFUNCTION("""COMPUTED_VALUE"""),"iPad (第八代) 32GB WIFI(A2270)")</f>
        <v>iPad (第八代) 32GB WIFI(A2270)</v>
      </c>
      <c r="U16" s="37"/>
      <c r="V16" s="37"/>
      <c r="W16" s="37"/>
      <c r="X16" s="40" t="str">
        <f>IFERROR(__xludf.DUMMYFUNCTION("""COMPUTED_VALUE"""),"")</f>
        <v/>
      </c>
      <c r="Y16" s="37"/>
      <c r="Z16" s="37"/>
      <c r="AA16" s="37"/>
      <c r="AB16" s="37"/>
      <c r="AC16" s="37"/>
      <c r="AD16" s="37"/>
      <c r="AE16" s="37"/>
      <c r="AF16" s="37"/>
      <c r="AG16" s="37"/>
      <c r="AH16" s="37"/>
    </row>
    <row r="17">
      <c r="B17" s="37"/>
      <c r="C17" s="37" t="str">
        <f>IFERROR(__xludf.DUMMYFUNCTION("""COMPUTED_VALUE"""),"滿三年更換")</f>
        <v>滿三年更換</v>
      </c>
      <c r="D17" s="37" t="str">
        <f>IFERROR(__xludf.DUMMYFUNCTION("""COMPUTED_VALUE"""),"TW")</f>
        <v>TW</v>
      </c>
      <c r="E17" s="37"/>
      <c r="F17" s="37"/>
      <c r="G17" s="37"/>
      <c r="H17" s="44" t="str">
        <f>IFERROR(__xludf.DUMMYFUNCTION("""COMPUTED_VALUE"""),"研發中心:產品設計部:產品經理團隊")</f>
        <v>研發中心:產品設計部:產品經理團隊</v>
      </c>
      <c r="I17" s="37" t="str">
        <f>IFERROR(__xludf.DUMMYFUNCTION("""COMPUTED_VALUE"""),"資訊裝置")</f>
        <v>資訊裝置</v>
      </c>
      <c r="J17" s="37" t="str">
        <f>IFERROR(__xludf.DUMMYFUNCTION("""COMPUTED_VALUE"""),"AICHMN02108101")</f>
        <v>AICHMN02108101</v>
      </c>
      <c r="K17" s="37" t="str">
        <f>IFERROR(__xludf.DUMMYFUNCTION("""COMPUTED_VALUE"""),"螢幕")</f>
        <v>螢幕</v>
      </c>
      <c r="L17" s="37" t="str">
        <f>IFERROR(__xludf.DUMMYFUNCTION("""COMPUTED_VALUE"""),"CN-0458FC-WSL00-163-036B-A04")</f>
        <v>CN-0458FC-WSL00-163-036B-A04</v>
      </c>
      <c r="M17" s="37" t="str">
        <f>IFERROR(__xludf.DUMMYFUNCTION("""COMPUTED_VALUE"""),"吳允欣")</f>
        <v>吳允欣</v>
      </c>
      <c r="N17" s="44">
        <f>IFERROR(__xludf.DUMMYFUNCTION("""COMPUTED_VALUE"""),44418.0)</f>
        <v>44418</v>
      </c>
      <c r="O17" s="37"/>
      <c r="P17" s="37" t="str">
        <f>IFERROR(__xludf.DUMMYFUNCTION("""COMPUTED_VALUE"""),"資訊裝置")</f>
        <v>資訊裝置</v>
      </c>
      <c r="Q17" s="37">
        <f>IFERROR(__xludf.DUMMYFUNCTION("""COMPUTED_VALUE"""),36.0)</f>
        <v>36</v>
      </c>
      <c r="R17" s="37">
        <f>IFERROR(__xludf.DUMMYFUNCTION("""COMPUTED_VALUE"""),36.0)</f>
        <v>36</v>
      </c>
      <c r="S17" s="37" t="str">
        <f>IFERROR(__xludf.DUMMYFUNCTION("""COMPUTED_VALUE"""),"NT$0")</f>
        <v>NT$0</v>
      </c>
      <c r="T17" s="37" t="str">
        <f>IFERROR(__xludf.DUMMYFUNCTION("""COMPUTED_VALUE"""),"Dell 24吋 S2421HSX")</f>
        <v>Dell 24吋 S2421HSX</v>
      </c>
      <c r="U17" s="37"/>
      <c r="V17" s="37"/>
      <c r="W17" s="37"/>
      <c r="X17" s="40" t="str">
        <f>IFERROR(__xludf.DUMMYFUNCTION("""COMPUTED_VALUE"""),"")</f>
        <v/>
      </c>
      <c r="Y17" s="37"/>
      <c r="Z17" s="37"/>
      <c r="AA17" s="37"/>
      <c r="AB17" s="37"/>
      <c r="AC17" s="37"/>
      <c r="AD17" s="37"/>
      <c r="AE17" s="37"/>
      <c r="AF17" s="37"/>
      <c r="AG17" s="37"/>
      <c r="AH17" s="37"/>
    </row>
    <row r="18">
      <c r="B18" s="37"/>
      <c r="C18" s="37" t="str">
        <f>IFERROR(__xludf.DUMMYFUNCTION("""COMPUTED_VALUE"""),"滿三年更換")</f>
        <v>滿三年更換</v>
      </c>
      <c r="D18" s="37" t="str">
        <f>IFERROR(__xludf.DUMMYFUNCTION("""COMPUTED_VALUE"""),"TW")</f>
        <v>TW</v>
      </c>
      <c r="E18" s="37"/>
      <c r="F18" s="37"/>
      <c r="G18" s="37"/>
      <c r="H18" s="37" t="str">
        <f>IFERROR(__xludf.DUMMYFUNCTION("""COMPUTED_VALUE"""),"執行長室:執行長室")</f>
        <v>執行長室:執行長室</v>
      </c>
      <c r="I18" s="37" t="str">
        <f>IFERROR(__xludf.DUMMYFUNCTION("""COMPUTED_VALUE"""),"資訊裝置")</f>
        <v>資訊裝置</v>
      </c>
      <c r="J18" s="37" t="str">
        <f>IFERROR(__xludf.DUMMYFUNCTION("""COMPUTED_VALUE"""),"AICHMN01604032")</f>
        <v>AICHMN01604032</v>
      </c>
      <c r="K18" s="37" t="str">
        <f>IFERROR(__xludf.DUMMYFUNCTION("""COMPUTED_VALUE"""),"螢幕")</f>
        <v>螢幕</v>
      </c>
      <c r="L18" s="37" t="str">
        <f>IFERROR(__xludf.DUMMYFUNCTION("""COMPUTED_VALUE"""),"CN-0MTYGK-64180-61B-00NS-A02")</f>
        <v>CN-0MTYGK-64180-61B-00NS-A02</v>
      </c>
      <c r="M18" s="37" t="str">
        <f>IFERROR(__xludf.DUMMYFUNCTION("""COMPUTED_VALUE"""),"吳佳駿")</f>
        <v>吳佳駿</v>
      </c>
      <c r="N18" s="44">
        <f>IFERROR(__xludf.DUMMYFUNCTION("""COMPUTED_VALUE"""),42590.0)</f>
        <v>42590</v>
      </c>
      <c r="O18" s="37"/>
      <c r="P18" s="37" t="str">
        <f>IFERROR(__xludf.DUMMYFUNCTION("""COMPUTED_VALUE"""),"資訊裝置")</f>
        <v>資訊裝置</v>
      </c>
      <c r="Q18" s="37">
        <f>IFERROR(__xludf.DUMMYFUNCTION("""COMPUTED_VALUE"""),36.0)</f>
        <v>36</v>
      </c>
      <c r="R18" s="37">
        <f>IFERROR(__xludf.DUMMYFUNCTION("""COMPUTED_VALUE"""),36.0)</f>
        <v>36</v>
      </c>
      <c r="S18" s="37" t="str">
        <f>IFERROR(__xludf.DUMMYFUNCTION("""COMPUTED_VALUE"""),"NT$0")</f>
        <v>NT$0</v>
      </c>
      <c r="T18" s="37" t="str">
        <f>IFERROR(__xludf.DUMMYFUNCTION("""COMPUTED_VALUE"""),"Dell 24吋 U2412Mc")</f>
        <v>Dell 24吋 U2412Mc</v>
      </c>
      <c r="U18" s="37"/>
      <c r="V18" s="37"/>
      <c r="W18" s="37"/>
      <c r="X18" s="40" t="str">
        <f>IFERROR(__xludf.DUMMYFUNCTION("""COMPUTED_VALUE"""),"")</f>
        <v/>
      </c>
      <c r="Y18" s="37"/>
      <c r="Z18" s="37"/>
      <c r="AA18" s="37"/>
      <c r="AB18" s="37"/>
      <c r="AC18" s="37"/>
      <c r="AD18" s="37"/>
      <c r="AE18" s="37"/>
      <c r="AF18" s="37"/>
      <c r="AG18" s="37"/>
      <c r="AH18" s="37"/>
    </row>
    <row r="19">
      <c r="B19" s="37"/>
      <c r="C19" s="37" t="str">
        <f>IFERROR(__xludf.DUMMYFUNCTION("""COMPUTED_VALUE"""),"滿三年更換")</f>
        <v>滿三年更換</v>
      </c>
      <c r="D19" s="37" t="str">
        <f>IFERROR(__xludf.DUMMYFUNCTION("""COMPUTED_VALUE"""),"TW")</f>
        <v>TW</v>
      </c>
      <c r="E19" s="37"/>
      <c r="F19" s="37"/>
      <c r="G19" s="37"/>
      <c r="H19" s="44" t="str">
        <f>IFERROR(__xludf.DUMMYFUNCTION("""COMPUTED_VALUE"""),"研發中心:軟體工程部:後端團隊")</f>
        <v>研發中心:軟體工程部:後端團隊</v>
      </c>
      <c r="I19" s="37" t="str">
        <f>IFERROR(__xludf.DUMMYFUNCTION("""COMPUTED_VALUE"""),"資訊裝置")</f>
        <v>資訊裝置</v>
      </c>
      <c r="J19" s="37" t="str">
        <f>IFERROR(__xludf.DUMMYFUNCTION("""COMPUTED_VALUE"""),"AICHMN02009073")</f>
        <v>AICHMN02009073</v>
      </c>
      <c r="K19" s="37" t="str">
        <f>IFERROR(__xludf.DUMMYFUNCTION("""COMPUTED_VALUE"""),"螢幕")</f>
        <v>螢幕</v>
      </c>
      <c r="L19" s="37" t="str">
        <f>IFERROR(__xludf.DUMMYFUNCTION("""COMPUTED_VALUE"""),"CN-0Y2YF1-QDC00-083-054L-A16")</f>
        <v>CN-0Y2YF1-QDC00-083-054L-A16</v>
      </c>
      <c r="M19" s="37" t="str">
        <f>IFERROR(__xludf.DUMMYFUNCTION("""COMPUTED_VALUE"""),"吳岱蓉")</f>
        <v>吳岱蓉</v>
      </c>
      <c r="N19" s="44">
        <f>IFERROR(__xludf.DUMMYFUNCTION("""COMPUTED_VALUE"""),44097.0)</f>
        <v>44097</v>
      </c>
      <c r="O19" s="40">
        <f>IFERROR(__xludf.DUMMYFUNCTION("""COMPUTED_VALUE"""),13410.0)</f>
        <v>13410</v>
      </c>
      <c r="P19" s="37" t="str">
        <f>IFERROR(__xludf.DUMMYFUNCTION("""COMPUTED_VALUE"""),"資訊裝置")</f>
        <v>資訊裝置</v>
      </c>
      <c r="Q19" s="37">
        <f>IFERROR(__xludf.DUMMYFUNCTION("""COMPUTED_VALUE"""),36.0)</f>
        <v>36</v>
      </c>
      <c r="R19" s="37">
        <f>IFERROR(__xludf.DUMMYFUNCTION("""COMPUTED_VALUE"""),36.0)</f>
        <v>36</v>
      </c>
      <c r="S19" s="37" t="str">
        <f>IFERROR(__xludf.DUMMYFUNCTION("""COMPUTED_VALUE"""),"NT$13,410")</f>
        <v>NT$13,410</v>
      </c>
      <c r="T19" s="37" t="str">
        <f>IFERROR(__xludf.DUMMYFUNCTION("""COMPUTED_VALUE"""),"Dell 24吋 U2415")</f>
        <v>Dell 24吋 U2415</v>
      </c>
      <c r="U19" s="37"/>
      <c r="V19" s="37"/>
      <c r="W19" s="37"/>
      <c r="X19" s="40" t="str">
        <f>IFERROR(__xludf.DUMMYFUNCTION("""COMPUTED_VALUE"""),"")</f>
        <v/>
      </c>
      <c r="Y19" s="37"/>
      <c r="Z19" s="37"/>
      <c r="AA19" s="37"/>
      <c r="AB19" s="37"/>
      <c r="AC19" s="37"/>
      <c r="AD19" s="37"/>
      <c r="AE19" s="37"/>
      <c r="AF19" s="37"/>
      <c r="AG19" s="37"/>
      <c r="AH19" s="37"/>
    </row>
    <row r="20">
      <c r="B20" s="37"/>
      <c r="C20" s="37" t="str">
        <f>IFERROR(__xludf.DUMMYFUNCTION("""COMPUTED_VALUE"""),"滿三年更換")</f>
        <v>滿三年更換</v>
      </c>
      <c r="D20" s="37" t="str">
        <f>IFERROR(__xludf.DUMMYFUNCTION("""COMPUTED_VALUE"""),"TW")</f>
        <v>TW</v>
      </c>
      <c r="E20" s="37"/>
      <c r="F20" s="37"/>
      <c r="G20" s="37"/>
      <c r="H20" s="44" t="str">
        <f>IFERROR(__xludf.DUMMYFUNCTION("""COMPUTED_VALUE"""),"研發中心:軟體工程部:後端團隊")</f>
        <v>研發中心:軟體工程部:後端團隊</v>
      </c>
      <c r="I20" s="37" t="str">
        <f>IFERROR(__xludf.DUMMYFUNCTION("""COMPUTED_VALUE"""),"資訊裝置")</f>
        <v>資訊裝置</v>
      </c>
      <c r="J20" s="37" t="str">
        <f>IFERROR(__xludf.DUMMYFUNCTION("""COMPUTED_VALUE"""),"AICHMN02009075")</f>
        <v>AICHMN02009075</v>
      </c>
      <c r="K20" s="37" t="str">
        <f>IFERROR(__xludf.DUMMYFUNCTION("""COMPUTED_VALUE"""),"螢幕")</f>
        <v>螢幕</v>
      </c>
      <c r="L20" s="37" t="str">
        <f>IFERROR(__xludf.DUMMYFUNCTION("""COMPUTED_VALUE"""),"CN-0Y2YF1-QDC00-083-069L-A16")</f>
        <v>CN-0Y2YF1-QDC00-083-069L-A16</v>
      </c>
      <c r="M20" s="37" t="str">
        <f>IFERROR(__xludf.DUMMYFUNCTION("""COMPUTED_VALUE"""),"吳岱蓉")</f>
        <v>吳岱蓉</v>
      </c>
      <c r="N20" s="44">
        <f>IFERROR(__xludf.DUMMYFUNCTION("""COMPUTED_VALUE"""),44097.0)</f>
        <v>44097</v>
      </c>
      <c r="O20" s="40">
        <f>IFERROR(__xludf.DUMMYFUNCTION("""COMPUTED_VALUE"""),59800.0)</f>
        <v>59800</v>
      </c>
      <c r="P20" s="37" t="str">
        <f>IFERROR(__xludf.DUMMYFUNCTION("""COMPUTED_VALUE"""),"資訊裝置")</f>
        <v>資訊裝置</v>
      </c>
      <c r="Q20" s="37">
        <f>IFERROR(__xludf.DUMMYFUNCTION("""COMPUTED_VALUE"""),36.0)</f>
        <v>36</v>
      </c>
      <c r="R20" s="37">
        <f>IFERROR(__xludf.DUMMYFUNCTION("""COMPUTED_VALUE"""),36.0)</f>
        <v>36</v>
      </c>
      <c r="S20" s="37" t="str">
        <f>IFERROR(__xludf.DUMMYFUNCTION("""COMPUTED_VALUE"""),"NT$59,800")</f>
        <v>NT$59,800</v>
      </c>
      <c r="T20" s="37" t="str">
        <f>IFERROR(__xludf.DUMMYFUNCTION("""COMPUTED_VALUE"""),"Dell 24吋 U2415")</f>
        <v>Dell 24吋 U2415</v>
      </c>
      <c r="U20" s="37"/>
      <c r="V20" s="37"/>
      <c r="W20" s="37"/>
      <c r="X20" s="40" t="str">
        <f>IFERROR(__xludf.DUMMYFUNCTION("""COMPUTED_VALUE"""),"")</f>
        <v/>
      </c>
      <c r="Y20" s="37"/>
      <c r="Z20" s="37"/>
      <c r="AA20" s="37"/>
      <c r="AB20" s="37"/>
      <c r="AC20" s="37"/>
      <c r="AD20" s="37"/>
      <c r="AE20" s="37"/>
      <c r="AF20" s="37"/>
      <c r="AG20" s="37"/>
      <c r="AH20" s="37"/>
    </row>
    <row r="21">
      <c r="B21" s="37"/>
      <c r="C21" s="37" t="str">
        <f>IFERROR(__xludf.DUMMYFUNCTION("""COMPUTED_VALUE"""),"滿三年更換")</f>
        <v>滿三年更換</v>
      </c>
      <c r="D21" s="37" t="str">
        <f>IFERROR(__xludf.DUMMYFUNCTION("""COMPUTED_VALUE"""),"TW")</f>
        <v>TW</v>
      </c>
      <c r="E21" s="37"/>
      <c r="F21" s="37"/>
      <c r="G21" s="37"/>
      <c r="H21" s="44" t="str">
        <f>IFERROR(__xludf.DUMMYFUNCTION("""COMPUTED_VALUE"""),"研發中心:軟體工程部:前端團隊")</f>
        <v>研發中心:軟體工程部:前端團隊</v>
      </c>
      <c r="I21" s="37" t="str">
        <f>IFERROR(__xludf.DUMMYFUNCTION("""COMPUTED_VALUE"""),"資訊裝置")</f>
        <v>資訊裝置</v>
      </c>
      <c r="J21" s="37" t="str">
        <f>IFERROR(__xludf.DUMMYFUNCTION("""COMPUTED_VALUE"""),"AICHMP02212055")</f>
        <v>AICHMP02212055</v>
      </c>
      <c r="K21" s="37" t="str">
        <f>IFERROR(__xludf.DUMMYFUNCTION("""COMPUTED_VALUE"""),"Macbook Pro")</f>
        <v>Macbook Pro</v>
      </c>
      <c r="L21" s="37" t="str">
        <f>IFERROR(__xludf.DUMMYFUNCTION("""COMPUTED_VALUE"""),"KWNP71QLP0")</f>
        <v>KWNP71QLP0</v>
      </c>
      <c r="M21" s="37" t="str">
        <f>IFERROR(__xludf.DUMMYFUNCTION("""COMPUTED_VALUE"""),"吳旻達")</f>
        <v>吳旻達</v>
      </c>
      <c r="N21" s="44">
        <f>IFERROR(__xludf.DUMMYFUNCTION("""COMPUTED_VALUE"""),44924.0)</f>
        <v>44924</v>
      </c>
      <c r="O21" s="40">
        <f>IFERROR(__xludf.DUMMYFUNCTION("""COMPUTED_VALUE"""),63100.0)</f>
        <v>63100</v>
      </c>
      <c r="P21" s="37" t="str">
        <f>IFERROR(__xludf.DUMMYFUNCTION("""COMPUTED_VALUE"""),"資訊裝置")</f>
        <v>資訊裝置</v>
      </c>
      <c r="Q21" s="37">
        <f>IFERROR(__xludf.DUMMYFUNCTION("""COMPUTED_VALUE"""),36.0)</f>
        <v>36</v>
      </c>
      <c r="R21" s="37">
        <f>IFERROR(__xludf.DUMMYFUNCTION("""COMPUTED_VALUE"""),34.0)</f>
        <v>34</v>
      </c>
      <c r="S21" s="37" t="str">
        <f>IFERROR(__xludf.DUMMYFUNCTION("""COMPUTED_VALUE"""),"NT$59,594")</f>
        <v>NT$59,594</v>
      </c>
      <c r="T21" s="37" t="str">
        <f>IFERROR(__xludf.DUMMYFUNCTION("""COMPUTED_VALUE"""),"A2442 MBP14 (2021) M1Pro/32GBRAM/512GBSSD")</f>
        <v>A2442 MBP14 (2021) M1Pro/32GBRAM/512GBSSD</v>
      </c>
      <c r="U21" s="37"/>
      <c r="V21" s="37"/>
      <c r="W21" s="37"/>
      <c r="X21" s="40" t="str">
        <f>IFERROR(__xludf.DUMMYFUNCTION("""COMPUTED_VALUE"""),"")</f>
        <v/>
      </c>
      <c r="Y21" s="37"/>
      <c r="Z21" s="37"/>
      <c r="AA21" s="37"/>
      <c r="AB21" s="37"/>
      <c r="AC21" s="37"/>
      <c r="AD21" s="37"/>
      <c r="AE21" s="37"/>
      <c r="AF21" s="37"/>
      <c r="AG21" s="37"/>
      <c r="AH21" s="37"/>
    </row>
    <row r="22">
      <c r="B22" s="37"/>
      <c r="C22" s="37" t="str">
        <f>IFERROR(__xludf.DUMMYFUNCTION("""COMPUTED_VALUE"""),"滿三年更換")</f>
        <v>滿三年更換</v>
      </c>
      <c r="D22" s="37" t="str">
        <f>IFERROR(__xludf.DUMMYFUNCTION("""COMPUTED_VALUE"""),"TW")</f>
        <v>TW</v>
      </c>
      <c r="E22" s="37"/>
      <c r="F22" s="37"/>
      <c r="G22" s="37"/>
      <c r="H22" s="44" t="str">
        <f>IFERROR(__xludf.DUMMYFUNCTION("""COMPUTED_VALUE"""),"研發中心:軟體工程部:前端團隊")</f>
        <v>研發中心:軟體工程部:前端團隊</v>
      </c>
      <c r="I22" s="37" t="str">
        <f>IFERROR(__xludf.DUMMYFUNCTION("""COMPUTED_VALUE"""),"資訊裝置")</f>
        <v>資訊裝置</v>
      </c>
      <c r="J22" s="37" t="str">
        <f>IFERROR(__xludf.DUMMYFUNCTION("""COMPUTED_VALUE"""),"AICHMN02212122")</f>
        <v>AICHMN02212122</v>
      </c>
      <c r="K22" s="37" t="str">
        <f>IFERROR(__xludf.DUMMYFUNCTION("""COMPUTED_VALUE"""),"螢幕")</f>
        <v>螢幕</v>
      </c>
      <c r="L22" s="37" t="str">
        <f>IFERROR(__xludf.DUMMYFUNCTION("""COMPUTED_VALUE"""),"ET7AN0244901Q")</f>
        <v>ET7AN0244901Q</v>
      </c>
      <c r="M22" s="37" t="str">
        <f>IFERROR(__xludf.DUMMYFUNCTION("""COMPUTED_VALUE"""),"吳旻達")</f>
        <v>吳旻達</v>
      </c>
      <c r="N22" s="44">
        <f>IFERROR(__xludf.DUMMYFUNCTION("""COMPUTED_VALUE"""),44915.0)</f>
        <v>44915</v>
      </c>
      <c r="O22" s="37"/>
      <c r="P22" s="37" t="str">
        <f>IFERROR(__xludf.DUMMYFUNCTION("""COMPUTED_VALUE"""),"資訊裝置")</f>
        <v>資訊裝置</v>
      </c>
      <c r="Q22" s="37">
        <f>IFERROR(__xludf.DUMMYFUNCTION("""COMPUTED_VALUE"""),36.0)</f>
        <v>36</v>
      </c>
      <c r="R22" s="37">
        <f>IFERROR(__xludf.DUMMYFUNCTION("""COMPUTED_VALUE"""),34.0)</f>
        <v>34</v>
      </c>
      <c r="S22" s="37" t="str">
        <f>IFERROR(__xludf.DUMMYFUNCTION("""COMPUTED_VALUE"""),"NT$0")</f>
        <v>NT$0</v>
      </c>
      <c r="T22" s="37" t="str">
        <f>IFERROR(__xludf.DUMMYFUNCTION("""COMPUTED_VALUE"""),"BenQ 27吋 GW2780-T")</f>
        <v>BenQ 27吋 GW2780-T</v>
      </c>
      <c r="U22" s="37"/>
      <c r="V22" s="37"/>
      <c r="W22" s="37"/>
      <c r="X22" s="40" t="str">
        <f>IFERROR(__xludf.DUMMYFUNCTION("""COMPUTED_VALUE"""),"")</f>
        <v/>
      </c>
      <c r="Y22" s="37"/>
      <c r="Z22" s="37"/>
      <c r="AA22" s="37"/>
      <c r="AB22" s="37"/>
      <c r="AC22" s="37"/>
      <c r="AD22" s="37"/>
      <c r="AE22" s="37"/>
      <c r="AF22" s="37"/>
      <c r="AG22" s="37"/>
      <c r="AH22" s="37"/>
    </row>
    <row r="23">
      <c r="B23" s="37"/>
      <c r="C23" s="37" t="str">
        <f>IFERROR(__xludf.DUMMYFUNCTION("""COMPUTED_VALUE"""),"滿三年更換")</f>
        <v>滿三年更換</v>
      </c>
      <c r="D23" s="37" t="str">
        <f>IFERROR(__xludf.DUMMYFUNCTION("""COMPUTED_VALUE"""),"TW")</f>
        <v>TW</v>
      </c>
      <c r="E23" s="37"/>
      <c r="F23" s="37"/>
      <c r="G23" s="37"/>
      <c r="H23" s="44" t="str">
        <f>IFERROR(__xludf.DUMMYFUNCTION("""COMPUTED_VALUE"""),"研發中心:軟體工程部:前端團隊")</f>
        <v>研發中心:軟體工程部:前端團隊</v>
      </c>
      <c r="I23" s="37" t="str">
        <f>IFERROR(__xludf.DUMMYFUNCTION("""COMPUTED_VALUE"""),"資訊裝置")</f>
        <v>資訊裝置</v>
      </c>
      <c r="J23" s="37" t="str">
        <f>IFERROR(__xludf.DUMMYFUNCTION("""COMPUTED_VALUE"""),"AICHMN02212123")</f>
        <v>AICHMN02212123</v>
      </c>
      <c r="K23" s="37" t="str">
        <f>IFERROR(__xludf.DUMMYFUNCTION("""COMPUTED_VALUE"""),"螢幕")</f>
        <v>螢幕</v>
      </c>
      <c r="L23" s="37" t="str">
        <f>IFERROR(__xludf.DUMMYFUNCTION("""COMPUTED_VALUE"""),"N9LMTF132008")</f>
        <v>N9LMTF132008</v>
      </c>
      <c r="M23" s="37" t="str">
        <f>IFERROR(__xludf.DUMMYFUNCTION("""COMPUTED_VALUE"""),"吳旻達")</f>
        <v>吳旻達</v>
      </c>
      <c r="N23" s="44">
        <f>IFERROR(__xludf.DUMMYFUNCTION("""COMPUTED_VALUE"""),44923.0)</f>
        <v>44923</v>
      </c>
      <c r="O23" s="37"/>
      <c r="P23" s="37" t="str">
        <f>IFERROR(__xludf.DUMMYFUNCTION("""COMPUTED_VALUE"""),"資訊裝置")</f>
        <v>資訊裝置</v>
      </c>
      <c r="Q23" s="37">
        <f>IFERROR(__xludf.DUMMYFUNCTION("""COMPUTED_VALUE"""),36.0)</f>
        <v>36</v>
      </c>
      <c r="R23" s="37">
        <f>IFERROR(__xludf.DUMMYFUNCTION("""COMPUTED_VALUE"""),34.0)</f>
        <v>34</v>
      </c>
      <c r="S23" s="37" t="str">
        <f>IFERROR(__xludf.DUMMYFUNCTION("""COMPUTED_VALUE"""),"NT$0")</f>
        <v>NT$0</v>
      </c>
      <c r="T23" s="37" t="str">
        <f>IFERROR(__xludf.DUMMYFUNCTION("""COMPUTED_VALUE"""),"ASUS 27吋 VY279HE")</f>
        <v>ASUS 27吋 VY279HE</v>
      </c>
      <c r="U23" s="37"/>
      <c r="V23" s="37"/>
      <c r="W23" s="37"/>
      <c r="X23" s="40" t="str">
        <f>IFERROR(__xludf.DUMMYFUNCTION("""COMPUTED_VALUE"""),"")</f>
        <v/>
      </c>
      <c r="Y23" s="37"/>
      <c r="Z23" s="37"/>
      <c r="AA23" s="37"/>
      <c r="AB23" s="37"/>
      <c r="AC23" s="37"/>
      <c r="AD23" s="37"/>
      <c r="AE23" s="37"/>
      <c r="AF23" s="37"/>
      <c r="AG23" s="37"/>
      <c r="AH23" s="37"/>
    </row>
    <row r="24">
      <c r="B24" s="37"/>
      <c r="C24" s="37" t="str">
        <f>IFERROR(__xludf.DUMMYFUNCTION("""COMPUTED_VALUE"""),"滿三年更換")</f>
        <v>滿三年更換</v>
      </c>
      <c r="D24" s="37" t="str">
        <f>IFERROR(__xludf.DUMMYFUNCTION("""COMPUTED_VALUE"""),"TW")</f>
        <v>TW</v>
      </c>
      <c r="E24" s="37"/>
      <c r="F24" s="37"/>
      <c r="G24" s="37"/>
      <c r="H24" s="44" t="str">
        <f>IFERROR(__xludf.DUMMYFUNCTION("""COMPUTED_VALUE"""),"客戶價值中心:客戶關係管理部:客服團隊 POS/OMO")</f>
        <v>客戶價值中心:客戶關係管理部:客服團隊 POS/OMO</v>
      </c>
      <c r="I24" s="37" t="str">
        <f>IFERROR(__xludf.DUMMYFUNCTION("""COMPUTED_VALUE"""),"資訊裝置")</f>
        <v>資訊裝置</v>
      </c>
      <c r="J24" s="37" t="str">
        <f>IFERROR(__xludf.DUMMYFUNCTION("""COMPUTED_VALUE"""),"AICHIP02006029")</f>
        <v>AICHIP02006029</v>
      </c>
      <c r="K24" s="37" t="str">
        <f>IFERROR(__xludf.DUMMYFUNCTION("""COMPUTED_VALUE"""),"iPad")</f>
        <v>iPad</v>
      </c>
      <c r="L24" s="37" t="str">
        <f>IFERROR(__xludf.DUMMYFUNCTION("""COMPUTED_VALUE"""),"GG7CQF2GMF3P")</f>
        <v>GG7CQF2GMF3P</v>
      </c>
      <c r="M24" s="37" t="str">
        <f>IFERROR(__xludf.DUMMYFUNCTION("""COMPUTED_VALUE"""),"吳欣庭")</f>
        <v>吳欣庭</v>
      </c>
      <c r="N24" s="44">
        <f>IFERROR(__xludf.DUMMYFUNCTION("""COMPUTED_VALUE"""),43998.0)</f>
        <v>43998</v>
      </c>
      <c r="O24" s="40">
        <f>IFERROR(__xludf.DUMMYFUNCTION("""COMPUTED_VALUE"""),9800.0)</f>
        <v>9800</v>
      </c>
      <c r="P24" s="37" t="str">
        <f>IFERROR(__xludf.DUMMYFUNCTION("""COMPUTED_VALUE"""),"資訊裝置")</f>
        <v>資訊裝置</v>
      </c>
      <c r="Q24" s="37">
        <f>IFERROR(__xludf.DUMMYFUNCTION("""COMPUTED_VALUE"""),36.0)</f>
        <v>36</v>
      </c>
      <c r="R24" s="37">
        <f>IFERROR(__xludf.DUMMYFUNCTION("""COMPUTED_VALUE"""),36.0)</f>
        <v>36</v>
      </c>
      <c r="S24" s="37" t="str">
        <f>IFERROR(__xludf.DUMMYFUNCTION("""COMPUTED_VALUE"""),"NT$9,800")</f>
        <v>NT$9,800</v>
      </c>
      <c r="T24" s="37" t="str">
        <f>IFERROR(__xludf.DUMMYFUNCTION("""COMPUTED_VALUE"""),"iPad (第七代) 32GB WIFI(MW762TA/A)")</f>
        <v>iPad (第七代) 32GB WIFI(MW762TA/A)</v>
      </c>
      <c r="U24" s="37"/>
      <c r="V24" s="37"/>
      <c r="W24" s="37"/>
      <c r="X24" s="40" t="str">
        <f>IFERROR(__xludf.DUMMYFUNCTION("""COMPUTED_VALUE"""),"")</f>
        <v/>
      </c>
      <c r="Y24" s="37"/>
      <c r="Z24" s="37"/>
      <c r="AA24" s="37"/>
      <c r="AB24" s="37"/>
      <c r="AC24" s="37"/>
      <c r="AD24" s="37"/>
      <c r="AE24" s="37"/>
      <c r="AF24" s="37"/>
      <c r="AG24" s="37"/>
      <c r="AH24" s="37"/>
    </row>
    <row r="25">
      <c r="B25" s="37"/>
      <c r="C25" s="37" t="str">
        <f>IFERROR(__xludf.DUMMYFUNCTION("""COMPUTED_VALUE"""),"滿三年更換")</f>
        <v>滿三年更換</v>
      </c>
      <c r="D25" s="37" t="str">
        <f>IFERROR(__xludf.DUMMYFUNCTION("""COMPUTED_VALUE"""),"TW")</f>
        <v>TW</v>
      </c>
      <c r="E25" s="37"/>
      <c r="F25" s="37"/>
      <c r="G25" s="37"/>
      <c r="H25" s="44" t="str">
        <f>IFERROR(__xludf.DUMMYFUNCTION("""COMPUTED_VALUE"""),"客戶價值中心:客戶關係管理部:客服團隊 POS/OMO")</f>
        <v>客戶價值中心:客戶關係管理部:客服團隊 POS/OMO</v>
      </c>
      <c r="I25" s="37" t="str">
        <f>IFERROR(__xludf.DUMMYFUNCTION("""COMPUTED_VALUE"""),"資訊裝置")</f>
        <v>資訊裝置</v>
      </c>
      <c r="J25" s="37" t="str">
        <f>IFERROR(__xludf.DUMMYFUNCTION("""COMPUTED_VALUE"""),"AICHMN01910059")</f>
        <v>AICHMN01910059</v>
      </c>
      <c r="K25" s="37" t="str">
        <f>IFERROR(__xludf.DUMMYFUNCTION("""COMPUTED_VALUE"""),"螢幕")</f>
        <v>螢幕</v>
      </c>
      <c r="L25" s="37" t="str">
        <f>IFERROR(__xludf.DUMMYFUNCTION("""COMPUTED_VALUE"""),"CN-07N2FG-TV100-97T-00EB-A10")</f>
        <v>CN-07N2FG-TV100-97T-00EB-A10</v>
      </c>
      <c r="M25" s="37" t="str">
        <f>IFERROR(__xludf.DUMMYFUNCTION("""COMPUTED_VALUE"""),"吳芯儀")</f>
        <v>吳芯儀</v>
      </c>
      <c r="N25" s="45">
        <f>IFERROR(__xludf.DUMMYFUNCTION("""COMPUTED_VALUE"""),43769.0)</f>
        <v>43769</v>
      </c>
      <c r="O25" s="37"/>
      <c r="P25" s="37" t="str">
        <f>IFERROR(__xludf.DUMMYFUNCTION("""COMPUTED_VALUE"""),"資訊裝置")</f>
        <v>資訊裝置</v>
      </c>
      <c r="Q25" s="37">
        <f>IFERROR(__xludf.DUMMYFUNCTION("""COMPUTED_VALUE"""),36.0)</f>
        <v>36</v>
      </c>
      <c r="R25" s="37">
        <f>IFERROR(__xludf.DUMMYFUNCTION("""COMPUTED_VALUE"""),36.0)</f>
        <v>36</v>
      </c>
      <c r="S25" s="37" t="str">
        <f>IFERROR(__xludf.DUMMYFUNCTION("""COMPUTED_VALUE"""),"NT$0")</f>
        <v>NT$0</v>
      </c>
      <c r="T25" s="37" t="str">
        <f>IFERROR(__xludf.DUMMYFUNCTION("""COMPUTED_VALUE"""),"Dell 24吋 U2412M")</f>
        <v>Dell 24吋 U2412M</v>
      </c>
      <c r="U25" s="37"/>
      <c r="V25" s="37"/>
      <c r="W25" s="37"/>
      <c r="X25" s="40" t="str">
        <f>IFERROR(__xludf.DUMMYFUNCTION("""COMPUTED_VALUE"""),"")</f>
        <v/>
      </c>
      <c r="Y25" s="37"/>
      <c r="Z25" s="37"/>
      <c r="AA25" s="37"/>
      <c r="AB25" s="37"/>
      <c r="AC25" s="37"/>
      <c r="AD25" s="37"/>
      <c r="AE25" s="37"/>
      <c r="AF25" s="37"/>
      <c r="AG25" s="37"/>
      <c r="AH25" s="37"/>
    </row>
    <row r="26">
      <c r="B26" s="37"/>
      <c r="C26" s="37" t="str">
        <f>IFERROR(__xludf.DUMMYFUNCTION("""COMPUTED_VALUE"""),"滿三年更換")</f>
        <v>滿三年更換</v>
      </c>
      <c r="D26" s="37" t="str">
        <f>IFERROR(__xludf.DUMMYFUNCTION("""COMPUTED_VALUE"""),"TW")</f>
        <v>TW</v>
      </c>
      <c r="E26" s="37"/>
      <c r="F26" s="37"/>
      <c r="G26" s="37"/>
      <c r="H26" s="44" t="str">
        <f>IFERROR(__xludf.DUMMYFUNCTION("""COMPUTED_VALUE"""),"研發中心:軟體工程部:QE團隊")</f>
        <v>研發中心:軟體工程部:QE團隊</v>
      </c>
      <c r="I26" s="37" t="str">
        <f>IFERROR(__xludf.DUMMYFUNCTION("""COMPUTED_VALUE"""),"資訊裝置")</f>
        <v>資訊裝置</v>
      </c>
      <c r="J26" s="37" t="str">
        <f>IFERROR(__xludf.DUMMYFUNCTION("""COMPUTED_VALUE"""),"AICHMC02109010")</f>
        <v>AICHMC02109010</v>
      </c>
      <c r="K26" s="37" t="str">
        <f>IFERROR(__xludf.DUMMYFUNCTION("""COMPUTED_VALUE"""),"Mac mini")</f>
        <v>Mac mini</v>
      </c>
      <c r="L26" s="37" t="str">
        <f>IFERROR(__xludf.DUMMYFUNCTION("""COMPUTED_VALUE"""),"C07GD0M0Q6NY")</f>
        <v>C07GD0M0Q6NY</v>
      </c>
      <c r="M26" s="37" t="str">
        <f>IFERROR(__xludf.DUMMYFUNCTION("""COMPUTED_VALUE"""),"吳德毅")</f>
        <v>吳德毅</v>
      </c>
      <c r="N26" s="44">
        <f>IFERROR(__xludf.DUMMYFUNCTION("""COMPUTED_VALUE"""),44453.0)</f>
        <v>44453</v>
      </c>
      <c r="O26" s="40">
        <f>IFERROR(__xludf.DUMMYFUNCTION("""COMPUTED_VALUE"""),76200.0)</f>
        <v>76200</v>
      </c>
      <c r="P26" s="37" t="str">
        <f>IFERROR(__xludf.DUMMYFUNCTION("""COMPUTED_VALUE"""),"資訊裝置")</f>
        <v>資訊裝置</v>
      </c>
      <c r="Q26" s="37">
        <f>IFERROR(__xludf.DUMMYFUNCTION("""COMPUTED_VALUE"""),36.0)</f>
        <v>36</v>
      </c>
      <c r="R26" s="37">
        <f>IFERROR(__xludf.DUMMYFUNCTION("""COMPUTED_VALUE"""),36.0)</f>
        <v>36</v>
      </c>
      <c r="S26" s="37" t="str">
        <f>IFERROR(__xludf.DUMMYFUNCTION("""COMPUTED_VALUE"""),"NT$76,200")</f>
        <v>NT$76,200</v>
      </c>
      <c r="T26" s="37" t="str">
        <f>IFERROR(__xludf.DUMMYFUNCTION("""COMPUTED_VALUE"""),"MM(2020)M1/16GB/256GBSSD")</f>
        <v>MM(2020)M1/16GB/256GBSSD</v>
      </c>
      <c r="U26" s="37"/>
      <c r="V26" s="37"/>
      <c r="W26" s="37"/>
      <c r="X26" s="40" t="str">
        <f>IFERROR(__xludf.DUMMYFUNCTION("""COMPUTED_VALUE"""),"")</f>
        <v/>
      </c>
      <c r="Y26" s="37"/>
      <c r="Z26" s="37"/>
      <c r="AA26" s="37"/>
      <c r="AB26" s="37"/>
      <c r="AC26" s="37"/>
      <c r="AD26" s="37"/>
      <c r="AE26" s="37"/>
      <c r="AF26" s="37"/>
      <c r="AG26" s="37"/>
      <c r="AH26" s="37"/>
    </row>
    <row r="27">
      <c r="B27" s="37"/>
      <c r="C27" s="37" t="str">
        <f>IFERROR(__xludf.DUMMYFUNCTION("""COMPUTED_VALUE"""),"滿三年更換")</f>
        <v>滿三年更換</v>
      </c>
      <c r="D27" s="37" t="str">
        <f>IFERROR(__xludf.DUMMYFUNCTION("""COMPUTED_VALUE"""),"TW")</f>
        <v>TW</v>
      </c>
      <c r="E27" s="37"/>
      <c r="F27" s="37"/>
      <c r="G27" s="37"/>
      <c r="H27" s="44" t="str">
        <f>IFERROR(__xludf.DUMMYFUNCTION("""COMPUTED_VALUE"""),"研發中心:軟體工程部:QE團隊")</f>
        <v>研發中心:軟體工程部:QE團隊</v>
      </c>
      <c r="I27" s="37" t="str">
        <f>IFERROR(__xludf.DUMMYFUNCTION("""COMPUTED_VALUE"""),"資訊裝置")</f>
        <v>資訊裝置</v>
      </c>
      <c r="J27" s="37" t="str">
        <f>IFERROR(__xludf.DUMMYFUNCTION("""COMPUTED_VALUE"""),"AICHMC02109011")</f>
        <v>AICHMC02109011</v>
      </c>
      <c r="K27" s="37" t="str">
        <f>IFERROR(__xludf.DUMMYFUNCTION("""COMPUTED_VALUE"""),"Mac mini")</f>
        <v>Mac mini</v>
      </c>
      <c r="L27" s="37" t="str">
        <f>IFERROR(__xludf.DUMMYFUNCTION("""COMPUTED_VALUE"""),"C07GD0LWQ6NY")</f>
        <v>C07GD0LWQ6NY</v>
      </c>
      <c r="M27" s="37" t="str">
        <f>IFERROR(__xludf.DUMMYFUNCTION("""COMPUTED_VALUE"""),"吳德毅")</f>
        <v>吳德毅</v>
      </c>
      <c r="N27" s="44">
        <f>IFERROR(__xludf.DUMMYFUNCTION("""COMPUTED_VALUE"""),44453.0)</f>
        <v>44453</v>
      </c>
      <c r="O27" s="37"/>
      <c r="P27" s="37" t="str">
        <f>IFERROR(__xludf.DUMMYFUNCTION("""COMPUTED_VALUE"""),"資訊裝置")</f>
        <v>資訊裝置</v>
      </c>
      <c r="Q27" s="37">
        <f>IFERROR(__xludf.DUMMYFUNCTION("""COMPUTED_VALUE"""),36.0)</f>
        <v>36</v>
      </c>
      <c r="R27" s="37">
        <f>IFERROR(__xludf.DUMMYFUNCTION("""COMPUTED_VALUE"""),36.0)</f>
        <v>36</v>
      </c>
      <c r="S27" s="37" t="str">
        <f>IFERROR(__xludf.DUMMYFUNCTION("""COMPUTED_VALUE"""),"NT$0")</f>
        <v>NT$0</v>
      </c>
      <c r="T27" s="37" t="str">
        <f>IFERROR(__xludf.DUMMYFUNCTION("""COMPUTED_VALUE"""),"MM(2020)M1/16GB/256GBSSD")</f>
        <v>MM(2020)M1/16GB/256GBSSD</v>
      </c>
      <c r="U27" s="37"/>
      <c r="V27" s="37"/>
      <c r="W27" s="37"/>
      <c r="X27" s="40" t="str">
        <f>IFERROR(__xludf.DUMMYFUNCTION("""COMPUTED_VALUE"""),"")</f>
        <v/>
      </c>
      <c r="Y27" s="37"/>
      <c r="Z27" s="37"/>
      <c r="AA27" s="37"/>
      <c r="AB27" s="37"/>
      <c r="AC27" s="37"/>
      <c r="AD27" s="37"/>
      <c r="AE27" s="37"/>
      <c r="AF27" s="37"/>
      <c r="AG27" s="37"/>
      <c r="AH27" s="37"/>
    </row>
    <row r="28">
      <c r="B28" s="37"/>
      <c r="C28" s="37" t="str">
        <f>IFERROR(__xludf.DUMMYFUNCTION("""COMPUTED_VALUE"""),"滿三年更換")</f>
        <v>滿三年更換</v>
      </c>
      <c r="D28" s="37" t="str">
        <f>IFERROR(__xludf.DUMMYFUNCTION("""COMPUTED_VALUE"""),"TW")</f>
        <v>TW</v>
      </c>
      <c r="E28" s="37"/>
      <c r="F28" s="37"/>
      <c r="G28" s="37"/>
      <c r="H28" s="44" t="str">
        <f>IFERROR(__xludf.DUMMYFUNCTION("""COMPUTED_VALUE"""),"研發中心:軟體工程部:QE團隊")</f>
        <v>研發中心:軟體工程部:QE團隊</v>
      </c>
      <c r="I28" s="37" t="str">
        <f>IFERROR(__xludf.DUMMYFUNCTION("""COMPUTED_VALUE"""),"資訊裝置")</f>
        <v>資訊裝置</v>
      </c>
      <c r="J28" s="37" t="str">
        <f>IFERROR(__xludf.DUMMYFUNCTION("""COMPUTED_VALUE"""),"AICHMC02109012")</f>
        <v>AICHMC02109012</v>
      </c>
      <c r="K28" s="37" t="str">
        <f>IFERROR(__xludf.DUMMYFUNCTION("""COMPUTED_VALUE"""),"Mac mini")</f>
        <v>Mac mini</v>
      </c>
      <c r="L28" s="37" t="str">
        <f>IFERROR(__xludf.DUMMYFUNCTION("""COMPUTED_VALUE"""),"C07GD0LUQ6NY")</f>
        <v>C07GD0LUQ6NY</v>
      </c>
      <c r="M28" s="37" t="str">
        <f>IFERROR(__xludf.DUMMYFUNCTION("""COMPUTED_VALUE"""),"吳德毅")</f>
        <v>吳德毅</v>
      </c>
      <c r="N28" s="44">
        <f>IFERROR(__xludf.DUMMYFUNCTION("""COMPUTED_VALUE"""),44453.0)</f>
        <v>44453</v>
      </c>
      <c r="O28" s="37"/>
      <c r="P28" s="37" t="str">
        <f>IFERROR(__xludf.DUMMYFUNCTION("""COMPUTED_VALUE"""),"資訊裝置")</f>
        <v>資訊裝置</v>
      </c>
      <c r="Q28" s="37">
        <f>IFERROR(__xludf.DUMMYFUNCTION("""COMPUTED_VALUE"""),36.0)</f>
        <v>36</v>
      </c>
      <c r="R28" s="37">
        <f>IFERROR(__xludf.DUMMYFUNCTION("""COMPUTED_VALUE"""),36.0)</f>
        <v>36</v>
      </c>
      <c r="S28" s="37" t="str">
        <f>IFERROR(__xludf.DUMMYFUNCTION("""COMPUTED_VALUE"""),"NT$0")</f>
        <v>NT$0</v>
      </c>
      <c r="T28" s="37" t="str">
        <f>IFERROR(__xludf.DUMMYFUNCTION("""COMPUTED_VALUE"""),"MM(2020)M1/16GB/256GBSSD")</f>
        <v>MM(2020)M1/16GB/256GBSSD</v>
      </c>
      <c r="U28" s="37"/>
      <c r="V28" s="37"/>
      <c r="W28" s="37"/>
      <c r="X28" s="40" t="str">
        <f>IFERROR(__xludf.DUMMYFUNCTION("""COMPUTED_VALUE"""),"")</f>
        <v/>
      </c>
      <c r="Y28" s="37"/>
      <c r="Z28" s="37"/>
      <c r="AA28" s="37"/>
      <c r="AB28" s="37"/>
      <c r="AC28" s="37"/>
      <c r="AD28" s="37"/>
      <c r="AE28" s="37"/>
      <c r="AF28" s="37"/>
      <c r="AG28" s="37"/>
      <c r="AH28" s="37"/>
    </row>
    <row r="29">
      <c r="B29" s="37"/>
      <c r="C29" s="37" t="str">
        <f>IFERROR(__xludf.DUMMYFUNCTION("""COMPUTED_VALUE"""),"滿三年更換")</f>
        <v>滿三年更換</v>
      </c>
      <c r="D29" s="37" t="str">
        <f>IFERROR(__xludf.DUMMYFUNCTION("""COMPUTED_VALUE"""),"TW")</f>
        <v>TW</v>
      </c>
      <c r="E29" s="37"/>
      <c r="F29" s="37"/>
      <c r="G29" s="37"/>
      <c r="H29" s="44" t="str">
        <f>IFERROR(__xludf.DUMMYFUNCTION("""COMPUTED_VALUE"""),"研發中心:軟體工程部:QE團隊")</f>
        <v>研發中心:軟體工程部:QE團隊</v>
      </c>
      <c r="I29" s="37" t="str">
        <f>IFERROR(__xludf.DUMMYFUNCTION("""COMPUTED_VALUE"""),"資訊裝置")</f>
        <v>資訊裝置</v>
      </c>
      <c r="J29" s="37" t="str">
        <f>IFERROR(__xludf.DUMMYFUNCTION("""COMPUTED_VALUE"""),"AICHMC02109013")</f>
        <v>AICHMC02109013</v>
      </c>
      <c r="K29" s="37" t="str">
        <f>IFERROR(__xludf.DUMMYFUNCTION("""COMPUTED_VALUE"""),"Mac mini")</f>
        <v>Mac mini</v>
      </c>
      <c r="L29" s="37" t="str">
        <f>IFERROR(__xludf.DUMMYFUNCTION("""COMPUTED_VALUE"""),"C07GD0LXQ6NY")</f>
        <v>C07GD0LXQ6NY</v>
      </c>
      <c r="M29" s="37" t="str">
        <f>IFERROR(__xludf.DUMMYFUNCTION("""COMPUTED_VALUE"""),"吳德毅")</f>
        <v>吳德毅</v>
      </c>
      <c r="N29" s="44">
        <f>IFERROR(__xludf.DUMMYFUNCTION("""COMPUTED_VALUE"""),44453.0)</f>
        <v>44453</v>
      </c>
      <c r="O29" s="37"/>
      <c r="P29" s="37" t="str">
        <f>IFERROR(__xludf.DUMMYFUNCTION("""COMPUTED_VALUE"""),"資訊裝置")</f>
        <v>資訊裝置</v>
      </c>
      <c r="Q29" s="37">
        <f>IFERROR(__xludf.DUMMYFUNCTION("""COMPUTED_VALUE"""),36.0)</f>
        <v>36</v>
      </c>
      <c r="R29" s="37">
        <f>IFERROR(__xludf.DUMMYFUNCTION("""COMPUTED_VALUE"""),36.0)</f>
        <v>36</v>
      </c>
      <c r="S29" s="37" t="str">
        <f>IFERROR(__xludf.DUMMYFUNCTION("""COMPUTED_VALUE"""),"NT$0")</f>
        <v>NT$0</v>
      </c>
      <c r="T29" s="37" t="str">
        <f>IFERROR(__xludf.DUMMYFUNCTION("""COMPUTED_VALUE"""),"MM(2020)M1/16GB/256GBSSD")</f>
        <v>MM(2020)M1/16GB/256GBSSD</v>
      </c>
      <c r="U29" s="37"/>
      <c r="V29" s="37"/>
      <c r="W29" s="37"/>
      <c r="X29" s="40" t="str">
        <f>IFERROR(__xludf.DUMMYFUNCTION("""COMPUTED_VALUE"""),"")</f>
        <v/>
      </c>
      <c r="Y29" s="37"/>
      <c r="Z29" s="37"/>
      <c r="AA29" s="37"/>
      <c r="AB29" s="37"/>
      <c r="AC29" s="37"/>
      <c r="AD29" s="37"/>
      <c r="AE29" s="37"/>
      <c r="AF29" s="37"/>
      <c r="AG29" s="37"/>
      <c r="AH29" s="37"/>
    </row>
    <row r="30">
      <c r="B30" s="37"/>
      <c r="C30" s="37" t="str">
        <f>IFERROR(__xludf.DUMMYFUNCTION("""COMPUTED_VALUE"""),"滿三年更換")</f>
        <v>滿三年更換</v>
      </c>
      <c r="D30" s="37" t="str">
        <f>IFERROR(__xludf.DUMMYFUNCTION("""COMPUTED_VALUE"""),"TW")</f>
        <v>TW</v>
      </c>
      <c r="E30" s="37"/>
      <c r="F30" s="37"/>
      <c r="G30" s="37"/>
      <c r="H30" s="44" t="str">
        <f>IFERROR(__xludf.DUMMYFUNCTION("""COMPUTED_VALUE"""),"研發中心:軟體工程部:QE團隊")</f>
        <v>研發中心:軟體工程部:QE團隊</v>
      </c>
      <c r="I30" s="37" t="str">
        <f>IFERROR(__xludf.DUMMYFUNCTION("""COMPUTED_VALUE"""),"資訊裝置")</f>
        <v>資訊裝置</v>
      </c>
      <c r="J30" s="37" t="str">
        <f>IFERROR(__xludf.DUMMYFUNCTION("""COMPUTED_VALUE"""),"AICHIP02007032")</f>
        <v>AICHIP02007032</v>
      </c>
      <c r="K30" s="37" t="str">
        <f>IFERROR(__xludf.DUMMYFUNCTION("""COMPUTED_VALUE"""),"iPad Pro")</f>
        <v>iPad Pro</v>
      </c>
      <c r="L30" s="37" t="str">
        <f>IFERROR(__xludf.DUMMYFUNCTION("""COMPUTED_VALUE"""),"DLXXT25KK7M9")</f>
        <v>DLXXT25KK7M9</v>
      </c>
      <c r="M30" s="37" t="str">
        <f>IFERROR(__xludf.DUMMYFUNCTION("""COMPUTED_VALUE"""),"吳德毅")</f>
        <v>吳德毅</v>
      </c>
      <c r="N30" s="44">
        <f>IFERROR(__xludf.DUMMYFUNCTION("""COMPUTED_VALUE"""),44020.0)</f>
        <v>44020</v>
      </c>
      <c r="O30" s="40">
        <f>IFERROR(__xludf.DUMMYFUNCTION("""COMPUTED_VALUE"""),30349.0)</f>
        <v>30349</v>
      </c>
      <c r="P30" s="37" t="str">
        <f>IFERROR(__xludf.DUMMYFUNCTION("""COMPUTED_VALUE"""),"資訊裝置")</f>
        <v>資訊裝置</v>
      </c>
      <c r="Q30" s="37">
        <f>IFERROR(__xludf.DUMMYFUNCTION("""COMPUTED_VALUE"""),36.0)</f>
        <v>36</v>
      </c>
      <c r="R30" s="37">
        <f>IFERROR(__xludf.DUMMYFUNCTION("""COMPUTED_VALUE"""),36.0)</f>
        <v>36</v>
      </c>
      <c r="S30" s="37" t="str">
        <f>IFERROR(__xludf.DUMMYFUNCTION("""COMPUTED_VALUE"""),"NT$30,349")</f>
        <v>NT$30,349</v>
      </c>
      <c r="T30" s="37" t="str">
        <f>IFERROR(__xludf.DUMMYFUNCTION("""COMPUTED_VALUE"""),"iPad Pro 12.9吋 256GB(A1876)")</f>
        <v>iPad Pro 12.9吋 256GB(A1876)</v>
      </c>
      <c r="U30" s="37"/>
      <c r="V30" s="37"/>
      <c r="W30" s="37"/>
      <c r="X30" s="40" t="str">
        <f>IFERROR(__xludf.DUMMYFUNCTION("""COMPUTED_VALUE"""),"")</f>
        <v/>
      </c>
      <c r="Y30" s="37"/>
      <c r="Z30" s="37"/>
      <c r="AA30" s="37"/>
      <c r="AB30" s="37"/>
      <c r="AC30" s="37"/>
      <c r="AD30" s="37"/>
      <c r="AE30" s="37"/>
      <c r="AF30" s="37"/>
      <c r="AG30" s="37"/>
      <c r="AH30" s="37"/>
    </row>
    <row r="31">
      <c r="B31" s="37"/>
      <c r="C31" s="37" t="str">
        <f>IFERROR(__xludf.DUMMYFUNCTION("""COMPUTED_VALUE"""),"滿三年更換")</f>
        <v>滿三年更換</v>
      </c>
      <c r="D31" s="37" t="str">
        <f>IFERROR(__xludf.DUMMYFUNCTION("""COMPUTED_VALUE"""),"TW")</f>
        <v>TW</v>
      </c>
      <c r="E31" s="37"/>
      <c r="F31" s="37"/>
      <c r="G31" s="37"/>
      <c r="H31" s="44" t="str">
        <f>IFERROR(__xludf.DUMMYFUNCTION("""COMPUTED_VALUE"""),"研發中心:軟體工程部:QE團隊")</f>
        <v>研發中心:軟體工程部:QE團隊</v>
      </c>
      <c r="I31" s="37" t="str">
        <f>IFERROR(__xludf.DUMMYFUNCTION("""COMPUTED_VALUE"""),"資訊裝置")</f>
        <v>資訊裝置</v>
      </c>
      <c r="J31" s="37" t="str">
        <f>IFERROR(__xludf.DUMMYFUNCTION("""COMPUTED_VALUE"""),"AICHMN01705040")</f>
        <v>AICHMN01705040</v>
      </c>
      <c r="K31" s="37" t="str">
        <f>IFERROR(__xludf.DUMMYFUNCTION("""COMPUTED_VALUE"""),"螢幕")</f>
        <v>螢幕</v>
      </c>
      <c r="L31" s="37" t="str">
        <f>IFERROR(__xludf.DUMMYFUNCTION("""COMPUTED_VALUE"""),"CN-07N2FG-TV100-83M-044S-A07")</f>
        <v>CN-07N2FG-TV100-83M-044S-A07</v>
      </c>
      <c r="M31" s="37" t="str">
        <f>IFERROR(__xludf.DUMMYFUNCTION("""COMPUTED_VALUE"""),"吳德毅")</f>
        <v>吳德毅</v>
      </c>
      <c r="N31" s="44">
        <f>IFERROR(__xludf.DUMMYFUNCTION("""COMPUTED_VALUE"""),43245.0)</f>
        <v>43245</v>
      </c>
      <c r="O31" s="37"/>
      <c r="P31" s="37" t="str">
        <f>IFERROR(__xludf.DUMMYFUNCTION("""COMPUTED_VALUE"""),"資訊裝置")</f>
        <v>資訊裝置</v>
      </c>
      <c r="Q31" s="37">
        <f>IFERROR(__xludf.DUMMYFUNCTION("""COMPUTED_VALUE"""),36.0)</f>
        <v>36</v>
      </c>
      <c r="R31" s="37">
        <f>IFERROR(__xludf.DUMMYFUNCTION("""COMPUTED_VALUE"""),36.0)</f>
        <v>36</v>
      </c>
      <c r="S31" s="37" t="str">
        <f>IFERROR(__xludf.DUMMYFUNCTION("""COMPUTED_VALUE"""),"NT$0")</f>
        <v>NT$0</v>
      </c>
      <c r="T31" s="37" t="str">
        <f>IFERROR(__xludf.DUMMYFUNCTION("""COMPUTED_VALUE"""),"Dell 24吋 U2412Mc")</f>
        <v>Dell 24吋 U2412Mc</v>
      </c>
      <c r="U31" s="37"/>
      <c r="V31" s="37"/>
      <c r="W31" s="37"/>
      <c r="X31" s="40" t="str">
        <f>IFERROR(__xludf.DUMMYFUNCTION("""COMPUTED_VALUE"""),"")</f>
        <v/>
      </c>
      <c r="Y31" s="37"/>
      <c r="Z31" s="37"/>
      <c r="AA31" s="37"/>
      <c r="AB31" s="37"/>
      <c r="AC31" s="37"/>
      <c r="AD31" s="37"/>
      <c r="AE31" s="37"/>
      <c r="AF31" s="37"/>
      <c r="AG31" s="37"/>
      <c r="AH31" s="37"/>
    </row>
    <row r="32">
      <c r="B32" s="37"/>
      <c r="C32" s="37" t="str">
        <f>IFERROR(__xludf.DUMMYFUNCTION("""COMPUTED_VALUE"""),"滿三年更換")</f>
        <v>滿三年更換</v>
      </c>
      <c r="D32" s="37" t="str">
        <f>IFERROR(__xludf.DUMMYFUNCTION("""COMPUTED_VALUE"""),"TW")</f>
        <v>TW</v>
      </c>
      <c r="E32" s="37"/>
      <c r="F32" s="37"/>
      <c r="G32" s="37"/>
      <c r="H32" s="44" t="str">
        <f>IFERROR(__xludf.DUMMYFUNCTION("""COMPUTED_VALUE"""),"研發中心:軟體工程部:QE團隊")</f>
        <v>研發中心:軟體工程部:QE團隊</v>
      </c>
      <c r="I32" s="37" t="str">
        <f>IFERROR(__xludf.DUMMYFUNCTION("""COMPUTED_VALUE"""),"資訊裝置")</f>
        <v>資訊裝置</v>
      </c>
      <c r="J32" s="37" t="str">
        <f>IFERROR(__xludf.DUMMYFUNCTION("""COMPUTED_VALUE"""),"AICHMN01811052")</f>
        <v>AICHMN01811052</v>
      </c>
      <c r="K32" s="37" t="str">
        <f>IFERROR(__xludf.DUMMYFUNCTION("""COMPUTED_VALUE"""),"螢幕")</f>
        <v>螢幕</v>
      </c>
      <c r="L32" s="37" t="str">
        <f>IFERROR(__xludf.DUMMYFUNCTION("""COMPUTED_VALUE"""),"CN-07N2FG-TV100-88G-03KU-A08")</f>
        <v>CN-07N2FG-TV100-88G-03KU-A08</v>
      </c>
      <c r="M32" s="37" t="str">
        <f>IFERROR(__xludf.DUMMYFUNCTION("""COMPUTED_VALUE"""),"吳德毅")</f>
        <v>吳德毅</v>
      </c>
      <c r="N32" s="45">
        <f>IFERROR(__xludf.DUMMYFUNCTION("""COMPUTED_VALUE"""),43398.0)</f>
        <v>43398</v>
      </c>
      <c r="O32" s="40">
        <f>IFERROR(__xludf.DUMMYFUNCTION("""COMPUTED_VALUE"""),9450.0)</f>
        <v>9450</v>
      </c>
      <c r="P32" s="37" t="str">
        <f>IFERROR(__xludf.DUMMYFUNCTION("""COMPUTED_VALUE"""),"資訊裝置")</f>
        <v>資訊裝置</v>
      </c>
      <c r="Q32" s="37">
        <f>IFERROR(__xludf.DUMMYFUNCTION("""COMPUTED_VALUE"""),36.0)</f>
        <v>36</v>
      </c>
      <c r="R32" s="37">
        <f>IFERROR(__xludf.DUMMYFUNCTION("""COMPUTED_VALUE"""),36.0)</f>
        <v>36</v>
      </c>
      <c r="S32" s="37" t="str">
        <f>IFERROR(__xludf.DUMMYFUNCTION("""COMPUTED_VALUE"""),"NT$9,450")</f>
        <v>NT$9,450</v>
      </c>
      <c r="T32" s="37" t="str">
        <f>IFERROR(__xludf.DUMMYFUNCTION("""COMPUTED_VALUE"""),"Dell 24吋 U2412Mc")</f>
        <v>Dell 24吋 U2412Mc</v>
      </c>
      <c r="U32" s="37"/>
      <c r="V32" s="37"/>
      <c r="W32" s="37"/>
      <c r="X32" s="40" t="str">
        <f>IFERROR(__xludf.DUMMYFUNCTION("""COMPUTED_VALUE"""),"")</f>
        <v/>
      </c>
      <c r="Y32" s="37"/>
      <c r="Z32" s="37"/>
      <c r="AA32" s="37"/>
      <c r="AB32" s="37"/>
      <c r="AC32" s="37"/>
      <c r="AD32" s="37"/>
      <c r="AE32" s="37"/>
      <c r="AF32" s="37"/>
      <c r="AG32" s="37"/>
      <c r="AH32" s="37"/>
    </row>
    <row r="33">
      <c r="B33" s="37"/>
      <c r="C33" s="37" t="str">
        <f>IFERROR(__xludf.DUMMYFUNCTION("""COMPUTED_VALUE"""),"滿三年更換")</f>
        <v>滿三年更換</v>
      </c>
      <c r="D33" s="37" t="str">
        <f>IFERROR(__xludf.DUMMYFUNCTION("""COMPUTED_VALUE"""),"TW")</f>
        <v>TW</v>
      </c>
      <c r="E33" s="37"/>
      <c r="F33" s="37"/>
      <c r="G33" s="37"/>
      <c r="H33" s="44" t="str">
        <f>IFERROR(__xludf.DUMMYFUNCTION("""COMPUTED_VALUE"""),"行銷營運中心:銷售營運部:銷售顧問團隊")</f>
        <v>行銷營運中心:銷售營運部:銷售顧問團隊</v>
      </c>
      <c r="I33" s="37" t="str">
        <f>IFERROR(__xludf.DUMMYFUNCTION("""COMPUTED_VALUE"""),"資訊裝置")</f>
        <v>資訊裝置</v>
      </c>
      <c r="J33" s="37" t="str">
        <f>IFERROR(__xludf.DUMMYFUNCTION("""COMPUTED_VALUE"""),"AICHMN01604017")</f>
        <v>AICHMN01604017</v>
      </c>
      <c r="K33" s="37" t="str">
        <f>IFERROR(__xludf.DUMMYFUNCTION("""COMPUTED_VALUE"""),"螢幕")</f>
        <v>螢幕</v>
      </c>
      <c r="L33" s="37" t="str">
        <f>IFERROR(__xludf.DUMMYFUNCTION("""COMPUTED_VALUE"""),"CN-0YR48V-74261-21T-UUT")</f>
        <v>CN-0YR48V-74261-21T-UUT</v>
      </c>
      <c r="M33" s="37" t="str">
        <f>IFERROR(__xludf.DUMMYFUNCTION("""COMPUTED_VALUE"""),"巫喬婷")</f>
        <v>巫喬婷</v>
      </c>
      <c r="N33" s="44">
        <f>IFERROR(__xludf.DUMMYFUNCTION("""COMPUTED_VALUE"""),42468.0)</f>
        <v>42468</v>
      </c>
      <c r="O33" s="37"/>
      <c r="P33" s="37" t="str">
        <f>IFERROR(__xludf.DUMMYFUNCTION("""COMPUTED_VALUE"""),"資訊裝置")</f>
        <v>資訊裝置</v>
      </c>
      <c r="Q33" s="37">
        <f>IFERROR(__xludf.DUMMYFUNCTION("""COMPUTED_VALUE"""),36.0)</f>
        <v>36</v>
      </c>
      <c r="R33" s="37">
        <f>IFERROR(__xludf.DUMMYFUNCTION("""COMPUTED_VALUE"""),36.0)</f>
        <v>36</v>
      </c>
      <c r="S33" s="37" t="str">
        <f>IFERROR(__xludf.DUMMYFUNCTION("""COMPUTED_VALUE"""),"NT$0")</f>
        <v>NT$0</v>
      </c>
      <c r="T33" s="37" t="str">
        <f>IFERROR(__xludf.DUMMYFUNCTION("""COMPUTED_VALUE"""),"Dell 24吋 U2412Mb")</f>
        <v>Dell 24吋 U2412Mb</v>
      </c>
      <c r="U33" s="37"/>
      <c r="V33" s="37"/>
      <c r="W33" s="37"/>
      <c r="X33" s="40" t="str">
        <f>IFERROR(__xludf.DUMMYFUNCTION("""COMPUTED_VALUE"""),"")</f>
        <v/>
      </c>
      <c r="Y33" s="37"/>
      <c r="Z33" s="37"/>
      <c r="AA33" s="37"/>
      <c r="AB33" s="37"/>
      <c r="AC33" s="37"/>
      <c r="AD33" s="37"/>
      <c r="AE33" s="37"/>
      <c r="AF33" s="37"/>
      <c r="AG33" s="37"/>
      <c r="AH33" s="37"/>
    </row>
    <row r="34">
      <c r="B34" s="37"/>
      <c r="C34" s="37" t="str">
        <f>IFERROR(__xludf.DUMMYFUNCTION("""COMPUTED_VALUE"""),"滿三年更換")</f>
        <v>滿三年更換</v>
      </c>
      <c r="D34" s="37" t="str">
        <f>IFERROR(__xludf.DUMMYFUNCTION("""COMPUTED_VALUE"""),"TW")</f>
        <v>TW</v>
      </c>
      <c r="E34" s="37"/>
      <c r="F34" s="37"/>
      <c r="G34" s="37"/>
      <c r="H34" s="44" t="str">
        <f>IFERROR(__xludf.DUMMYFUNCTION("""COMPUTED_VALUE"""),"行銷營運中心:銷售營運部:線上開發團隊")</f>
        <v>行銷營運中心:銷售營運部:線上開發團隊</v>
      </c>
      <c r="I34" s="37" t="str">
        <f>IFERROR(__xludf.DUMMYFUNCTION("""COMPUTED_VALUE"""),"資訊裝置")</f>
        <v>資訊裝置</v>
      </c>
      <c r="J34" s="37" t="str">
        <f>IFERROR(__xludf.DUMMYFUNCTION("""COMPUTED_VALUE"""),"AICHMA02108037")</f>
        <v>AICHMA02108037</v>
      </c>
      <c r="K34" s="37" t="str">
        <f>IFERROR(__xludf.DUMMYFUNCTION("""COMPUTED_VALUE"""),"Macbook Air")</f>
        <v>Macbook Air</v>
      </c>
      <c r="L34" s="37" t="str">
        <f>IFERROR(__xludf.DUMMYFUNCTION("""COMPUTED_VALUE"""),"FVFG3SFQQ6LC")</f>
        <v>FVFG3SFQQ6LC</v>
      </c>
      <c r="M34" s="37" t="str">
        <f>IFERROR(__xludf.DUMMYFUNCTION("""COMPUTED_VALUE"""),"李安晴")</f>
        <v>李安晴</v>
      </c>
      <c r="N34" s="44">
        <f>IFERROR(__xludf.DUMMYFUNCTION("""COMPUTED_VALUE"""),44411.0)</f>
        <v>44411</v>
      </c>
      <c r="O34" s="40">
        <f>IFERROR(__xludf.DUMMYFUNCTION("""COMPUTED_VALUE"""),27075.0)</f>
        <v>27075</v>
      </c>
      <c r="P34" s="37" t="str">
        <f>IFERROR(__xludf.DUMMYFUNCTION("""COMPUTED_VALUE"""),"資訊裝置")</f>
        <v>資訊裝置</v>
      </c>
      <c r="Q34" s="37">
        <f>IFERROR(__xludf.DUMMYFUNCTION("""COMPUTED_VALUE"""),36.0)</f>
        <v>36</v>
      </c>
      <c r="R34" s="37">
        <f>IFERROR(__xludf.DUMMYFUNCTION("""COMPUTED_VALUE"""),36.0)</f>
        <v>36</v>
      </c>
      <c r="S34" s="37" t="str">
        <f>IFERROR(__xludf.DUMMYFUNCTION("""COMPUTED_VALUE"""),"NT$27,075")</f>
        <v>NT$27,075</v>
      </c>
      <c r="T34" s="37" t="str">
        <f>IFERROR(__xludf.DUMMYFUNCTION("""COMPUTED_VALUE"""),"MBA13 (2020) M1/8GBRAM/256GBSSD")</f>
        <v>MBA13 (2020) M1/8GBRAM/256GBSSD</v>
      </c>
      <c r="U34" s="37"/>
      <c r="V34" s="37"/>
      <c r="W34" s="37"/>
      <c r="X34" s="40" t="str">
        <f>IFERROR(__xludf.DUMMYFUNCTION("""COMPUTED_VALUE"""),"")</f>
        <v/>
      </c>
      <c r="Y34" s="37"/>
      <c r="Z34" s="37"/>
      <c r="AA34" s="37"/>
      <c r="AB34" s="37"/>
      <c r="AC34" s="37"/>
      <c r="AD34" s="37"/>
      <c r="AE34" s="37"/>
      <c r="AF34" s="37"/>
      <c r="AG34" s="37"/>
      <c r="AH34" s="37"/>
    </row>
    <row r="35">
      <c r="B35" s="37"/>
      <c r="C35" s="37" t="str">
        <f>IFERROR(__xludf.DUMMYFUNCTION("""COMPUTED_VALUE"""),"滿三年更換")</f>
        <v>滿三年更換</v>
      </c>
      <c r="D35" s="37" t="str">
        <f>IFERROR(__xludf.DUMMYFUNCTION("""COMPUTED_VALUE"""),"TW")</f>
        <v>TW</v>
      </c>
      <c r="E35" s="37"/>
      <c r="F35" s="37"/>
      <c r="G35" s="37"/>
      <c r="H35" s="44" t="str">
        <f>IFERROR(__xludf.DUMMYFUNCTION("""COMPUTED_VALUE"""),"行銷營運中心:銷售營運部:線上開發團隊")</f>
        <v>行銷營運中心:銷售營運部:線上開發團隊</v>
      </c>
      <c r="I35" s="37" t="str">
        <f>IFERROR(__xludf.DUMMYFUNCTION("""COMPUTED_VALUE"""),"資訊裝置")</f>
        <v>資訊裝置</v>
      </c>
      <c r="J35" s="37" t="str">
        <f>IFERROR(__xludf.DUMMYFUNCTION("""COMPUTED_VALUE"""),"AICHMN01604006")</f>
        <v>AICHMN01604006</v>
      </c>
      <c r="K35" s="37" t="str">
        <f>IFERROR(__xludf.DUMMYFUNCTION("""COMPUTED_VALUE"""),"螢幕")</f>
        <v>螢幕</v>
      </c>
      <c r="L35" s="37" t="str">
        <f>IFERROR(__xludf.DUMMYFUNCTION("""COMPUTED_VALUE"""),"CN-0MTYGK-64180-581-00FS")</f>
        <v>CN-0MTYGK-64180-581-00FS</v>
      </c>
      <c r="M35" s="37" t="str">
        <f>IFERROR(__xludf.DUMMYFUNCTION("""COMPUTED_VALUE"""),"李安晴")</f>
        <v>李安晴</v>
      </c>
      <c r="N35" s="44">
        <f>IFERROR(__xludf.DUMMYFUNCTION("""COMPUTED_VALUE"""),42468.0)</f>
        <v>42468</v>
      </c>
      <c r="O35" s="37"/>
      <c r="P35" s="37" t="str">
        <f>IFERROR(__xludf.DUMMYFUNCTION("""COMPUTED_VALUE"""),"資訊裝置")</f>
        <v>資訊裝置</v>
      </c>
      <c r="Q35" s="37">
        <f>IFERROR(__xludf.DUMMYFUNCTION("""COMPUTED_VALUE"""),36.0)</f>
        <v>36</v>
      </c>
      <c r="R35" s="37">
        <f>IFERROR(__xludf.DUMMYFUNCTION("""COMPUTED_VALUE"""),36.0)</f>
        <v>36</v>
      </c>
      <c r="S35" s="37" t="str">
        <f>IFERROR(__xludf.DUMMYFUNCTION("""COMPUTED_VALUE"""),"NT$0")</f>
        <v>NT$0</v>
      </c>
      <c r="T35" s="37" t="str">
        <f>IFERROR(__xludf.DUMMYFUNCTION("""COMPUTED_VALUE"""),"Dell 24吋 U2412Mc")</f>
        <v>Dell 24吋 U2412Mc</v>
      </c>
      <c r="U35" s="37"/>
      <c r="V35" s="37"/>
      <c r="W35" s="37"/>
      <c r="X35" s="40" t="str">
        <f>IFERROR(__xludf.DUMMYFUNCTION("""COMPUTED_VALUE"""),"")</f>
        <v/>
      </c>
      <c r="Y35" s="37"/>
      <c r="Z35" s="37"/>
      <c r="AA35" s="37"/>
      <c r="AB35" s="37"/>
      <c r="AC35" s="37"/>
      <c r="AD35" s="37"/>
      <c r="AE35" s="37"/>
      <c r="AF35" s="37"/>
      <c r="AG35" s="37"/>
      <c r="AH35" s="37"/>
    </row>
    <row r="36">
      <c r="B36" s="37"/>
      <c r="C36" s="37" t="str">
        <f>IFERROR(__xludf.DUMMYFUNCTION("""COMPUTED_VALUE"""),"滿三年更換")</f>
        <v>滿三年更換</v>
      </c>
      <c r="D36" s="37" t="str">
        <f>IFERROR(__xludf.DUMMYFUNCTION("""COMPUTED_VALUE"""),"TW")</f>
        <v>TW</v>
      </c>
      <c r="E36" s="37"/>
      <c r="F36" s="37"/>
      <c r="G36" s="37"/>
      <c r="H36" s="44" t="str">
        <f>IFERROR(__xludf.DUMMYFUNCTION("""COMPUTED_VALUE"""),"行銷營運中心:銷售營運部:銷售顧問團隊")</f>
        <v>行銷營運中心:銷售營運部:銷售顧問團隊</v>
      </c>
      <c r="I36" s="37" t="str">
        <f>IFERROR(__xludf.DUMMYFUNCTION("""COMPUTED_VALUE"""),"資訊裝置")</f>
        <v>資訊裝置</v>
      </c>
      <c r="J36" s="37" t="str">
        <f>IFERROR(__xludf.DUMMYFUNCTION("""COMPUTED_VALUE"""),"AICHIP02006031")</f>
        <v>AICHIP02006031</v>
      </c>
      <c r="K36" s="37" t="str">
        <f>IFERROR(__xludf.DUMMYFUNCTION("""COMPUTED_VALUE"""),"iPad")</f>
        <v>iPad</v>
      </c>
      <c r="L36" s="37" t="str">
        <f>IFERROR(__xludf.DUMMYFUNCTION("""COMPUTED_VALUE"""),"GG7CQ2XRMF3P")</f>
        <v>GG7CQ2XRMF3P</v>
      </c>
      <c r="M36" s="37" t="str">
        <f>IFERROR(__xludf.DUMMYFUNCTION("""COMPUTED_VALUE"""),"李艾凌")</f>
        <v>李艾凌</v>
      </c>
      <c r="N36" s="44">
        <f>IFERROR(__xludf.DUMMYFUNCTION("""COMPUTED_VALUE"""),43998.0)</f>
        <v>43998</v>
      </c>
      <c r="O36" s="40">
        <f>IFERROR(__xludf.DUMMYFUNCTION("""COMPUTED_VALUE"""),9800.0)</f>
        <v>9800</v>
      </c>
      <c r="P36" s="37" t="str">
        <f>IFERROR(__xludf.DUMMYFUNCTION("""COMPUTED_VALUE"""),"資訊裝置")</f>
        <v>資訊裝置</v>
      </c>
      <c r="Q36" s="37">
        <f>IFERROR(__xludf.DUMMYFUNCTION("""COMPUTED_VALUE"""),36.0)</f>
        <v>36</v>
      </c>
      <c r="R36" s="37">
        <f>IFERROR(__xludf.DUMMYFUNCTION("""COMPUTED_VALUE"""),36.0)</f>
        <v>36</v>
      </c>
      <c r="S36" s="37" t="str">
        <f>IFERROR(__xludf.DUMMYFUNCTION("""COMPUTED_VALUE"""),"NT$9,800")</f>
        <v>NT$9,800</v>
      </c>
      <c r="T36" s="37" t="str">
        <f>IFERROR(__xludf.DUMMYFUNCTION("""COMPUTED_VALUE"""),"iPad (第七代) 32GB WIFI(A2197)")</f>
        <v>iPad (第七代) 32GB WIFI(A2197)</v>
      </c>
      <c r="U36" s="37"/>
      <c r="V36" s="37"/>
      <c r="W36" s="37"/>
      <c r="X36" s="40" t="str">
        <f>IFERROR(__xludf.DUMMYFUNCTION("""COMPUTED_VALUE"""),"")</f>
        <v/>
      </c>
      <c r="Y36" s="37"/>
      <c r="Z36" s="37"/>
      <c r="AA36" s="37"/>
      <c r="AB36" s="37"/>
      <c r="AC36" s="37"/>
      <c r="AD36" s="37"/>
      <c r="AE36" s="37"/>
      <c r="AF36" s="37"/>
      <c r="AG36" s="37"/>
      <c r="AH36" s="37"/>
    </row>
    <row r="37">
      <c r="B37" s="37"/>
      <c r="C37" s="37" t="str">
        <f>IFERROR(__xludf.DUMMYFUNCTION("""COMPUTED_VALUE"""),"滿三年更換")</f>
        <v>滿三年更換</v>
      </c>
      <c r="D37" s="37" t="str">
        <f>IFERROR(__xludf.DUMMYFUNCTION("""COMPUTED_VALUE"""),"TW")</f>
        <v>TW</v>
      </c>
      <c r="E37" s="37"/>
      <c r="F37" s="37"/>
      <c r="G37" s="37"/>
      <c r="H37" s="44" t="str">
        <f>IFERROR(__xludf.DUMMYFUNCTION("""COMPUTED_VALUE"""),"研發中心:軟體工程部:QE團隊")</f>
        <v>研發中心:軟體工程部:QE團隊</v>
      </c>
      <c r="I37" s="37" t="str">
        <f>IFERROR(__xludf.DUMMYFUNCTION("""COMPUTED_VALUE"""),"資訊裝置")</f>
        <v>資訊裝置</v>
      </c>
      <c r="J37" s="37" t="str">
        <f>IFERROR(__xludf.DUMMYFUNCTION("""COMPUTED_VALUE"""),"AICHMP02212054")</f>
        <v>AICHMP02212054</v>
      </c>
      <c r="K37" s="37" t="str">
        <f>IFERROR(__xludf.DUMMYFUNCTION("""COMPUTED_VALUE"""),"Macbook Pro")</f>
        <v>Macbook Pro</v>
      </c>
      <c r="L37" s="37" t="str">
        <f>IFERROR(__xludf.DUMMYFUNCTION("""COMPUTED_VALUE"""),"RDYTFP9729")</f>
        <v>RDYTFP9729</v>
      </c>
      <c r="M37" s="37" t="str">
        <f>IFERROR(__xludf.DUMMYFUNCTION("""COMPUTED_VALUE"""),"李怡萱")</f>
        <v>李怡萱</v>
      </c>
      <c r="N37" s="44">
        <f>IFERROR(__xludf.DUMMYFUNCTION("""COMPUTED_VALUE"""),44924.0)</f>
        <v>44924</v>
      </c>
      <c r="O37" s="40">
        <f>IFERROR(__xludf.DUMMYFUNCTION("""COMPUTED_VALUE"""),68300.0)</f>
        <v>68300</v>
      </c>
      <c r="P37" s="37" t="str">
        <f>IFERROR(__xludf.DUMMYFUNCTION("""COMPUTED_VALUE"""),"資訊裝置")</f>
        <v>資訊裝置</v>
      </c>
      <c r="Q37" s="37">
        <f>IFERROR(__xludf.DUMMYFUNCTION("""COMPUTED_VALUE"""),36.0)</f>
        <v>36</v>
      </c>
      <c r="R37" s="37">
        <f>IFERROR(__xludf.DUMMYFUNCTION("""COMPUTED_VALUE"""),34.0)</f>
        <v>34</v>
      </c>
      <c r="S37" s="37" t="str">
        <f>IFERROR(__xludf.DUMMYFUNCTION("""COMPUTED_VALUE"""),"NT$64,506")</f>
        <v>NT$64,506</v>
      </c>
      <c r="T37" s="37" t="str">
        <f>IFERROR(__xludf.DUMMYFUNCTION("""COMPUTED_VALUE"""),"A2442 MBP14 (2021) M1Pro/32GBRAM/512GBSSD")</f>
        <v>A2442 MBP14 (2021) M1Pro/32GBRAM/512GBSSD</v>
      </c>
      <c r="U37" s="37"/>
      <c r="V37" s="37"/>
      <c r="W37" s="37"/>
      <c r="X37" s="40" t="str">
        <f>IFERROR(__xludf.DUMMYFUNCTION("""COMPUTED_VALUE"""),"")</f>
        <v/>
      </c>
      <c r="Y37" s="37"/>
      <c r="Z37" s="37"/>
      <c r="AA37" s="37"/>
      <c r="AB37" s="37"/>
      <c r="AC37" s="37"/>
      <c r="AD37" s="37"/>
      <c r="AE37" s="37"/>
      <c r="AF37" s="37"/>
      <c r="AG37" s="37"/>
      <c r="AH37" s="37"/>
    </row>
    <row r="38">
      <c r="B38" s="37"/>
      <c r="C38" s="37" t="str">
        <f>IFERROR(__xludf.DUMMYFUNCTION("""COMPUTED_VALUE"""),"滿三年更換")</f>
        <v>滿三年更換</v>
      </c>
      <c r="D38" s="37" t="str">
        <f>IFERROR(__xludf.DUMMYFUNCTION("""COMPUTED_VALUE"""),"TW")</f>
        <v>TW</v>
      </c>
      <c r="E38" s="37"/>
      <c r="F38" s="37"/>
      <c r="G38" s="37"/>
      <c r="H38" s="44" t="str">
        <f>IFERROR(__xludf.DUMMYFUNCTION("""COMPUTED_VALUE"""),"研發中心:軟體工程部:QE團隊")</f>
        <v>研發中心:軟體工程部:QE團隊</v>
      </c>
      <c r="I38" s="37" t="str">
        <f>IFERROR(__xludf.DUMMYFUNCTION("""COMPUTED_VALUE"""),"資訊裝置")</f>
        <v>資訊裝置</v>
      </c>
      <c r="J38" s="37" t="str">
        <f>IFERROR(__xludf.DUMMYFUNCTION("""COMPUTED_VALUE"""),"AICHIP02011043")</f>
        <v>AICHIP02011043</v>
      </c>
      <c r="K38" s="37" t="str">
        <f>IFERROR(__xludf.DUMMYFUNCTION("""COMPUTED_VALUE"""),"iPad")</f>
        <v>iPad</v>
      </c>
      <c r="L38" s="37" t="str">
        <f>IFERROR(__xludf.DUMMYFUNCTION("""COMPUTED_VALUE"""),"DMPDMDJHQ1GF")</f>
        <v>DMPDMDJHQ1GF</v>
      </c>
      <c r="M38" s="37" t="str">
        <f>IFERROR(__xludf.DUMMYFUNCTION("""COMPUTED_VALUE"""),"李怡萱")</f>
        <v>李怡萱</v>
      </c>
      <c r="N38" s="44">
        <f>IFERROR(__xludf.DUMMYFUNCTION("""COMPUTED_VALUE"""),44165.0)</f>
        <v>44165</v>
      </c>
      <c r="O38" s="40">
        <f>IFERROR(__xludf.DUMMYFUNCTION("""COMPUTED_VALUE"""),9450.0)</f>
        <v>9450</v>
      </c>
      <c r="P38" s="37" t="str">
        <f>IFERROR(__xludf.DUMMYFUNCTION("""COMPUTED_VALUE"""),"資訊裝置")</f>
        <v>資訊裝置</v>
      </c>
      <c r="Q38" s="37">
        <f>IFERROR(__xludf.DUMMYFUNCTION("""COMPUTED_VALUE"""),36.0)</f>
        <v>36</v>
      </c>
      <c r="R38" s="37">
        <f>IFERROR(__xludf.DUMMYFUNCTION("""COMPUTED_VALUE"""),36.0)</f>
        <v>36</v>
      </c>
      <c r="S38" s="37" t="str">
        <f>IFERROR(__xludf.DUMMYFUNCTION("""COMPUTED_VALUE"""),"NT$9,450")</f>
        <v>NT$9,450</v>
      </c>
      <c r="T38" s="37" t="str">
        <f>IFERROR(__xludf.DUMMYFUNCTION("""COMPUTED_VALUE"""),"iPad (第八代) 32GB WIFI(A2270)")</f>
        <v>iPad (第八代) 32GB WIFI(A2270)</v>
      </c>
      <c r="U38" s="37"/>
      <c r="V38" s="37"/>
      <c r="W38" s="37"/>
      <c r="X38" s="40" t="str">
        <f>IFERROR(__xludf.DUMMYFUNCTION("""COMPUTED_VALUE"""),"")</f>
        <v/>
      </c>
      <c r="Y38" s="37"/>
      <c r="Z38" s="37"/>
      <c r="AA38" s="37"/>
      <c r="AB38" s="37"/>
      <c r="AC38" s="37"/>
      <c r="AD38" s="37"/>
      <c r="AE38" s="37"/>
      <c r="AF38" s="37"/>
      <c r="AG38" s="37"/>
      <c r="AH38" s="37"/>
    </row>
    <row r="39">
      <c r="B39" s="37"/>
      <c r="C39" s="37" t="str">
        <f>IFERROR(__xludf.DUMMYFUNCTION("""COMPUTED_VALUE"""),"滿三年更換")</f>
        <v>滿三年更換</v>
      </c>
      <c r="D39" s="37" t="str">
        <f>IFERROR(__xludf.DUMMYFUNCTION("""COMPUTED_VALUE"""),"TW")</f>
        <v>TW</v>
      </c>
      <c r="E39" s="37"/>
      <c r="F39" s="37"/>
      <c r="G39" s="37"/>
      <c r="H39" s="44" t="str">
        <f>IFERROR(__xludf.DUMMYFUNCTION("""COMPUTED_VALUE"""),"研發中心:軟體工程部:QE團隊")</f>
        <v>研發中心:軟體工程部:QE團隊</v>
      </c>
      <c r="I39" s="37" t="str">
        <f>IFERROR(__xludf.DUMMYFUNCTION("""COMPUTED_VALUE"""),"資訊裝置")</f>
        <v>資訊裝置</v>
      </c>
      <c r="J39" s="37" t="str">
        <f>IFERROR(__xludf.DUMMYFUNCTION("""COMPUTED_VALUE"""),"AICHIP02111080")</f>
        <v>AICHIP02111080</v>
      </c>
      <c r="K39" s="37" t="str">
        <f>IFERROR(__xludf.DUMMYFUNCTION("""COMPUTED_VALUE"""),"iPad 9")</f>
        <v>iPad 9</v>
      </c>
      <c r="L39" s="37" t="str">
        <f>IFERROR(__xludf.DUMMYFUNCTION("""COMPUTED_VALUE"""),"LC65HM2GVQ")</f>
        <v>LC65HM2GVQ</v>
      </c>
      <c r="M39" s="37" t="str">
        <f>IFERROR(__xludf.DUMMYFUNCTION("""COMPUTED_VALUE"""),"李怡萱")</f>
        <v>李怡萱</v>
      </c>
      <c r="N39" s="44">
        <f>IFERROR(__xludf.DUMMYFUNCTION("""COMPUTED_VALUE"""),44516.0)</f>
        <v>44516</v>
      </c>
      <c r="O39" s="40">
        <f>IFERROR(__xludf.DUMMYFUNCTION("""COMPUTED_VALUE"""),9450.0)</f>
        <v>9450</v>
      </c>
      <c r="P39" s="37" t="str">
        <f>IFERROR(__xludf.DUMMYFUNCTION("""COMPUTED_VALUE"""),"資訊裝置")</f>
        <v>資訊裝置</v>
      </c>
      <c r="Q39" s="37">
        <f>IFERROR(__xludf.DUMMYFUNCTION("""COMPUTED_VALUE"""),36.0)</f>
        <v>36</v>
      </c>
      <c r="R39" s="37">
        <f>IFERROR(__xludf.DUMMYFUNCTION("""COMPUTED_VALUE"""),36.0)</f>
        <v>36</v>
      </c>
      <c r="S39" s="37" t="str">
        <f>IFERROR(__xludf.DUMMYFUNCTION("""COMPUTED_VALUE"""),"NT$9,450")</f>
        <v>NT$9,450</v>
      </c>
      <c r="T39" s="37" t="str">
        <f>IFERROR(__xludf.DUMMYFUNCTION("""COMPUTED_VALUE"""),"iPad (第九代) 64GB WiFi(A2602)")</f>
        <v>iPad (第九代) 64GB WiFi(A2602)</v>
      </c>
      <c r="U39" s="37"/>
      <c r="V39" s="37"/>
      <c r="W39" s="37"/>
      <c r="X39" s="40" t="str">
        <f>IFERROR(__xludf.DUMMYFUNCTION("""COMPUTED_VALUE"""),"")</f>
        <v/>
      </c>
      <c r="Y39" s="37"/>
      <c r="Z39" s="37"/>
      <c r="AA39" s="37"/>
      <c r="AB39" s="37"/>
      <c r="AC39" s="37"/>
      <c r="AD39" s="37"/>
      <c r="AE39" s="37"/>
      <c r="AF39" s="37"/>
      <c r="AG39" s="37"/>
      <c r="AH39" s="37"/>
    </row>
    <row r="40">
      <c r="B40" s="37"/>
      <c r="C40" s="37" t="str">
        <f>IFERROR(__xludf.DUMMYFUNCTION("""COMPUTED_VALUE"""),"滿三年更換")</f>
        <v>滿三年更換</v>
      </c>
      <c r="D40" s="37" t="str">
        <f>IFERROR(__xludf.DUMMYFUNCTION("""COMPUTED_VALUE"""),"TW")</f>
        <v>TW</v>
      </c>
      <c r="E40" s="37"/>
      <c r="F40" s="37"/>
      <c r="G40" s="37"/>
      <c r="H40" s="44" t="str">
        <f>IFERROR(__xludf.DUMMYFUNCTION("""COMPUTED_VALUE"""),"研發中心:軟體工程部:QE團隊")</f>
        <v>研發中心:軟體工程部:QE團隊</v>
      </c>
      <c r="I40" s="37" t="str">
        <f>IFERROR(__xludf.DUMMYFUNCTION("""COMPUTED_VALUE"""),"資訊裝置")</f>
        <v>資訊裝置</v>
      </c>
      <c r="J40" s="37" t="str">
        <f>IFERROR(__xludf.DUMMYFUNCTION("""COMPUTED_VALUE"""),"AICHMN02108105")</f>
        <v>AICHMN02108105</v>
      </c>
      <c r="K40" s="37" t="str">
        <f>IFERROR(__xludf.DUMMYFUNCTION("""COMPUTED_VALUE"""),"螢幕")</f>
        <v>螢幕</v>
      </c>
      <c r="L40" s="37" t="str">
        <f>IFERROR(__xludf.DUMMYFUNCTION("""COMPUTED_VALUE"""),"CN-0458FC-WSL00-15Q-934B-A04")</f>
        <v>CN-0458FC-WSL00-15Q-934B-A04</v>
      </c>
      <c r="M40" s="37" t="str">
        <f>IFERROR(__xludf.DUMMYFUNCTION("""COMPUTED_VALUE"""),"李怡萱")</f>
        <v>李怡萱</v>
      </c>
      <c r="N40" s="44">
        <f>IFERROR(__xludf.DUMMYFUNCTION("""COMPUTED_VALUE"""),44418.0)</f>
        <v>44418</v>
      </c>
      <c r="O40" s="40">
        <f>IFERROR(__xludf.DUMMYFUNCTION("""COMPUTED_VALUE"""),5417.0)</f>
        <v>5417</v>
      </c>
      <c r="P40" s="37" t="str">
        <f>IFERROR(__xludf.DUMMYFUNCTION("""COMPUTED_VALUE"""),"資訊裝置")</f>
        <v>資訊裝置</v>
      </c>
      <c r="Q40" s="37">
        <f>IFERROR(__xludf.DUMMYFUNCTION("""COMPUTED_VALUE"""),36.0)</f>
        <v>36</v>
      </c>
      <c r="R40" s="37">
        <f>IFERROR(__xludf.DUMMYFUNCTION("""COMPUTED_VALUE"""),36.0)</f>
        <v>36</v>
      </c>
      <c r="S40" s="37" t="str">
        <f>IFERROR(__xludf.DUMMYFUNCTION("""COMPUTED_VALUE"""),"NT$5,417")</f>
        <v>NT$5,417</v>
      </c>
      <c r="T40" s="37" t="str">
        <f>IFERROR(__xludf.DUMMYFUNCTION("""COMPUTED_VALUE"""),"Dell 24吋 S2421HSX")</f>
        <v>Dell 24吋 S2421HSX</v>
      </c>
      <c r="U40" s="37"/>
      <c r="V40" s="37"/>
      <c r="W40" s="37"/>
      <c r="X40" s="40" t="str">
        <f>IFERROR(__xludf.DUMMYFUNCTION("""COMPUTED_VALUE"""),"")</f>
        <v/>
      </c>
      <c r="Y40" s="37"/>
      <c r="Z40" s="37"/>
      <c r="AA40" s="37"/>
      <c r="AB40" s="37"/>
      <c r="AC40" s="37"/>
      <c r="AD40" s="37"/>
      <c r="AE40" s="37"/>
      <c r="AF40" s="37"/>
      <c r="AG40" s="37"/>
      <c r="AH40" s="37"/>
    </row>
    <row r="41">
      <c r="B41" s="37"/>
      <c r="C41" s="37" t="str">
        <f>IFERROR(__xludf.DUMMYFUNCTION("""COMPUTED_VALUE"""),"滿三年更換")</f>
        <v>滿三年更換</v>
      </c>
      <c r="D41" s="37" t="str">
        <f>IFERROR(__xludf.DUMMYFUNCTION("""COMPUTED_VALUE"""),"TW")</f>
        <v>TW</v>
      </c>
      <c r="E41" s="37"/>
      <c r="F41" s="37"/>
      <c r="G41" s="37"/>
      <c r="H41" s="44" t="str">
        <f>IFERROR(__xludf.DUMMYFUNCTION("""COMPUTED_VALUE"""),"研發中心:軟體工程部:QE團隊")</f>
        <v>研發中心:軟體工程部:QE團隊</v>
      </c>
      <c r="I41" s="37" t="str">
        <f>IFERROR(__xludf.DUMMYFUNCTION("""COMPUTED_VALUE"""),"資訊裝置")</f>
        <v>資訊裝置</v>
      </c>
      <c r="J41" s="37" t="str">
        <f>IFERROR(__xludf.DUMMYFUNCTION("""COMPUTED_VALUE"""),"AICHMN02212121")</f>
        <v>AICHMN02212121</v>
      </c>
      <c r="K41" s="37" t="str">
        <f>IFERROR(__xludf.DUMMYFUNCTION("""COMPUTED_VALUE"""),"螢幕")</f>
        <v>螢幕</v>
      </c>
      <c r="L41" s="37" t="str">
        <f>IFERROR(__xludf.DUMMYFUNCTION("""COMPUTED_VALUE"""),"ET9AN01513019")</f>
        <v>ET9AN01513019</v>
      </c>
      <c r="M41" s="37" t="str">
        <f>IFERROR(__xludf.DUMMYFUNCTION("""COMPUTED_VALUE"""),"李怡萱")</f>
        <v>李怡萱</v>
      </c>
      <c r="N41" s="44">
        <f>IFERROR(__xludf.DUMMYFUNCTION("""COMPUTED_VALUE"""),44915.0)</f>
        <v>44915</v>
      </c>
      <c r="O41" s="40">
        <f>IFERROR(__xludf.DUMMYFUNCTION("""COMPUTED_VALUE"""),7893.0)</f>
        <v>7893</v>
      </c>
      <c r="P41" s="37" t="str">
        <f>IFERROR(__xludf.DUMMYFUNCTION("""COMPUTED_VALUE"""),"資訊裝置")</f>
        <v>資訊裝置</v>
      </c>
      <c r="Q41" s="37">
        <f>IFERROR(__xludf.DUMMYFUNCTION("""COMPUTED_VALUE"""),36.0)</f>
        <v>36</v>
      </c>
      <c r="R41" s="37">
        <f>IFERROR(__xludf.DUMMYFUNCTION("""COMPUTED_VALUE"""),34.0)</f>
        <v>34</v>
      </c>
      <c r="S41" s="37" t="str">
        <f>IFERROR(__xludf.DUMMYFUNCTION("""COMPUTED_VALUE"""),"NT$7,455")</f>
        <v>NT$7,455</v>
      </c>
      <c r="T41" s="37" t="str">
        <f>IFERROR(__xludf.DUMMYFUNCTION("""COMPUTED_VALUE"""),"BenQ 27吋 EW2780-T")</f>
        <v>BenQ 27吋 EW2780-T</v>
      </c>
      <c r="U41" s="37"/>
      <c r="V41" s="37"/>
      <c r="W41" s="37"/>
      <c r="X41" s="40" t="str">
        <f>IFERROR(__xludf.DUMMYFUNCTION("""COMPUTED_VALUE"""),"")</f>
        <v/>
      </c>
      <c r="Y41" s="37"/>
      <c r="Z41" s="37"/>
      <c r="AA41" s="37"/>
      <c r="AB41" s="37"/>
      <c r="AC41" s="37"/>
      <c r="AD41" s="37"/>
      <c r="AE41" s="37"/>
      <c r="AF41" s="37"/>
      <c r="AG41" s="37"/>
      <c r="AH41" s="37"/>
    </row>
    <row r="42">
      <c r="B42" s="37"/>
      <c r="C42" s="37" t="str">
        <f>IFERROR(__xludf.DUMMYFUNCTION("""COMPUTED_VALUE"""),"滿三年更換")</f>
        <v>滿三年更換</v>
      </c>
      <c r="D42" s="37" t="str">
        <f>IFERROR(__xludf.DUMMYFUNCTION("""COMPUTED_VALUE"""),"TW")</f>
        <v>TW</v>
      </c>
      <c r="E42" s="37"/>
      <c r="F42" s="37"/>
      <c r="G42" s="37"/>
      <c r="H42" s="44" t="str">
        <f>IFERROR(__xludf.DUMMYFUNCTION("""COMPUTED_VALUE"""),"研發中心:軟體工程部:QE團隊")</f>
        <v>研發中心:軟體工程部:QE團隊</v>
      </c>
      <c r="I42" s="37" t="str">
        <f>IFERROR(__xludf.DUMMYFUNCTION("""COMPUTED_VALUE"""),"資訊裝置")</f>
        <v>資訊裝置</v>
      </c>
      <c r="J42" s="37" t="str">
        <f>IFERROR(__xludf.DUMMYFUNCTION("""COMPUTED_VALUE"""),"AICHMC02106009")</f>
        <v>AICHMC02106009</v>
      </c>
      <c r="K42" s="37" t="str">
        <f>IFERROR(__xludf.DUMMYFUNCTION("""COMPUTED_VALUE"""),"Mac mini")</f>
        <v>Mac mini</v>
      </c>
      <c r="L42" s="37" t="str">
        <f>IFERROR(__xludf.DUMMYFUNCTION("""COMPUTED_VALUE"""),"C07FQ160Q6P0")</f>
        <v>C07FQ160Q6P0</v>
      </c>
      <c r="M42" s="37" t="str">
        <f>IFERROR(__xludf.DUMMYFUNCTION("""COMPUTED_VALUE"""),"李冠宇")</f>
        <v>李冠宇</v>
      </c>
      <c r="N42" s="44">
        <f>IFERROR(__xludf.DUMMYFUNCTION("""COMPUTED_VALUE"""),44350.0)</f>
        <v>44350</v>
      </c>
      <c r="O42" s="40">
        <f>IFERROR(__xludf.DUMMYFUNCTION("""COMPUTED_VALUE"""),68300.0)</f>
        <v>68300</v>
      </c>
      <c r="P42" s="37" t="str">
        <f>IFERROR(__xludf.DUMMYFUNCTION("""COMPUTED_VALUE"""),"資訊裝置")</f>
        <v>資訊裝置</v>
      </c>
      <c r="Q42" s="37">
        <f>IFERROR(__xludf.DUMMYFUNCTION("""COMPUTED_VALUE"""),36.0)</f>
        <v>36</v>
      </c>
      <c r="R42" s="37">
        <f>IFERROR(__xludf.DUMMYFUNCTION("""COMPUTED_VALUE"""),36.0)</f>
        <v>36</v>
      </c>
      <c r="S42" s="37" t="str">
        <f>IFERROR(__xludf.DUMMYFUNCTION("""COMPUTED_VALUE"""),"NT$68,300")</f>
        <v>NT$68,300</v>
      </c>
      <c r="T42" s="37" t="str">
        <f>IFERROR(__xludf.DUMMYFUNCTION("""COMPUTED_VALUE"""),"Macmini(2020) M1/16GB")</f>
        <v>Macmini(2020) M1/16GB</v>
      </c>
      <c r="U42" s="37"/>
      <c r="V42" s="37"/>
      <c r="W42" s="37"/>
      <c r="X42" s="40" t="str">
        <f>IFERROR(__xludf.DUMMYFUNCTION("""COMPUTED_VALUE"""),"")</f>
        <v/>
      </c>
      <c r="Y42" s="37"/>
      <c r="Z42" s="37"/>
      <c r="AA42" s="37"/>
      <c r="AB42" s="37"/>
      <c r="AC42" s="37"/>
      <c r="AD42" s="37"/>
      <c r="AE42" s="37"/>
      <c r="AF42" s="37"/>
      <c r="AG42" s="37"/>
      <c r="AH42" s="37"/>
    </row>
    <row r="43">
      <c r="B43" s="37"/>
      <c r="C43" s="37" t="str">
        <f>IFERROR(__xludf.DUMMYFUNCTION("""COMPUTED_VALUE"""),"滿三年更換")</f>
        <v>滿三年更換</v>
      </c>
      <c r="D43" s="37" t="str">
        <f>IFERROR(__xludf.DUMMYFUNCTION("""COMPUTED_VALUE"""),"TW")</f>
        <v>TW</v>
      </c>
      <c r="E43" s="37"/>
      <c r="F43" s="37"/>
      <c r="G43" s="37"/>
      <c r="H43" s="44" t="str">
        <f>IFERROR(__xludf.DUMMYFUNCTION("""COMPUTED_VALUE"""),"研發中心:軟體工程部:QE團隊")</f>
        <v>研發中心:軟體工程部:QE團隊</v>
      </c>
      <c r="I43" s="37" t="str">
        <f>IFERROR(__xludf.DUMMYFUNCTION("""COMPUTED_VALUE"""),"資訊裝置")</f>
        <v>資訊裝置</v>
      </c>
      <c r="J43" s="37" t="str">
        <f>IFERROR(__xludf.DUMMYFUNCTION("""COMPUTED_VALUE"""),"AICHIP02206084")</f>
        <v>AICHIP02206084</v>
      </c>
      <c r="K43" s="37" t="str">
        <f>IFERROR(__xludf.DUMMYFUNCTION("""COMPUTED_VALUE"""),"iPad mini")</f>
        <v>iPad mini</v>
      </c>
      <c r="L43" s="37" t="str">
        <f>IFERROR(__xludf.DUMMYFUNCTION("""COMPUTED_VALUE"""),"G97X37XG65")</f>
        <v>G97X37XG65</v>
      </c>
      <c r="M43" s="37" t="str">
        <f>IFERROR(__xludf.DUMMYFUNCTION("""COMPUTED_VALUE"""),"李冠宇")</f>
        <v>李冠宇</v>
      </c>
      <c r="N43" s="44">
        <f>IFERROR(__xludf.DUMMYFUNCTION("""COMPUTED_VALUE"""),44740.0)</f>
        <v>44740</v>
      </c>
      <c r="O43" s="40">
        <f>IFERROR(__xludf.DUMMYFUNCTION("""COMPUTED_VALUE"""),13410.0)</f>
        <v>13410</v>
      </c>
      <c r="P43" s="37" t="str">
        <f>IFERROR(__xludf.DUMMYFUNCTION("""COMPUTED_VALUE"""),"資訊裝置")</f>
        <v>資訊裝置</v>
      </c>
      <c r="Q43" s="37">
        <f>IFERROR(__xludf.DUMMYFUNCTION("""COMPUTED_VALUE"""),36.0)</f>
        <v>36</v>
      </c>
      <c r="R43" s="37">
        <f>IFERROR(__xludf.DUMMYFUNCTION("""COMPUTED_VALUE"""),36.0)</f>
        <v>36</v>
      </c>
      <c r="S43" s="37" t="str">
        <f>IFERROR(__xludf.DUMMYFUNCTION("""COMPUTED_VALUE"""),"NT$13,410")</f>
        <v>NT$13,410</v>
      </c>
      <c r="T43" s="37" t="str">
        <f>IFERROR(__xludf.DUMMYFUNCTION("""COMPUTED_VALUE"""),"iPad mini(第六代) 64GB WIFI(MK7M3TA/A)")</f>
        <v>iPad mini(第六代) 64GB WIFI(MK7M3TA/A)</v>
      </c>
      <c r="U43" s="37"/>
      <c r="V43" s="37"/>
      <c r="W43" s="37"/>
      <c r="X43" s="40" t="str">
        <f>IFERROR(__xludf.DUMMYFUNCTION("""COMPUTED_VALUE"""),"")</f>
        <v/>
      </c>
      <c r="Y43" s="37"/>
      <c r="Z43" s="37"/>
      <c r="AA43" s="37"/>
      <c r="AB43" s="37"/>
      <c r="AC43" s="37"/>
      <c r="AD43" s="37"/>
      <c r="AE43" s="37"/>
      <c r="AF43" s="37"/>
      <c r="AG43" s="37"/>
      <c r="AH43" s="37"/>
    </row>
    <row r="44">
      <c r="B44" s="37"/>
      <c r="C44" s="37" t="str">
        <f>IFERROR(__xludf.DUMMYFUNCTION("""COMPUTED_VALUE"""),"滿三年更換")</f>
        <v>滿三年更換</v>
      </c>
      <c r="D44" s="37" t="str">
        <f>IFERROR(__xludf.DUMMYFUNCTION("""COMPUTED_VALUE"""),"TW")</f>
        <v>TW</v>
      </c>
      <c r="E44" s="37"/>
      <c r="F44" s="37"/>
      <c r="G44" s="37"/>
      <c r="H44" s="44" t="str">
        <f>IFERROR(__xludf.DUMMYFUNCTION("""COMPUTED_VALUE"""),"研發中心:產品設計部:產品經理團隊")</f>
        <v>研發中心:產品設計部:產品經理團隊</v>
      </c>
      <c r="I44" s="37" t="str">
        <f>IFERROR(__xludf.DUMMYFUNCTION("""COMPUTED_VALUE"""),"資訊裝置")</f>
        <v>資訊裝置</v>
      </c>
      <c r="J44" s="37" t="str">
        <f>IFERROR(__xludf.DUMMYFUNCTION("""COMPUTED_VALUE"""),"AICHMN01811049")</f>
        <v>AICHMN01811049</v>
      </c>
      <c r="K44" s="37" t="str">
        <f>IFERROR(__xludf.DUMMYFUNCTION("""COMPUTED_VALUE"""),"螢幕")</f>
        <v>螢幕</v>
      </c>
      <c r="L44" s="37" t="str">
        <f>IFERROR(__xludf.DUMMYFUNCTION("""COMPUTED_VALUE"""),"CN-07N2FG-TV100-88G-06VU-A08")</f>
        <v>CN-07N2FG-TV100-88G-06VU-A08</v>
      </c>
      <c r="M44" s="37" t="str">
        <f>IFERROR(__xludf.DUMMYFUNCTION("""COMPUTED_VALUE"""),"李珈錡")</f>
        <v>李珈錡</v>
      </c>
      <c r="N44" s="45">
        <f>IFERROR(__xludf.DUMMYFUNCTION("""COMPUTED_VALUE"""),43397.0)</f>
        <v>43397</v>
      </c>
      <c r="O44" s="40">
        <f>IFERROR(__xludf.DUMMYFUNCTION("""COMPUTED_VALUE"""),5512.0)</f>
        <v>5512</v>
      </c>
      <c r="P44" s="37" t="str">
        <f>IFERROR(__xludf.DUMMYFUNCTION("""COMPUTED_VALUE"""),"資訊裝置")</f>
        <v>資訊裝置</v>
      </c>
      <c r="Q44" s="37">
        <f>IFERROR(__xludf.DUMMYFUNCTION("""COMPUTED_VALUE"""),36.0)</f>
        <v>36</v>
      </c>
      <c r="R44" s="37">
        <f>IFERROR(__xludf.DUMMYFUNCTION("""COMPUTED_VALUE"""),36.0)</f>
        <v>36</v>
      </c>
      <c r="S44" s="37" t="str">
        <f>IFERROR(__xludf.DUMMYFUNCTION("""COMPUTED_VALUE"""),"NT$5,512")</f>
        <v>NT$5,512</v>
      </c>
      <c r="T44" s="37" t="str">
        <f>IFERROR(__xludf.DUMMYFUNCTION("""COMPUTED_VALUE"""),"Dell 24吋 U2412Mc")</f>
        <v>Dell 24吋 U2412Mc</v>
      </c>
      <c r="U44" s="37"/>
      <c r="V44" s="37"/>
      <c r="W44" s="37"/>
      <c r="X44" s="40" t="str">
        <f>IFERROR(__xludf.DUMMYFUNCTION("""COMPUTED_VALUE"""),"")</f>
        <v/>
      </c>
      <c r="Y44" s="37"/>
      <c r="Z44" s="37"/>
      <c r="AA44" s="37"/>
      <c r="AB44" s="37"/>
      <c r="AC44" s="37"/>
      <c r="AD44" s="37"/>
      <c r="AE44" s="37"/>
      <c r="AF44" s="37"/>
      <c r="AG44" s="37"/>
      <c r="AH44" s="37"/>
    </row>
    <row r="45">
      <c r="B45" s="37"/>
      <c r="C45" s="37" t="str">
        <f>IFERROR(__xludf.DUMMYFUNCTION("""COMPUTED_VALUE"""),"滿三年更換")</f>
        <v>滿三年更換</v>
      </c>
      <c r="D45" s="37" t="str">
        <f>IFERROR(__xludf.DUMMYFUNCTION("""COMPUTED_VALUE"""),"TW")</f>
        <v>TW</v>
      </c>
      <c r="E45" s="37"/>
      <c r="F45" s="37"/>
      <c r="G45" s="37"/>
      <c r="H45" s="44" t="str">
        <f>IFERROR(__xludf.DUMMYFUNCTION("""COMPUTED_VALUE"""),"行銷營運中心:社群關係部:餐廳社群團隊")</f>
        <v>行銷營運中心:社群關係部:餐廳社群團隊</v>
      </c>
      <c r="I45" s="37" t="str">
        <f>IFERROR(__xludf.DUMMYFUNCTION("""COMPUTED_VALUE"""),"資訊裝置")</f>
        <v>資訊裝置</v>
      </c>
      <c r="J45" s="37" t="str">
        <f>IFERROR(__xludf.DUMMYFUNCTION("""COMPUTED_VALUE"""),"AICHMN01910060")</f>
        <v>AICHMN01910060</v>
      </c>
      <c r="K45" s="37" t="str">
        <f>IFERROR(__xludf.DUMMYFUNCTION("""COMPUTED_VALUE"""),"螢幕")</f>
        <v>螢幕</v>
      </c>
      <c r="L45" s="37" t="str">
        <f>IFERROR(__xludf.DUMMYFUNCTION("""COMPUTED_VALUE"""),"CN-07N2FG-TV100-97A-018B-A10")</f>
        <v>CN-07N2FG-TV100-97A-018B-A10</v>
      </c>
      <c r="M45" s="37" t="str">
        <f>IFERROR(__xludf.DUMMYFUNCTION("""COMPUTED_VALUE"""),"車欣蓓")</f>
        <v>車欣蓓</v>
      </c>
      <c r="N45" s="45">
        <f>IFERROR(__xludf.DUMMYFUNCTION("""COMPUTED_VALUE"""),43769.0)</f>
        <v>43769</v>
      </c>
      <c r="O45" s="37"/>
      <c r="P45" s="37" t="str">
        <f>IFERROR(__xludf.DUMMYFUNCTION("""COMPUTED_VALUE"""),"資訊裝置")</f>
        <v>資訊裝置</v>
      </c>
      <c r="Q45" s="37">
        <f>IFERROR(__xludf.DUMMYFUNCTION("""COMPUTED_VALUE"""),36.0)</f>
        <v>36</v>
      </c>
      <c r="R45" s="37">
        <f>IFERROR(__xludf.DUMMYFUNCTION("""COMPUTED_VALUE"""),36.0)</f>
        <v>36</v>
      </c>
      <c r="S45" s="37" t="str">
        <f>IFERROR(__xludf.DUMMYFUNCTION("""COMPUTED_VALUE"""),"NT$0")</f>
        <v>NT$0</v>
      </c>
      <c r="T45" s="37" t="str">
        <f>IFERROR(__xludf.DUMMYFUNCTION("""COMPUTED_VALUE"""),"Dell 24吋 U2412M")</f>
        <v>Dell 24吋 U2412M</v>
      </c>
      <c r="U45" s="37"/>
      <c r="V45" s="37"/>
      <c r="W45" s="37"/>
      <c r="X45" s="40" t="str">
        <f>IFERROR(__xludf.DUMMYFUNCTION("""COMPUTED_VALUE"""),"")</f>
        <v/>
      </c>
      <c r="Y45" s="37"/>
      <c r="Z45" s="37"/>
      <c r="AA45" s="37"/>
      <c r="AB45" s="37"/>
      <c r="AC45" s="37"/>
      <c r="AD45" s="37"/>
      <c r="AE45" s="37"/>
      <c r="AF45" s="37"/>
      <c r="AG45" s="37"/>
      <c r="AH45" s="37"/>
    </row>
    <row r="46">
      <c r="B46" s="37"/>
      <c r="C46" s="37" t="str">
        <f>IFERROR(__xludf.DUMMYFUNCTION("""COMPUTED_VALUE"""),"滿三年更換")</f>
        <v>滿三年更換</v>
      </c>
      <c r="D46" s="37" t="str">
        <f>IFERROR(__xludf.DUMMYFUNCTION("""COMPUTED_VALUE"""),"TW")</f>
        <v>TW</v>
      </c>
      <c r="E46" s="37"/>
      <c r="F46" s="37"/>
      <c r="G46" s="37"/>
      <c r="H46" s="44" t="str">
        <f>IFERROR(__xludf.DUMMYFUNCTION("""COMPUTED_VALUE"""),"客戶價值中心:客戶成功管理部:PE團隊")</f>
        <v>客戶價值中心:客戶成功管理部:PE團隊</v>
      </c>
      <c r="I46" s="37" t="str">
        <f>IFERROR(__xludf.DUMMYFUNCTION("""COMPUTED_VALUE"""),"資訊裝置")</f>
        <v>資訊裝置</v>
      </c>
      <c r="J46" s="37" t="str">
        <f>IFERROR(__xludf.DUMMYFUNCTION("""COMPUTED_VALUE"""),"AICHIP02105056")</f>
        <v>AICHIP02105056</v>
      </c>
      <c r="K46" s="37" t="str">
        <f>IFERROR(__xludf.DUMMYFUNCTION("""COMPUTED_VALUE"""),"iPad")</f>
        <v>iPad</v>
      </c>
      <c r="L46" s="37" t="str">
        <f>IFERROR(__xludf.DUMMYFUNCTION("""COMPUTED_VALUE"""),"DMPD3H1AMF3P")</f>
        <v>DMPD3H1AMF3P</v>
      </c>
      <c r="M46" s="37" t="str">
        <f>IFERROR(__xludf.DUMMYFUNCTION("""COMPUTED_VALUE"""),"周玟萱")</f>
        <v>周玟萱</v>
      </c>
      <c r="N46" s="44">
        <f>IFERROR(__xludf.DUMMYFUNCTION("""COMPUTED_VALUE"""),44341.0)</f>
        <v>44341</v>
      </c>
      <c r="O46" s="40">
        <f>IFERROR(__xludf.DUMMYFUNCTION("""COMPUTED_VALUE"""),8640.0)</f>
        <v>8640</v>
      </c>
      <c r="P46" s="37" t="str">
        <f>IFERROR(__xludf.DUMMYFUNCTION("""COMPUTED_VALUE"""),"資訊裝置")</f>
        <v>資訊裝置</v>
      </c>
      <c r="Q46" s="37">
        <f>IFERROR(__xludf.DUMMYFUNCTION("""COMPUTED_VALUE"""),36.0)</f>
        <v>36</v>
      </c>
      <c r="R46" s="37">
        <f>IFERROR(__xludf.DUMMYFUNCTION("""COMPUTED_VALUE"""),36.0)</f>
        <v>36</v>
      </c>
      <c r="S46" s="37" t="str">
        <f>IFERROR(__xludf.DUMMYFUNCTION("""COMPUTED_VALUE"""),"NT$8,640")</f>
        <v>NT$8,640</v>
      </c>
      <c r="T46" s="37" t="str">
        <f>IFERROR(__xludf.DUMMYFUNCTION("""COMPUTED_VALUE"""),"iPad (第七代) 32GB WIFI(A2197)")</f>
        <v>iPad (第七代) 32GB WIFI(A2197)</v>
      </c>
      <c r="U46" s="37"/>
      <c r="V46" s="37"/>
      <c r="W46" s="37"/>
      <c r="X46" s="40" t="str">
        <f>IFERROR(__xludf.DUMMYFUNCTION("""COMPUTED_VALUE"""),"")</f>
        <v/>
      </c>
      <c r="Y46" s="37"/>
      <c r="Z46" s="37"/>
      <c r="AA46" s="37"/>
      <c r="AB46" s="37"/>
      <c r="AC46" s="37"/>
      <c r="AD46" s="37"/>
      <c r="AE46" s="37"/>
      <c r="AF46" s="37"/>
      <c r="AG46" s="37"/>
      <c r="AH46" s="37"/>
    </row>
    <row r="47">
      <c r="B47" s="37"/>
      <c r="C47" s="37" t="str">
        <f>IFERROR(__xludf.DUMMYFUNCTION("""COMPUTED_VALUE"""),"滿三年更換")</f>
        <v>滿三年更換</v>
      </c>
      <c r="D47" s="37" t="str">
        <f>IFERROR(__xludf.DUMMYFUNCTION("""COMPUTED_VALUE"""),"TW")</f>
        <v>TW</v>
      </c>
      <c r="E47" s="37"/>
      <c r="F47" s="37"/>
      <c r="G47" s="37"/>
      <c r="H47" s="44" t="str">
        <f>IFERROR(__xludf.DUMMYFUNCTION("""COMPUTED_VALUE"""),"客戶價值中心:客戶成功管理部:PE團隊")</f>
        <v>客戶價值中心:客戶成功管理部:PE團隊</v>
      </c>
      <c r="I47" s="37" t="str">
        <f>IFERROR(__xludf.DUMMYFUNCTION("""COMPUTED_VALUE"""),"資訊裝置")</f>
        <v>資訊裝置</v>
      </c>
      <c r="J47" s="37" t="str">
        <f>IFERROR(__xludf.DUMMYFUNCTION("""COMPUTED_VALUE"""),"AICHMN01604030")</f>
        <v>AICHMN01604030</v>
      </c>
      <c r="K47" s="37" t="str">
        <f>IFERROR(__xludf.DUMMYFUNCTION("""COMPUTED_VALUE"""),"螢幕")</f>
        <v>螢幕</v>
      </c>
      <c r="L47" s="37" t="str">
        <f>IFERROR(__xludf.DUMMYFUNCTION("""COMPUTED_VALUE"""),"CN-03W9XD-74261-477-7URS")</f>
        <v>CN-03W9XD-74261-477-7URS</v>
      </c>
      <c r="M47" s="37" t="str">
        <f>IFERROR(__xludf.DUMMYFUNCTION("""COMPUTED_VALUE"""),"周玟萱")</f>
        <v>周玟萱</v>
      </c>
      <c r="N47" s="44">
        <f>IFERROR(__xludf.DUMMYFUNCTION("""COMPUTED_VALUE"""),42468.0)</f>
        <v>42468</v>
      </c>
      <c r="O47" s="37"/>
      <c r="P47" s="37" t="str">
        <f>IFERROR(__xludf.DUMMYFUNCTION("""COMPUTED_VALUE"""),"資訊裝置")</f>
        <v>資訊裝置</v>
      </c>
      <c r="Q47" s="37">
        <f>IFERROR(__xludf.DUMMYFUNCTION("""COMPUTED_VALUE"""),36.0)</f>
        <v>36</v>
      </c>
      <c r="R47" s="37">
        <f>IFERROR(__xludf.DUMMYFUNCTION("""COMPUTED_VALUE"""),36.0)</f>
        <v>36</v>
      </c>
      <c r="S47" s="37" t="str">
        <f>IFERROR(__xludf.DUMMYFUNCTION("""COMPUTED_VALUE"""),"NT$0")</f>
        <v>NT$0</v>
      </c>
      <c r="T47" s="37" t="str">
        <f>IFERROR(__xludf.DUMMYFUNCTION("""COMPUTED_VALUE"""),"Dell 24吋 U2412Mb")</f>
        <v>Dell 24吋 U2412Mb</v>
      </c>
      <c r="U47" s="37"/>
      <c r="V47" s="37"/>
      <c r="W47" s="37"/>
      <c r="X47" s="40" t="str">
        <f>IFERROR(__xludf.DUMMYFUNCTION("""COMPUTED_VALUE"""),"")</f>
        <v/>
      </c>
      <c r="Y47" s="37"/>
      <c r="Z47" s="37"/>
      <c r="AA47" s="37"/>
      <c r="AB47" s="37"/>
      <c r="AC47" s="37"/>
      <c r="AD47" s="37"/>
      <c r="AE47" s="37"/>
      <c r="AF47" s="37"/>
      <c r="AG47" s="37"/>
      <c r="AH47" s="37"/>
    </row>
    <row r="48">
      <c r="B48" s="37"/>
      <c r="C48" s="37" t="str">
        <f>IFERROR(__xludf.DUMMYFUNCTION("""COMPUTED_VALUE"""),"滿三年更換")</f>
        <v>滿三年更換</v>
      </c>
      <c r="D48" s="37" t="str">
        <f>IFERROR(__xludf.DUMMYFUNCTION("""COMPUTED_VALUE"""),"TW")</f>
        <v>TW</v>
      </c>
      <c r="E48" s="37"/>
      <c r="F48" s="37"/>
      <c r="G48" s="37"/>
      <c r="H48" s="44" t="str">
        <f>IFERROR(__xludf.DUMMYFUNCTION("""COMPUTED_VALUE"""),"客戶價值中心:客戶關係管理部:客服團隊 POS/OMO")</f>
        <v>客戶價值中心:客戶關係管理部:客服團隊 POS/OMO</v>
      </c>
      <c r="I48" s="37" t="str">
        <f>IFERROR(__xludf.DUMMYFUNCTION("""COMPUTED_VALUE"""),"資訊裝置")</f>
        <v>資訊裝置</v>
      </c>
      <c r="J48" s="37" t="str">
        <f>IFERROR(__xludf.DUMMYFUNCTION("""COMPUTED_VALUE"""),"AICHMA02107032")</f>
        <v>AICHMA02107032</v>
      </c>
      <c r="K48" s="37" t="str">
        <f>IFERROR(__xludf.DUMMYFUNCTION("""COMPUTED_VALUE"""),"Macbook Air")</f>
        <v>Macbook Air</v>
      </c>
      <c r="L48" s="37" t="str">
        <f>IFERROR(__xludf.DUMMYFUNCTION("""COMPUTED_VALUE"""),"FVFFV30QQ6LC")</f>
        <v>FVFFV30QQ6LC</v>
      </c>
      <c r="M48" s="37" t="str">
        <f>IFERROR(__xludf.DUMMYFUNCTION("""COMPUTED_VALUE"""),"周思吟")</f>
        <v>周思吟</v>
      </c>
      <c r="N48" s="44">
        <f>IFERROR(__xludf.DUMMYFUNCTION("""COMPUTED_VALUE"""),44397.0)</f>
        <v>44397</v>
      </c>
      <c r="O48" s="40">
        <f>IFERROR(__xludf.DUMMYFUNCTION("""COMPUTED_VALUE"""),27075.0)</f>
        <v>27075</v>
      </c>
      <c r="P48" s="37" t="str">
        <f>IFERROR(__xludf.DUMMYFUNCTION("""COMPUTED_VALUE"""),"資訊裝置")</f>
        <v>資訊裝置</v>
      </c>
      <c r="Q48" s="37">
        <f>IFERROR(__xludf.DUMMYFUNCTION("""COMPUTED_VALUE"""),36.0)</f>
        <v>36</v>
      </c>
      <c r="R48" s="37">
        <f>IFERROR(__xludf.DUMMYFUNCTION("""COMPUTED_VALUE"""),36.0)</f>
        <v>36</v>
      </c>
      <c r="S48" s="37" t="str">
        <f>IFERROR(__xludf.DUMMYFUNCTION("""COMPUTED_VALUE"""),"NT$27,075")</f>
        <v>NT$27,075</v>
      </c>
      <c r="T48" s="37" t="str">
        <f>IFERROR(__xludf.DUMMYFUNCTION("""COMPUTED_VALUE"""),"A2337 MBA13 (2020) M1/8GBRAM/256GBSSD")</f>
        <v>A2337 MBA13 (2020) M1/8GBRAM/256GBSSD</v>
      </c>
      <c r="U48" s="37"/>
      <c r="V48" s="37"/>
      <c r="W48" s="37"/>
      <c r="X48" s="40" t="str">
        <f>IFERROR(__xludf.DUMMYFUNCTION("""COMPUTED_VALUE"""),"")</f>
        <v/>
      </c>
      <c r="Y48" s="37"/>
      <c r="Z48" s="37"/>
      <c r="AA48" s="37"/>
      <c r="AB48" s="37"/>
      <c r="AC48" s="37"/>
      <c r="AD48" s="37"/>
      <c r="AE48" s="37"/>
      <c r="AF48" s="37"/>
      <c r="AG48" s="37"/>
      <c r="AH48" s="37"/>
    </row>
    <row r="49">
      <c r="B49" s="37"/>
      <c r="C49" s="37" t="str">
        <f>IFERROR(__xludf.DUMMYFUNCTION("""COMPUTED_VALUE"""),"滿三年更換")</f>
        <v>滿三年更換</v>
      </c>
      <c r="D49" s="37" t="str">
        <f>IFERROR(__xludf.DUMMYFUNCTION("""COMPUTED_VALUE"""),"TW")</f>
        <v>TW</v>
      </c>
      <c r="E49" s="37"/>
      <c r="F49" s="37"/>
      <c r="G49" s="37"/>
      <c r="H49" s="44" t="str">
        <f>IFERROR(__xludf.DUMMYFUNCTION("""COMPUTED_VALUE"""),"研發中心:軟體工程部:前端團隊")</f>
        <v>研發中心:軟體工程部:前端團隊</v>
      </c>
      <c r="I49" s="37" t="str">
        <f>IFERROR(__xludf.DUMMYFUNCTION("""COMPUTED_VALUE"""),"資訊裝置")</f>
        <v>資訊裝置</v>
      </c>
      <c r="J49" s="37" t="str">
        <f>IFERROR(__xludf.DUMMYFUNCTION("""COMPUTED_VALUE"""),"AICHMP01904002")</f>
        <v>AICHMP01904002</v>
      </c>
      <c r="K49" s="37" t="str">
        <f>IFERROR(__xludf.DUMMYFUNCTION("""COMPUTED_VALUE"""),"Macbook Pro")</f>
        <v>Macbook Pro</v>
      </c>
      <c r="L49" s="37" t="str">
        <f>IFERROR(__xludf.DUMMYFUNCTION("""COMPUTED_VALUE"""),"FVFYF0ELHV2H")</f>
        <v>FVFYF0ELHV2H</v>
      </c>
      <c r="M49" s="37" t="str">
        <f>IFERROR(__xludf.DUMMYFUNCTION("""COMPUTED_VALUE"""),"周昱安")</f>
        <v>周昱安</v>
      </c>
      <c r="N49" s="44">
        <f>IFERROR(__xludf.DUMMYFUNCTION("""COMPUTED_VALUE"""),43585.0)</f>
        <v>43585</v>
      </c>
      <c r="O49" s="40">
        <f>IFERROR(__xludf.DUMMYFUNCTION("""COMPUTED_VALUE"""),54700.0)</f>
        <v>54700</v>
      </c>
      <c r="P49" s="37" t="str">
        <f>IFERROR(__xludf.DUMMYFUNCTION("""COMPUTED_VALUE"""),"資訊裝置")</f>
        <v>資訊裝置</v>
      </c>
      <c r="Q49" s="37">
        <f>IFERROR(__xludf.DUMMYFUNCTION("""COMPUTED_VALUE"""),36.0)</f>
        <v>36</v>
      </c>
      <c r="R49" s="37">
        <f>IFERROR(__xludf.DUMMYFUNCTION("""COMPUTED_VALUE"""),36.0)</f>
        <v>36</v>
      </c>
      <c r="S49" s="37" t="str">
        <f>IFERROR(__xludf.DUMMYFUNCTION("""COMPUTED_VALUE"""),"NT$54,700")</f>
        <v>NT$54,700</v>
      </c>
      <c r="T49" s="37" t="str">
        <f>IFERROR(__xludf.DUMMYFUNCTION("""COMPUTED_VALUE"""),"A1708 MBP14 (2019) i7/16GBRAM/256GBSSD")</f>
        <v>A1708 MBP14 (2019) i7/16GBRAM/256GBSSD</v>
      </c>
      <c r="U49" s="37"/>
      <c r="V49" s="37"/>
      <c r="W49" s="37"/>
      <c r="X49" s="40" t="str">
        <f>IFERROR(__xludf.DUMMYFUNCTION("""COMPUTED_VALUE"""),"")</f>
        <v/>
      </c>
      <c r="Y49" s="37"/>
      <c r="Z49" s="37"/>
      <c r="AA49" s="37"/>
      <c r="AB49" s="37"/>
      <c r="AC49" s="37"/>
      <c r="AD49" s="37"/>
      <c r="AE49" s="37"/>
      <c r="AF49" s="37"/>
      <c r="AG49" s="37"/>
      <c r="AH49" s="37"/>
    </row>
    <row r="50">
      <c r="B50" s="37"/>
      <c r="C50" s="37" t="str">
        <f>IFERROR(__xludf.DUMMYFUNCTION("""COMPUTED_VALUE"""),"滿三年更換")</f>
        <v>滿三年更換</v>
      </c>
      <c r="D50" s="37" t="str">
        <f>IFERROR(__xludf.DUMMYFUNCTION("""COMPUTED_VALUE"""),"TW")</f>
        <v>TW</v>
      </c>
      <c r="E50" s="37"/>
      <c r="F50" s="37"/>
      <c r="G50" s="37"/>
      <c r="H50" s="44" t="str">
        <f>IFERROR(__xludf.DUMMYFUNCTION("""COMPUTED_VALUE"""),"研發中心:軟體工程部:前端團隊")</f>
        <v>研發中心:軟體工程部:前端團隊</v>
      </c>
      <c r="I50" s="37" t="str">
        <f>IFERROR(__xludf.DUMMYFUNCTION("""COMPUTED_VALUE"""),"資訊裝置")</f>
        <v>資訊裝置</v>
      </c>
      <c r="J50" s="37" t="str">
        <f>IFERROR(__xludf.DUMMYFUNCTION("""COMPUTED_VALUE"""),"AICHMP02206047")</f>
        <v>AICHMP02206047</v>
      </c>
      <c r="K50" s="37" t="str">
        <f>IFERROR(__xludf.DUMMYFUNCTION("""COMPUTED_VALUE"""),"Macbook Pro")</f>
        <v>Macbook Pro</v>
      </c>
      <c r="L50" s="37" t="str">
        <f>IFERROR(__xludf.DUMMYFUNCTION("""COMPUTED_VALUE"""),"P6XWKRHY7D")</f>
        <v>P6XWKRHY7D</v>
      </c>
      <c r="M50" s="37" t="str">
        <f>IFERROR(__xludf.DUMMYFUNCTION("""COMPUTED_VALUE"""),"周昱安")</f>
        <v>周昱安</v>
      </c>
      <c r="N50" s="44">
        <f>IFERROR(__xludf.DUMMYFUNCTION("""COMPUTED_VALUE"""),44718.0)</f>
        <v>44718</v>
      </c>
      <c r="O50" s="40">
        <f>IFERROR(__xludf.DUMMYFUNCTION("""COMPUTED_VALUE"""),81450.0)</f>
        <v>81450</v>
      </c>
      <c r="P50" s="37" t="str">
        <f>IFERROR(__xludf.DUMMYFUNCTION("""COMPUTED_VALUE"""),"資訊裝置")</f>
        <v>資訊裝置</v>
      </c>
      <c r="Q50" s="37">
        <f>IFERROR(__xludf.DUMMYFUNCTION("""COMPUTED_VALUE"""),36.0)</f>
        <v>36</v>
      </c>
      <c r="R50" s="37">
        <f>IFERROR(__xludf.DUMMYFUNCTION("""COMPUTED_VALUE"""),36.0)</f>
        <v>36</v>
      </c>
      <c r="S50" s="37" t="str">
        <f>IFERROR(__xludf.DUMMYFUNCTION("""COMPUTED_VALUE"""),"NT$81,450")</f>
        <v>NT$81,450</v>
      </c>
      <c r="T50" s="37" t="str">
        <f>IFERROR(__xludf.DUMMYFUNCTION("""COMPUTED_VALUE"""),"A2442 MBP14 (2021) M1Max/32GBRAM/512GBSSD")</f>
        <v>A2442 MBP14 (2021) M1Max/32GBRAM/512GBSSD</v>
      </c>
      <c r="U50" s="37"/>
      <c r="V50" s="37"/>
      <c r="W50" s="37"/>
      <c r="X50" s="40" t="str">
        <f>IFERROR(__xludf.DUMMYFUNCTION("""COMPUTED_VALUE"""),"")</f>
        <v/>
      </c>
      <c r="Y50" s="37"/>
      <c r="Z50" s="37"/>
      <c r="AA50" s="37"/>
      <c r="AB50" s="37"/>
      <c r="AC50" s="37"/>
      <c r="AD50" s="37"/>
      <c r="AE50" s="37"/>
      <c r="AF50" s="37"/>
      <c r="AG50" s="37"/>
      <c r="AH50" s="37"/>
    </row>
    <row r="51">
      <c r="B51" s="37"/>
      <c r="C51" s="37" t="str">
        <f>IFERROR(__xludf.DUMMYFUNCTION("""COMPUTED_VALUE"""),"滿三年更換")</f>
        <v>滿三年更換</v>
      </c>
      <c r="D51" s="37" t="str">
        <f>IFERROR(__xludf.DUMMYFUNCTION("""COMPUTED_VALUE"""),"TW")</f>
        <v>TW</v>
      </c>
      <c r="E51" s="37"/>
      <c r="F51" s="37"/>
      <c r="G51" s="37"/>
      <c r="H51" s="44" t="str">
        <f>IFERROR(__xludf.DUMMYFUNCTION("""COMPUTED_VALUE"""),"研發中心:軟體工程部:前端團隊")</f>
        <v>研發中心:軟體工程部:前端團隊</v>
      </c>
      <c r="I51" s="37" t="str">
        <f>IFERROR(__xludf.DUMMYFUNCTION("""COMPUTED_VALUE"""),"資訊裝置")</f>
        <v>資訊裝置</v>
      </c>
      <c r="J51" s="37" t="str">
        <f>IFERROR(__xludf.DUMMYFUNCTION("""COMPUTED_VALUE"""),"AICHMN01606035")</f>
        <v>AICHMN01606035</v>
      </c>
      <c r="K51" s="37" t="str">
        <f>IFERROR(__xludf.DUMMYFUNCTION("""COMPUTED_VALUE"""),"螢幕")</f>
        <v>螢幕</v>
      </c>
      <c r="L51" s="37" t="str">
        <f>IFERROR(__xludf.DUMMYFUNCTION("""COMPUTED_VALUE"""),"CN-0MTYGK-64180-64F-077S-A02")</f>
        <v>CN-0MTYGK-64180-64F-077S-A02</v>
      </c>
      <c r="M51" s="37" t="str">
        <f>IFERROR(__xludf.DUMMYFUNCTION("""COMPUTED_VALUE"""),"周昱安")</f>
        <v>周昱安</v>
      </c>
      <c r="N51" s="44">
        <f>IFERROR(__xludf.DUMMYFUNCTION("""COMPUTED_VALUE"""),42527.0)</f>
        <v>42527</v>
      </c>
      <c r="O51" s="40">
        <f>IFERROR(__xludf.DUMMYFUNCTION("""COMPUTED_VALUE"""),8400.0)</f>
        <v>8400</v>
      </c>
      <c r="P51" s="37" t="str">
        <f>IFERROR(__xludf.DUMMYFUNCTION("""COMPUTED_VALUE"""),"資訊裝置")</f>
        <v>資訊裝置</v>
      </c>
      <c r="Q51" s="37">
        <f>IFERROR(__xludf.DUMMYFUNCTION("""COMPUTED_VALUE"""),36.0)</f>
        <v>36</v>
      </c>
      <c r="R51" s="37">
        <f>IFERROR(__xludf.DUMMYFUNCTION("""COMPUTED_VALUE"""),36.0)</f>
        <v>36</v>
      </c>
      <c r="S51" s="37" t="str">
        <f>IFERROR(__xludf.DUMMYFUNCTION("""COMPUTED_VALUE"""),"NT$8,400")</f>
        <v>NT$8,400</v>
      </c>
      <c r="T51" s="37" t="str">
        <f>IFERROR(__xludf.DUMMYFUNCTION("""COMPUTED_VALUE"""),"Dell 24吋 U2412Mc")</f>
        <v>Dell 24吋 U2412Mc</v>
      </c>
      <c r="U51" s="37"/>
      <c r="V51" s="37"/>
      <c r="W51" s="37"/>
      <c r="X51" s="40" t="str">
        <f>IFERROR(__xludf.DUMMYFUNCTION("""COMPUTED_VALUE"""),"")</f>
        <v/>
      </c>
      <c r="Y51" s="37"/>
      <c r="Z51" s="37"/>
      <c r="AA51" s="37"/>
      <c r="AB51" s="37"/>
      <c r="AC51" s="37"/>
      <c r="AD51" s="37"/>
      <c r="AE51" s="37"/>
      <c r="AF51" s="37"/>
      <c r="AG51" s="37"/>
      <c r="AH51" s="37"/>
    </row>
    <row r="52">
      <c r="B52" s="37"/>
      <c r="C52" s="37" t="str">
        <f>IFERROR(__xludf.DUMMYFUNCTION("""COMPUTED_VALUE"""),"滿三年更換")</f>
        <v>滿三年更換</v>
      </c>
      <c r="D52" s="37" t="str">
        <f>IFERROR(__xludf.DUMMYFUNCTION("""COMPUTED_VALUE"""),"TW")</f>
        <v>TW</v>
      </c>
      <c r="E52" s="37"/>
      <c r="F52" s="37"/>
      <c r="G52" s="37"/>
      <c r="H52" s="44" t="str">
        <f>IFERROR(__xludf.DUMMYFUNCTION("""COMPUTED_VALUE"""),"研發中心:軟體工程部:前端團隊")</f>
        <v>研發中心:軟體工程部:前端團隊</v>
      </c>
      <c r="I52" s="37" t="str">
        <f>IFERROR(__xludf.DUMMYFUNCTION("""COMPUTED_VALUE"""),"資訊裝置")</f>
        <v>資訊裝置</v>
      </c>
      <c r="J52" s="37" t="str">
        <f>IFERROR(__xludf.DUMMYFUNCTION("""COMPUTED_VALUE"""),"AICHMN02206112")</f>
        <v>AICHMN02206112</v>
      </c>
      <c r="K52" s="37" t="str">
        <f>IFERROR(__xludf.DUMMYFUNCTION("""COMPUTED_VALUE"""),"LG螢幕")</f>
        <v>LG螢幕</v>
      </c>
      <c r="L52" s="37" t="str">
        <f>IFERROR(__xludf.DUMMYFUNCTION("""COMPUTED_VALUE"""),"204NTMXAS579")</f>
        <v>204NTMXAS579</v>
      </c>
      <c r="M52" s="37" t="str">
        <f>IFERROR(__xludf.DUMMYFUNCTION("""COMPUTED_VALUE"""),"周昱安")</f>
        <v>周昱安</v>
      </c>
      <c r="N52" s="44">
        <f>IFERROR(__xludf.DUMMYFUNCTION("""COMPUTED_VALUE"""),44733.0)</f>
        <v>44733</v>
      </c>
      <c r="O52" s="37"/>
      <c r="P52" s="37" t="str">
        <f>IFERROR(__xludf.DUMMYFUNCTION("""COMPUTED_VALUE"""),"資訊裝置")</f>
        <v>資訊裝置</v>
      </c>
      <c r="Q52" s="37">
        <f>IFERROR(__xludf.DUMMYFUNCTION("""COMPUTED_VALUE"""),36.0)</f>
        <v>36</v>
      </c>
      <c r="R52" s="37">
        <f>IFERROR(__xludf.DUMMYFUNCTION("""COMPUTED_VALUE"""),36.0)</f>
        <v>36</v>
      </c>
      <c r="S52" s="37" t="str">
        <f>IFERROR(__xludf.DUMMYFUNCTION("""COMPUTED_VALUE"""),"NT$0")</f>
        <v>NT$0</v>
      </c>
      <c r="T52" s="37" t="str">
        <f>IFERROR(__xludf.DUMMYFUNCTION("""COMPUTED_VALUE"""),"LG  27吋 27UL850")</f>
        <v>LG  27吋 27UL850</v>
      </c>
      <c r="U52" s="37"/>
      <c r="V52" s="37"/>
      <c r="W52" s="37"/>
      <c r="X52" s="40" t="str">
        <f>IFERROR(__xludf.DUMMYFUNCTION("""COMPUTED_VALUE"""),"")</f>
        <v/>
      </c>
      <c r="Y52" s="37"/>
      <c r="Z52" s="37"/>
      <c r="AA52" s="37"/>
      <c r="AB52" s="37"/>
      <c r="AC52" s="37"/>
      <c r="AD52" s="37"/>
      <c r="AE52" s="37"/>
      <c r="AF52" s="37"/>
      <c r="AG52" s="37"/>
      <c r="AH52" s="37"/>
    </row>
    <row r="53">
      <c r="B53" s="37"/>
      <c r="C53" s="37" t="str">
        <f>IFERROR(__xludf.DUMMYFUNCTION("""COMPUTED_VALUE"""),"滿三年更換")</f>
        <v>滿三年更換</v>
      </c>
      <c r="D53" s="37" t="str">
        <f>IFERROR(__xludf.DUMMYFUNCTION("""COMPUTED_VALUE"""),"TW")</f>
        <v>TW</v>
      </c>
      <c r="E53" s="37"/>
      <c r="F53" s="37"/>
      <c r="G53" s="37"/>
      <c r="H53" s="44" t="str">
        <f>IFERROR(__xludf.DUMMYFUNCTION("""COMPUTED_VALUE"""),"行銷營運中心:銷售營運部:客戶導入團隊")</f>
        <v>行銷營運中心:銷售營運部:客戶導入團隊</v>
      </c>
      <c r="I53" s="37" t="str">
        <f>IFERROR(__xludf.DUMMYFUNCTION("""COMPUTED_VALUE"""),"資訊裝置")</f>
        <v>資訊裝置</v>
      </c>
      <c r="J53" s="37" t="str">
        <f>IFERROR(__xludf.DUMMYFUNCTION("""COMPUTED_VALUE"""),"AICHMA02103013")</f>
        <v>AICHMA02103013</v>
      </c>
      <c r="K53" s="37" t="str">
        <f>IFERROR(__xludf.DUMMYFUNCTION("""COMPUTED_VALUE"""),"Macbook Air")</f>
        <v>Macbook Air</v>
      </c>
      <c r="L53" s="37" t="str">
        <f>IFERROR(__xludf.DUMMYFUNCTION("""COMPUTED_VALUE"""),"FVFF86DVQ6L4")</f>
        <v>FVFF86DVQ6L4</v>
      </c>
      <c r="M53" s="37" t="str">
        <f>IFERROR(__xludf.DUMMYFUNCTION("""COMPUTED_VALUE"""),"周耿慧")</f>
        <v>周耿慧</v>
      </c>
      <c r="N53" s="44">
        <f>IFERROR(__xludf.DUMMYFUNCTION("""COMPUTED_VALUE"""),44258.0)</f>
        <v>44258</v>
      </c>
      <c r="O53" s="40">
        <f>IFERROR(__xludf.DUMMYFUNCTION("""COMPUTED_VALUE"""),27075.0)</f>
        <v>27075</v>
      </c>
      <c r="P53" s="37" t="str">
        <f>IFERROR(__xludf.DUMMYFUNCTION("""COMPUTED_VALUE"""),"資訊裝置")</f>
        <v>資訊裝置</v>
      </c>
      <c r="Q53" s="37">
        <f>IFERROR(__xludf.DUMMYFUNCTION("""COMPUTED_VALUE"""),36.0)</f>
        <v>36</v>
      </c>
      <c r="R53" s="37">
        <f>IFERROR(__xludf.DUMMYFUNCTION("""COMPUTED_VALUE"""),36.0)</f>
        <v>36</v>
      </c>
      <c r="S53" s="37" t="str">
        <f>IFERROR(__xludf.DUMMYFUNCTION("""COMPUTED_VALUE"""),"NT$27,075")</f>
        <v>NT$27,075</v>
      </c>
      <c r="T53" s="37" t="str">
        <f>IFERROR(__xludf.DUMMYFUNCTION("""COMPUTED_VALUE"""),"A2337 MBA13 (2020) M1/8GBRAM/256GBSSD")</f>
        <v>A2337 MBA13 (2020) M1/8GBRAM/256GBSSD</v>
      </c>
      <c r="U53" s="37"/>
      <c r="V53" s="37"/>
      <c r="W53" s="37"/>
      <c r="X53" s="40" t="str">
        <f>IFERROR(__xludf.DUMMYFUNCTION("""COMPUTED_VALUE"""),"")</f>
        <v/>
      </c>
      <c r="Y53" s="37"/>
      <c r="Z53" s="37"/>
      <c r="AA53" s="37"/>
      <c r="AB53" s="37"/>
      <c r="AC53" s="37"/>
      <c r="AD53" s="37"/>
      <c r="AE53" s="37"/>
      <c r="AF53" s="37"/>
      <c r="AG53" s="37"/>
      <c r="AH53" s="37"/>
    </row>
    <row r="54">
      <c r="B54" s="37"/>
      <c r="C54" s="37" t="str">
        <f>IFERROR(__xludf.DUMMYFUNCTION("""COMPUTED_VALUE"""),"滿三年更換")</f>
        <v>滿三年更換</v>
      </c>
      <c r="D54" s="37" t="str">
        <f>IFERROR(__xludf.DUMMYFUNCTION("""COMPUTED_VALUE"""),"TW")</f>
        <v>TW</v>
      </c>
      <c r="E54" s="37"/>
      <c r="F54" s="37"/>
      <c r="G54" s="37"/>
      <c r="H54" s="44" t="str">
        <f>IFERROR(__xludf.DUMMYFUNCTION("""COMPUTED_VALUE"""),"行銷營運中心:銷售營運部:客戶導入團隊")</f>
        <v>行銷營運中心:銷售營運部:客戶導入團隊</v>
      </c>
      <c r="I54" s="37" t="str">
        <f>IFERROR(__xludf.DUMMYFUNCTION("""COMPUTED_VALUE"""),"資訊裝置")</f>
        <v>資訊裝置</v>
      </c>
      <c r="J54" s="37" t="str">
        <f>IFERROR(__xludf.DUMMYFUNCTION("""COMPUTED_VALUE"""),"AICHIP02111081")</f>
        <v>AICHIP02111081</v>
      </c>
      <c r="K54" s="37" t="str">
        <f>IFERROR(__xludf.DUMMYFUNCTION("""COMPUTED_VALUE"""),"iPad")</f>
        <v>iPad</v>
      </c>
      <c r="L54" s="37" t="str">
        <f>IFERROR(__xludf.DUMMYFUNCTION("""COMPUTED_VALUE"""),"Q9TQG6JXRX")</f>
        <v>Q9TQG6JXRX</v>
      </c>
      <c r="M54" s="37" t="str">
        <f>IFERROR(__xludf.DUMMYFUNCTION("""COMPUTED_VALUE"""),"周耿慧")</f>
        <v>周耿慧</v>
      </c>
      <c r="N54" s="44">
        <f>IFERROR(__xludf.DUMMYFUNCTION("""COMPUTED_VALUE"""),44529.0)</f>
        <v>44529</v>
      </c>
      <c r="O54" s="40">
        <f>IFERROR(__xludf.DUMMYFUNCTION("""COMPUTED_VALUE"""),9450.0)</f>
        <v>9450</v>
      </c>
      <c r="P54" s="37" t="str">
        <f>IFERROR(__xludf.DUMMYFUNCTION("""COMPUTED_VALUE"""),"資訊裝置")</f>
        <v>資訊裝置</v>
      </c>
      <c r="Q54" s="37">
        <f>IFERROR(__xludf.DUMMYFUNCTION("""COMPUTED_VALUE"""),36.0)</f>
        <v>36</v>
      </c>
      <c r="R54" s="37">
        <f>IFERROR(__xludf.DUMMYFUNCTION("""COMPUTED_VALUE"""),36.0)</f>
        <v>36</v>
      </c>
      <c r="S54" s="37" t="str">
        <f>IFERROR(__xludf.DUMMYFUNCTION("""COMPUTED_VALUE"""),"NT$9,450")</f>
        <v>NT$9,450</v>
      </c>
      <c r="T54" s="37" t="str">
        <f>IFERROR(__xludf.DUMMYFUNCTION("""COMPUTED_VALUE"""),"IPad (第九代) 32GB WIFI(A2602)")</f>
        <v>IPad (第九代) 32GB WIFI(A2602)</v>
      </c>
      <c r="U54" s="37"/>
      <c r="V54" s="37"/>
      <c r="W54" s="37"/>
      <c r="X54" s="40" t="str">
        <f>IFERROR(__xludf.DUMMYFUNCTION("""COMPUTED_VALUE"""),"")</f>
        <v/>
      </c>
      <c r="Y54" s="37"/>
      <c r="Z54" s="37"/>
      <c r="AA54" s="37"/>
      <c r="AB54" s="37"/>
      <c r="AC54" s="37"/>
      <c r="AD54" s="37"/>
      <c r="AE54" s="37"/>
      <c r="AF54" s="37"/>
      <c r="AG54" s="37"/>
      <c r="AH54" s="37"/>
    </row>
    <row r="55">
      <c r="B55" s="37"/>
      <c r="C55" s="37" t="str">
        <f>IFERROR(__xludf.DUMMYFUNCTION("""COMPUTED_VALUE"""),"滿三年更換")</f>
        <v>滿三年更換</v>
      </c>
      <c r="D55" s="37" t="str">
        <f>IFERROR(__xludf.DUMMYFUNCTION("""COMPUTED_VALUE"""),"TW")</f>
        <v>TW</v>
      </c>
      <c r="E55" s="37"/>
      <c r="F55" s="37"/>
      <c r="G55" s="37"/>
      <c r="H55" s="44" t="str">
        <f>IFERROR(__xludf.DUMMYFUNCTION("""COMPUTED_VALUE"""),"行銷營運中心:社群關係部:餐廳社群團隊")</f>
        <v>行銷營運中心:社群關係部:餐廳社群團隊</v>
      </c>
      <c r="I55" s="37" t="str">
        <f>IFERROR(__xludf.DUMMYFUNCTION("""COMPUTED_VALUE"""),"資訊裝置")</f>
        <v>資訊裝置</v>
      </c>
      <c r="J55" s="37" t="str">
        <f>IFERROR(__xludf.DUMMYFUNCTION("""COMPUTED_VALUE"""),"AICHIP02010040")</f>
        <v>AICHIP02010040</v>
      </c>
      <c r="K55" s="37" t="str">
        <f>IFERROR(__xludf.DUMMYFUNCTION("""COMPUTED_VALUE"""),"iPad")</f>
        <v>iPad</v>
      </c>
      <c r="L55" s="37" t="str">
        <f>IFERROR(__xludf.DUMMYFUNCTION("""COMPUTED_VALUE"""),"DMQD83LFMF3M")</f>
        <v>DMQD83LFMF3M</v>
      </c>
      <c r="M55" s="37" t="str">
        <f>IFERROR(__xludf.DUMMYFUNCTION("""COMPUTED_VALUE"""),"季優")</f>
        <v>季優</v>
      </c>
      <c r="N55" s="45">
        <f>IFERROR(__xludf.DUMMYFUNCTION("""COMPUTED_VALUE"""),44135.0)</f>
        <v>44135</v>
      </c>
      <c r="O55" s="40">
        <f>IFERROR(__xludf.DUMMYFUNCTION("""COMPUTED_VALUE"""),8902.0)</f>
        <v>8902</v>
      </c>
      <c r="P55" s="37" t="str">
        <f>IFERROR(__xludf.DUMMYFUNCTION("""COMPUTED_VALUE"""),"資訊裝置")</f>
        <v>資訊裝置</v>
      </c>
      <c r="Q55" s="37">
        <f>IFERROR(__xludf.DUMMYFUNCTION("""COMPUTED_VALUE"""),36.0)</f>
        <v>36</v>
      </c>
      <c r="R55" s="37">
        <f>IFERROR(__xludf.DUMMYFUNCTION("""COMPUTED_VALUE"""),36.0)</f>
        <v>36</v>
      </c>
      <c r="S55" s="37" t="str">
        <f>IFERROR(__xludf.DUMMYFUNCTION("""COMPUTED_VALUE"""),"NT$8,902")</f>
        <v>NT$8,902</v>
      </c>
      <c r="T55" s="37" t="str">
        <f>IFERROR(__xludf.DUMMYFUNCTION("""COMPUTED_VALUE"""),"iPad (第七代) 32GB WIFI (MW742TA/A)")</f>
        <v>iPad (第七代) 32GB WIFI (MW742TA/A)</v>
      </c>
      <c r="U55" s="37"/>
      <c r="V55" s="37"/>
      <c r="W55" s="37"/>
      <c r="X55" s="40" t="str">
        <f>IFERROR(__xludf.DUMMYFUNCTION("""COMPUTED_VALUE"""),"")</f>
        <v/>
      </c>
      <c r="Y55" s="37"/>
      <c r="Z55" s="37"/>
      <c r="AA55" s="37"/>
      <c r="AB55" s="37"/>
      <c r="AC55" s="37"/>
      <c r="AD55" s="37"/>
      <c r="AE55" s="37"/>
      <c r="AF55" s="37"/>
      <c r="AG55" s="37"/>
      <c r="AH55" s="37"/>
    </row>
    <row r="56">
      <c r="B56" s="37"/>
      <c r="C56" s="37" t="str">
        <f>IFERROR(__xludf.DUMMYFUNCTION("""COMPUTED_VALUE"""),"滿三年更換")</f>
        <v>滿三年更換</v>
      </c>
      <c r="D56" s="37" t="str">
        <f>IFERROR(__xludf.DUMMYFUNCTION("""COMPUTED_VALUE"""),"TW")</f>
        <v>TW</v>
      </c>
      <c r="E56" s="37"/>
      <c r="F56" s="37"/>
      <c r="G56" s="37"/>
      <c r="H56" s="44" t="str">
        <f>IFERROR(__xludf.DUMMYFUNCTION("""COMPUTED_VALUE"""),"行銷營運中心:社群關係部:餐廳社群團隊")</f>
        <v>行銷營運中心:社群關係部:餐廳社群團隊</v>
      </c>
      <c r="I56" s="37" t="str">
        <f>IFERROR(__xludf.DUMMYFUNCTION("""COMPUTED_VALUE"""),"資訊裝置")</f>
        <v>資訊裝置</v>
      </c>
      <c r="J56" s="37" t="str">
        <f>IFERROR(__xludf.DUMMYFUNCTION("""COMPUTED_VALUE"""),"AICHMN01811054")</f>
        <v>AICHMN01811054</v>
      </c>
      <c r="K56" s="37" t="str">
        <f>IFERROR(__xludf.DUMMYFUNCTION("""COMPUTED_VALUE"""),"螢幕")</f>
        <v>螢幕</v>
      </c>
      <c r="L56" s="37" t="str">
        <f>IFERROR(__xludf.DUMMYFUNCTION("""COMPUTED_VALUE"""),"CN-043D22-TV100-88K-0SMB-A04")</f>
        <v>CN-043D22-TV100-88K-0SMB-A04</v>
      </c>
      <c r="M56" s="37" t="str">
        <f>IFERROR(__xludf.DUMMYFUNCTION("""COMPUTED_VALUE"""),"季優")</f>
        <v>季優</v>
      </c>
      <c r="N56" s="45">
        <f>IFERROR(__xludf.DUMMYFUNCTION("""COMPUTED_VALUE"""),43398.0)</f>
        <v>43398</v>
      </c>
      <c r="O56" s="40">
        <f>IFERROR(__xludf.DUMMYFUNCTION("""COMPUTED_VALUE"""),3608.0)</f>
        <v>3608</v>
      </c>
      <c r="P56" s="37" t="str">
        <f>IFERROR(__xludf.DUMMYFUNCTION("""COMPUTED_VALUE"""),"資訊裝置")</f>
        <v>資訊裝置</v>
      </c>
      <c r="Q56" s="37">
        <f>IFERROR(__xludf.DUMMYFUNCTION("""COMPUTED_VALUE"""),36.0)</f>
        <v>36</v>
      </c>
      <c r="R56" s="37">
        <f>IFERROR(__xludf.DUMMYFUNCTION("""COMPUTED_VALUE"""),36.0)</f>
        <v>36</v>
      </c>
      <c r="S56" s="37" t="str">
        <f>IFERROR(__xludf.DUMMYFUNCTION("""COMPUTED_VALUE"""),"NT$3,608")</f>
        <v>NT$3,608</v>
      </c>
      <c r="T56" s="37" t="str">
        <f>IFERROR(__xludf.DUMMYFUNCTION("""COMPUTED_VALUE"""),"Dell 24吋 SE2416H")</f>
        <v>Dell 24吋 SE2416H</v>
      </c>
      <c r="U56" s="37"/>
      <c r="V56" s="37"/>
      <c r="W56" s="37"/>
      <c r="X56" s="40" t="str">
        <f>IFERROR(__xludf.DUMMYFUNCTION("""COMPUTED_VALUE"""),"")</f>
        <v/>
      </c>
      <c r="Y56" s="37"/>
      <c r="Z56" s="37"/>
      <c r="AA56" s="37"/>
      <c r="AB56" s="37"/>
      <c r="AC56" s="37"/>
      <c r="AD56" s="37"/>
      <c r="AE56" s="37"/>
      <c r="AF56" s="37"/>
      <c r="AG56" s="37"/>
      <c r="AH56" s="37"/>
    </row>
    <row r="57">
      <c r="B57" s="37"/>
      <c r="C57" s="37" t="str">
        <f>IFERROR(__xludf.DUMMYFUNCTION("""COMPUTED_VALUE"""),"滿三年更換")</f>
        <v>滿三年更換</v>
      </c>
      <c r="D57" s="37" t="str">
        <f>IFERROR(__xludf.DUMMYFUNCTION("""COMPUTED_VALUE"""),"TW")</f>
        <v>TW</v>
      </c>
      <c r="E57" s="37"/>
      <c r="F57" s="37"/>
      <c r="G57" s="37"/>
      <c r="H57" s="44" t="str">
        <f>IFERROR(__xludf.DUMMYFUNCTION("""COMPUTED_VALUE"""),"管理中心:人資部:人資團隊")</f>
        <v>管理中心:人資部:人資團隊</v>
      </c>
      <c r="I57" s="37" t="str">
        <f>IFERROR(__xludf.DUMMYFUNCTION("""COMPUTED_VALUE"""),"資訊裝置")</f>
        <v>資訊裝置</v>
      </c>
      <c r="J57" s="37" t="str">
        <f>IFERROR(__xludf.DUMMYFUNCTION("""COMPUTED_VALUE"""),"AICHMA02201047")</f>
        <v>AICHMA02201047</v>
      </c>
      <c r="K57" s="37" t="str">
        <f>IFERROR(__xludf.DUMMYFUNCTION("""COMPUTED_VALUE"""),"Macbook Air")</f>
        <v>Macbook Air</v>
      </c>
      <c r="L57" s="37" t="str">
        <f>IFERROR(__xludf.DUMMYFUNCTION("""COMPUTED_VALUE"""),"FVFGX0JRQ6M1")</f>
        <v>FVFGX0JRQ6M1</v>
      </c>
      <c r="M57" s="37" t="str">
        <f>IFERROR(__xludf.DUMMYFUNCTION("""COMPUTED_VALUE"""),"林于庭")</f>
        <v>林于庭</v>
      </c>
      <c r="N57" s="44">
        <f>IFERROR(__xludf.DUMMYFUNCTION("""COMPUTED_VALUE"""),44566.0)</f>
        <v>44566</v>
      </c>
      <c r="O57" s="40">
        <f>IFERROR(__xludf.DUMMYFUNCTION("""COMPUTED_VALUE"""),39400.0)</f>
        <v>39400</v>
      </c>
      <c r="P57" s="37" t="str">
        <f>IFERROR(__xludf.DUMMYFUNCTION("""COMPUTED_VALUE"""),"資訊裝置")</f>
        <v>資訊裝置</v>
      </c>
      <c r="Q57" s="37">
        <f>IFERROR(__xludf.DUMMYFUNCTION("""COMPUTED_VALUE"""),36.0)</f>
        <v>36</v>
      </c>
      <c r="R57" s="37">
        <f>IFERROR(__xludf.DUMMYFUNCTION("""COMPUTED_VALUE"""),36.0)</f>
        <v>36</v>
      </c>
      <c r="S57" s="37" t="str">
        <f>IFERROR(__xludf.DUMMYFUNCTION("""COMPUTED_VALUE"""),"NT$39,400")</f>
        <v>NT$39,400</v>
      </c>
      <c r="T57" s="37" t="str">
        <f>IFERROR(__xludf.DUMMYFUNCTION("""COMPUTED_VALUE"""),"MBA13 (2020) M1/16GBRAM/256GBSSD")</f>
        <v>MBA13 (2020) M1/16GBRAM/256GBSSD</v>
      </c>
      <c r="U57" s="37"/>
      <c r="V57" s="37"/>
      <c r="W57" s="37"/>
      <c r="X57" s="40" t="str">
        <f>IFERROR(__xludf.DUMMYFUNCTION("""COMPUTED_VALUE"""),"")</f>
        <v/>
      </c>
      <c r="Y57" s="37"/>
      <c r="Z57" s="37"/>
      <c r="AA57" s="37"/>
      <c r="AB57" s="37"/>
      <c r="AC57" s="37"/>
      <c r="AD57" s="37"/>
      <c r="AE57" s="37"/>
      <c r="AF57" s="37"/>
      <c r="AG57" s="37"/>
      <c r="AH57" s="37"/>
    </row>
    <row r="58">
      <c r="B58" s="37"/>
      <c r="C58" s="37" t="str">
        <f>IFERROR(__xludf.DUMMYFUNCTION("""COMPUTED_VALUE"""),"滿三年更換")</f>
        <v>滿三年更換</v>
      </c>
      <c r="D58" s="37" t="str">
        <f>IFERROR(__xludf.DUMMYFUNCTION("""COMPUTED_VALUE"""),"TW")</f>
        <v>TW</v>
      </c>
      <c r="E58" s="37"/>
      <c r="F58" s="37"/>
      <c r="G58" s="37"/>
      <c r="H58" s="44" t="str">
        <f>IFERROR(__xludf.DUMMYFUNCTION("""COMPUTED_VALUE"""),"管理中心:人資部:人資團隊")</f>
        <v>管理中心:人資部:人資團隊</v>
      </c>
      <c r="I58" s="37" t="str">
        <f>IFERROR(__xludf.DUMMYFUNCTION("""COMPUTED_VALUE"""),"資訊裝置")</f>
        <v>資訊裝置</v>
      </c>
      <c r="J58" s="37" t="str">
        <f>IFERROR(__xludf.DUMMYFUNCTION("""COMPUTED_VALUE"""),"AICHMN01604013")</f>
        <v>AICHMN01604013</v>
      </c>
      <c r="K58" s="37" t="str">
        <f>IFERROR(__xludf.DUMMYFUNCTION("""COMPUTED_VALUE"""),"螢幕")</f>
        <v>螢幕</v>
      </c>
      <c r="L58" s="37" t="str">
        <f>IFERROR(__xludf.DUMMYFUNCTION("""COMPUTED_VALUE"""),"CN-03W9XD-74261-472-27CL")</f>
        <v>CN-03W9XD-74261-472-27CL</v>
      </c>
      <c r="M58" s="37" t="str">
        <f>IFERROR(__xludf.DUMMYFUNCTION("""COMPUTED_VALUE"""),"林于庭")</f>
        <v>林于庭</v>
      </c>
      <c r="N58" s="44">
        <f>IFERROR(__xludf.DUMMYFUNCTION("""COMPUTED_VALUE"""),42468.0)</f>
        <v>42468</v>
      </c>
      <c r="O58" s="37"/>
      <c r="P58" s="37" t="str">
        <f>IFERROR(__xludf.DUMMYFUNCTION("""COMPUTED_VALUE"""),"資訊裝置")</f>
        <v>資訊裝置</v>
      </c>
      <c r="Q58" s="37">
        <f>IFERROR(__xludf.DUMMYFUNCTION("""COMPUTED_VALUE"""),36.0)</f>
        <v>36</v>
      </c>
      <c r="R58" s="37">
        <f>IFERROR(__xludf.DUMMYFUNCTION("""COMPUTED_VALUE"""),36.0)</f>
        <v>36</v>
      </c>
      <c r="S58" s="37" t="str">
        <f>IFERROR(__xludf.DUMMYFUNCTION("""COMPUTED_VALUE"""),"NT$0")</f>
        <v>NT$0</v>
      </c>
      <c r="T58" s="37" t="str">
        <f>IFERROR(__xludf.DUMMYFUNCTION("""COMPUTED_VALUE"""),"Dell 24吋 U2412Mb")</f>
        <v>Dell 24吋 U2412Mb</v>
      </c>
      <c r="U58" s="37"/>
      <c r="V58" s="37"/>
      <c r="W58" s="37"/>
      <c r="X58" s="40" t="str">
        <f>IFERROR(__xludf.DUMMYFUNCTION("""COMPUTED_VALUE"""),"")</f>
        <v/>
      </c>
      <c r="Y58" s="37"/>
      <c r="Z58" s="37"/>
      <c r="AA58" s="37"/>
      <c r="AB58" s="37"/>
      <c r="AC58" s="37"/>
      <c r="AD58" s="37"/>
      <c r="AE58" s="37"/>
      <c r="AF58" s="37"/>
      <c r="AG58" s="37"/>
      <c r="AH58" s="37"/>
    </row>
    <row r="59">
      <c r="B59" s="37"/>
      <c r="C59" s="37" t="str">
        <f>IFERROR(__xludf.DUMMYFUNCTION("""COMPUTED_VALUE"""),"滿三年更換")</f>
        <v>滿三年更換</v>
      </c>
      <c r="D59" s="37" t="str">
        <f>IFERROR(__xludf.DUMMYFUNCTION("""COMPUTED_VALUE"""),"TW")</f>
        <v>TW</v>
      </c>
      <c r="E59" s="37"/>
      <c r="F59" s="37"/>
      <c r="G59" s="37"/>
      <c r="H59" s="44" t="str">
        <f>IFERROR(__xludf.DUMMYFUNCTION("""COMPUTED_VALUE"""),"客戶價值中心:客戶關係管理部:客服團隊 POS/OMO")</f>
        <v>客戶價值中心:客戶關係管理部:客服團隊 POS/OMO</v>
      </c>
      <c r="I59" s="37" t="str">
        <f>IFERROR(__xludf.DUMMYFUNCTION("""COMPUTED_VALUE"""),"資訊裝置")</f>
        <v>資訊裝置</v>
      </c>
      <c r="J59" s="37" t="str">
        <f>IFERROR(__xludf.DUMMYFUNCTION("""COMPUTED_VALUE"""),"AICHMP02011020")</f>
        <v>AICHMP02011020</v>
      </c>
      <c r="K59" s="37" t="str">
        <f>IFERROR(__xludf.DUMMYFUNCTION("""COMPUTED_VALUE"""),"Macbook Pro")</f>
        <v>Macbook Pro</v>
      </c>
      <c r="L59" s="37" t="str">
        <f>IFERROR(__xludf.DUMMYFUNCTION("""COMPUTED_VALUE"""),"C02DN4U9ML85")</f>
        <v>C02DN4U9ML85</v>
      </c>
      <c r="M59" s="37" t="str">
        <f>IFERROR(__xludf.DUMMYFUNCTION("""COMPUTED_VALUE"""),"林怡儒")</f>
        <v>林怡儒</v>
      </c>
      <c r="N59" s="44">
        <f>IFERROR(__xludf.DUMMYFUNCTION("""COMPUTED_VALUE"""),44117.0)</f>
        <v>44117</v>
      </c>
      <c r="O59" s="40">
        <f>IFERROR(__xludf.DUMMYFUNCTION("""COMPUTED_VALUE"""),8901.0)</f>
        <v>8901</v>
      </c>
      <c r="P59" s="37" t="str">
        <f>IFERROR(__xludf.DUMMYFUNCTION("""COMPUTED_VALUE"""),"資訊裝置")</f>
        <v>資訊裝置</v>
      </c>
      <c r="Q59" s="37">
        <f>IFERROR(__xludf.DUMMYFUNCTION("""COMPUTED_VALUE"""),36.0)</f>
        <v>36</v>
      </c>
      <c r="R59" s="37">
        <f>IFERROR(__xludf.DUMMYFUNCTION("""COMPUTED_VALUE"""),36.0)</f>
        <v>36</v>
      </c>
      <c r="S59" s="37" t="str">
        <f>IFERROR(__xludf.DUMMYFUNCTION("""COMPUTED_VALUE"""),"NT$8,901")</f>
        <v>NT$8,901</v>
      </c>
      <c r="T59" s="37" t="str">
        <f>IFERROR(__xludf.DUMMYFUNCTION("""COMPUTED_VALUE"""),"MBP13 (2020, Four Thunderbolt 3 ports) I7/32GBRAM/512GBSSD")</f>
        <v>MBP13 (2020, Four Thunderbolt 3 ports) I7/32GBRAM/512GBSSD</v>
      </c>
      <c r="U59" s="37"/>
      <c r="V59" s="37"/>
      <c r="W59" s="37"/>
      <c r="X59" s="40" t="str">
        <f>IFERROR(__xludf.DUMMYFUNCTION("""COMPUTED_VALUE"""),"")</f>
        <v/>
      </c>
      <c r="Y59" s="37"/>
      <c r="Z59" s="37"/>
      <c r="AA59" s="37"/>
      <c r="AB59" s="37"/>
      <c r="AC59" s="37"/>
      <c r="AD59" s="37"/>
      <c r="AE59" s="37"/>
      <c r="AF59" s="37"/>
      <c r="AG59" s="37"/>
      <c r="AH59" s="37"/>
    </row>
    <row r="60">
      <c r="B60" s="37"/>
      <c r="C60" s="37" t="str">
        <f>IFERROR(__xludf.DUMMYFUNCTION("""COMPUTED_VALUE"""),"滿三年更換")</f>
        <v>滿三年更換</v>
      </c>
      <c r="D60" s="37" t="str">
        <f>IFERROR(__xludf.DUMMYFUNCTION("""COMPUTED_VALUE"""),"TW")</f>
        <v>TW</v>
      </c>
      <c r="E60" s="37"/>
      <c r="F60" s="37"/>
      <c r="G60" s="37"/>
      <c r="H60" s="44" t="str">
        <f>IFERROR(__xludf.DUMMYFUNCTION("""COMPUTED_VALUE"""),"客戶價值中心:客戶關係管理部:客服團隊 POS/OMO")</f>
        <v>客戶價值中心:客戶關係管理部:客服團隊 POS/OMO</v>
      </c>
      <c r="I60" s="37" t="str">
        <f>IFERROR(__xludf.DUMMYFUNCTION("""COMPUTED_VALUE"""),"資訊裝置")</f>
        <v>資訊裝置</v>
      </c>
      <c r="J60" s="37" t="str">
        <f>IFERROR(__xludf.DUMMYFUNCTION("""COMPUTED_VALUE"""),"AICHIP02107074")</f>
        <v>AICHIP02107074</v>
      </c>
      <c r="K60" s="37" t="str">
        <f>IFERROR(__xludf.DUMMYFUNCTION("""COMPUTED_VALUE"""),"iPad")</f>
        <v>iPad</v>
      </c>
      <c r="L60" s="37" t="str">
        <f>IFERROR(__xludf.DUMMYFUNCTION("""COMPUTED_VALUE"""),"F9FFVD6DQ1GF")</f>
        <v>F9FFVD6DQ1GF</v>
      </c>
      <c r="M60" s="37" t="str">
        <f>IFERROR(__xludf.DUMMYFUNCTION("""COMPUTED_VALUE"""),"林怡儒")</f>
        <v>林怡儒</v>
      </c>
      <c r="N60" s="44">
        <f>IFERROR(__xludf.DUMMYFUNCTION("""COMPUTED_VALUE"""),44400.0)</f>
        <v>44400</v>
      </c>
      <c r="O60" s="40">
        <f>IFERROR(__xludf.DUMMYFUNCTION("""COMPUTED_VALUE"""),9450.0)</f>
        <v>9450</v>
      </c>
      <c r="P60" s="37" t="str">
        <f>IFERROR(__xludf.DUMMYFUNCTION("""COMPUTED_VALUE"""),"資訊裝置")</f>
        <v>資訊裝置</v>
      </c>
      <c r="Q60" s="37">
        <f>IFERROR(__xludf.DUMMYFUNCTION("""COMPUTED_VALUE"""),36.0)</f>
        <v>36</v>
      </c>
      <c r="R60" s="37">
        <f>IFERROR(__xludf.DUMMYFUNCTION("""COMPUTED_VALUE"""),36.0)</f>
        <v>36</v>
      </c>
      <c r="S60" s="37" t="str">
        <f>IFERROR(__xludf.DUMMYFUNCTION("""COMPUTED_VALUE"""),"NT$9,450")</f>
        <v>NT$9,450</v>
      </c>
      <c r="T60" s="37" t="str">
        <f>IFERROR(__xludf.DUMMYFUNCTION("""COMPUTED_VALUE"""),"iPad (第八代) 32GB WIFI(MYLC2TA/A)")</f>
        <v>iPad (第八代) 32GB WIFI(MYLC2TA/A)</v>
      </c>
      <c r="U60" s="37"/>
      <c r="V60" s="37"/>
      <c r="W60" s="37"/>
      <c r="X60" s="40" t="str">
        <f>IFERROR(__xludf.DUMMYFUNCTION("""COMPUTED_VALUE"""),"")</f>
        <v/>
      </c>
      <c r="Y60" s="37"/>
      <c r="Z60" s="37"/>
      <c r="AA60" s="37"/>
      <c r="AB60" s="37"/>
      <c r="AC60" s="37"/>
      <c r="AD60" s="37"/>
      <c r="AE60" s="37"/>
      <c r="AF60" s="37"/>
      <c r="AG60" s="37"/>
      <c r="AH60" s="37"/>
    </row>
    <row r="61">
      <c r="B61" s="37"/>
      <c r="C61" s="37" t="str">
        <f>IFERROR(__xludf.DUMMYFUNCTION("""COMPUTED_VALUE"""),"滿三年更換")</f>
        <v>滿三年更換</v>
      </c>
      <c r="D61" s="37" t="str">
        <f>IFERROR(__xludf.DUMMYFUNCTION("""COMPUTED_VALUE"""),"TW")</f>
        <v>TW</v>
      </c>
      <c r="E61" s="37"/>
      <c r="F61" s="37"/>
      <c r="G61" s="37"/>
      <c r="H61" s="44" t="str">
        <f>IFERROR(__xludf.DUMMYFUNCTION("""COMPUTED_VALUE"""),"客戶價值中心:客戶關係管理部:客服團隊 POS/OMO")</f>
        <v>客戶價值中心:客戶關係管理部:客服團隊 POS/OMO</v>
      </c>
      <c r="I61" s="37" t="str">
        <f>IFERROR(__xludf.DUMMYFUNCTION("""COMPUTED_VALUE"""),"資訊裝置")</f>
        <v>資訊裝置</v>
      </c>
      <c r="J61" s="37" t="str">
        <f>IFERROR(__xludf.DUMMYFUNCTION("""COMPUTED_VALUE"""),"AICHMN02108099")</f>
        <v>AICHMN02108099</v>
      </c>
      <c r="K61" s="37" t="str">
        <f>IFERROR(__xludf.DUMMYFUNCTION("""COMPUTED_VALUE"""),"螢幕")</f>
        <v>螢幕</v>
      </c>
      <c r="L61" s="37" t="str">
        <f>IFERROR(__xludf.DUMMYFUNCTION("""COMPUTED_VALUE"""),"CN-0458FC-WSL00-163-004B-A04")</f>
        <v>CN-0458FC-WSL00-163-004B-A04</v>
      </c>
      <c r="M61" s="37" t="str">
        <f>IFERROR(__xludf.DUMMYFUNCTION("""COMPUTED_VALUE"""),"林怡儒")</f>
        <v>林怡儒</v>
      </c>
      <c r="N61" s="44">
        <f>IFERROR(__xludf.DUMMYFUNCTION("""COMPUTED_VALUE"""),44418.0)</f>
        <v>44418</v>
      </c>
      <c r="O61" s="40">
        <f>IFERROR(__xludf.DUMMYFUNCTION("""COMPUTED_VALUE"""),5417.0)</f>
        <v>5417</v>
      </c>
      <c r="P61" s="37" t="str">
        <f>IFERROR(__xludf.DUMMYFUNCTION("""COMPUTED_VALUE"""),"資訊裝置")</f>
        <v>資訊裝置</v>
      </c>
      <c r="Q61" s="37">
        <f>IFERROR(__xludf.DUMMYFUNCTION("""COMPUTED_VALUE"""),36.0)</f>
        <v>36</v>
      </c>
      <c r="R61" s="37">
        <f>IFERROR(__xludf.DUMMYFUNCTION("""COMPUTED_VALUE"""),36.0)</f>
        <v>36</v>
      </c>
      <c r="S61" s="37" t="str">
        <f>IFERROR(__xludf.DUMMYFUNCTION("""COMPUTED_VALUE"""),"NT$5,417")</f>
        <v>NT$5,417</v>
      </c>
      <c r="T61" s="37" t="str">
        <f>IFERROR(__xludf.DUMMYFUNCTION("""COMPUTED_VALUE"""),"Dell 24吋 S2421HSX")</f>
        <v>Dell 24吋 S2421HSX</v>
      </c>
      <c r="U61" s="37"/>
      <c r="V61" s="37"/>
      <c r="W61" s="37"/>
      <c r="X61" s="40" t="str">
        <f>IFERROR(__xludf.DUMMYFUNCTION("""COMPUTED_VALUE"""),"")</f>
        <v/>
      </c>
      <c r="Y61" s="37"/>
      <c r="Z61" s="37"/>
      <c r="AA61" s="37"/>
      <c r="AB61" s="37"/>
      <c r="AC61" s="37"/>
      <c r="AD61" s="37"/>
      <c r="AE61" s="37"/>
      <c r="AF61" s="37"/>
      <c r="AG61" s="37"/>
      <c r="AH61" s="37"/>
    </row>
    <row r="62">
      <c r="B62" s="37"/>
      <c r="C62" s="37" t="str">
        <f>IFERROR(__xludf.DUMMYFUNCTION("""COMPUTED_VALUE"""),"滿三年更換")</f>
        <v>滿三年更換</v>
      </c>
      <c r="D62" s="37" t="str">
        <f>IFERROR(__xludf.DUMMYFUNCTION("""COMPUTED_VALUE"""),"TW")</f>
        <v>TW</v>
      </c>
      <c r="E62" s="37"/>
      <c r="F62" s="37"/>
      <c r="G62" s="37"/>
      <c r="H62" s="44" t="str">
        <f>IFERROR(__xludf.DUMMYFUNCTION("""COMPUTED_VALUE"""),"行銷營運中心:銷售營運部:成交營運團隊")</f>
        <v>行銷營運中心:銷售營運部:成交營運團隊</v>
      </c>
      <c r="I62" s="37" t="str">
        <f>IFERROR(__xludf.DUMMYFUNCTION("""COMPUTED_VALUE"""),"資訊裝置")</f>
        <v>資訊裝置</v>
      </c>
      <c r="J62" s="37" t="str">
        <f>IFERROR(__xludf.DUMMYFUNCTION("""COMPUTED_VALUE"""),"AICHMN01705047")</f>
        <v>AICHMN01705047</v>
      </c>
      <c r="K62" s="37" t="str">
        <f>IFERROR(__xludf.DUMMYFUNCTION("""COMPUTED_VALUE"""),"螢幕")</f>
        <v>螢幕</v>
      </c>
      <c r="L62" s="37" t="str">
        <f>IFERROR(__xludf.DUMMYFUNCTION("""COMPUTED_VALUE"""),"CN-07N2FG-TV100-83M-07CS-A07")</f>
        <v>CN-07N2FG-TV100-83M-07CS-A07</v>
      </c>
      <c r="M62" s="37" t="str">
        <f>IFERROR(__xludf.DUMMYFUNCTION("""COMPUTED_VALUE"""),"林育萱")</f>
        <v>林育萱</v>
      </c>
      <c r="N62" s="44">
        <f>IFERROR(__xludf.DUMMYFUNCTION("""COMPUTED_VALUE"""),43413.0)</f>
        <v>43413</v>
      </c>
      <c r="O62" s="37"/>
      <c r="P62" s="37" t="str">
        <f>IFERROR(__xludf.DUMMYFUNCTION("""COMPUTED_VALUE"""),"資訊裝置")</f>
        <v>資訊裝置</v>
      </c>
      <c r="Q62" s="37">
        <f>IFERROR(__xludf.DUMMYFUNCTION("""COMPUTED_VALUE"""),36.0)</f>
        <v>36</v>
      </c>
      <c r="R62" s="37">
        <f>IFERROR(__xludf.DUMMYFUNCTION("""COMPUTED_VALUE"""),36.0)</f>
        <v>36</v>
      </c>
      <c r="S62" s="37" t="str">
        <f>IFERROR(__xludf.DUMMYFUNCTION("""COMPUTED_VALUE"""),"NT$0")</f>
        <v>NT$0</v>
      </c>
      <c r="T62" s="37" t="str">
        <f>IFERROR(__xludf.DUMMYFUNCTION("""COMPUTED_VALUE"""),"Dell 24吋 U2412Mc")</f>
        <v>Dell 24吋 U2412Mc</v>
      </c>
      <c r="U62" s="37"/>
      <c r="V62" s="37"/>
      <c r="W62" s="37"/>
      <c r="X62" s="40" t="str">
        <f>IFERROR(__xludf.DUMMYFUNCTION("""COMPUTED_VALUE"""),"")</f>
        <v/>
      </c>
      <c r="Y62" s="37"/>
      <c r="Z62" s="37"/>
      <c r="AA62" s="37"/>
      <c r="AB62" s="37"/>
      <c r="AC62" s="37"/>
      <c r="AD62" s="37"/>
      <c r="AE62" s="37"/>
      <c r="AF62" s="37"/>
      <c r="AG62" s="37"/>
      <c r="AH62" s="37"/>
    </row>
    <row r="63">
      <c r="B63" s="37"/>
      <c r="C63" s="37" t="str">
        <f>IFERROR(__xludf.DUMMYFUNCTION("""COMPUTED_VALUE"""),"滿三年更換")</f>
        <v>滿三年更換</v>
      </c>
      <c r="D63" s="37" t="str">
        <f>IFERROR(__xludf.DUMMYFUNCTION("""COMPUTED_VALUE"""),"TW")</f>
        <v>TW</v>
      </c>
      <c r="E63" s="37"/>
      <c r="F63" s="37"/>
      <c r="G63" s="37"/>
      <c r="H63" s="44" t="str">
        <f>IFERROR(__xludf.DUMMYFUNCTION("""COMPUTED_VALUE"""),"行銷營運中心:銷售營運部:客戶導入團隊")</f>
        <v>行銷營運中心:銷售營運部:客戶導入團隊</v>
      </c>
      <c r="I63" s="37" t="str">
        <f>IFERROR(__xludf.DUMMYFUNCTION("""COMPUTED_VALUE"""),"資訊裝置")</f>
        <v>資訊裝置</v>
      </c>
      <c r="J63" s="37" t="str">
        <f>IFERROR(__xludf.DUMMYFUNCTION("""COMPUTED_VALUE"""),"AICHIP02002020")</f>
        <v>AICHIP02002020</v>
      </c>
      <c r="K63" s="37" t="str">
        <f>IFERROR(__xludf.DUMMYFUNCTION("""COMPUTED_VALUE"""),"iPad")</f>
        <v>iPad</v>
      </c>
      <c r="L63" s="37" t="str">
        <f>IFERROR(__xludf.DUMMYFUNCTION("""COMPUTED_VALUE"""),"DMPZNDARMF3P")</f>
        <v>DMPZNDARMF3P</v>
      </c>
      <c r="M63" s="37" t="str">
        <f>IFERROR(__xludf.DUMMYFUNCTION("""COMPUTED_VALUE"""),"林聖智")</f>
        <v>林聖智</v>
      </c>
      <c r="N63" s="44">
        <f>IFERROR(__xludf.DUMMYFUNCTION("""COMPUTED_VALUE"""),43888.0)</f>
        <v>43888</v>
      </c>
      <c r="O63" s="40">
        <f>IFERROR(__xludf.DUMMYFUNCTION("""COMPUTED_VALUE"""),9374.0)</f>
        <v>9374</v>
      </c>
      <c r="P63" s="37" t="str">
        <f>IFERROR(__xludf.DUMMYFUNCTION("""COMPUTED_VALUE"""),"資訊裝置")</f>
        <v>資訊裝置</v>
      </c>
      <c r="Q63" s="37">
        <f>IFERROR(__xludf.DUMMYFUNCTION("""COMPUTED_VALUE"""),36.0)</f>
        <v>36</v>
      </c>
      <c r="R63" s="37">
        <f>IFERROR(__xludf.DUMMYFUNCTION("""COMPUTED_VALUE"""),36.0)</f>
        <v>36</v>
      </c>
      <c r="S63" s="37" t="str">
        <f>IFERROR(__xludf.DUMMYFUNCTION("""COMPUTED_VALUE"""),"NT$9,374")</f>
        <v>NT$9,374</v>
      </c>
      <c r="T63" s="37" t="str">
        <f>IFERROR(__xludf.DUMMYFUNCTION("""COMPUTED_VALUE"""),"iPad (第七代) 32GB WIFI(MW762TA/A)")</f>
        <v>iPad (第七代) 32GB WIFI(MW762TA/A)</v>
      </c>
      <c r="U63" s="37"/>
      <c r="V63" s="37"/>
      <c r="W63" s="37"/>
      <c r="X63" s="40" t="str">
        <f>IFERROR(__xludf.DUMMYFUNCTION("""COMPUTED_VALUE"""),"")</f>
        <v/>
      </c>
      <c r="Y63" s="37"/>
      <c r="Z63" s="37"/>
      <c r="AA63" s="37"/>
      <c r="AB63" s="37"/>
      <c r="AC63" s="37"/>
      <c r="AD63" s="37"/>
      <c r="AE63" s="37"/>
      <c r="AF63" s="37"/>
      <c r="AG63" s="37"/>
      <c r="AH63" s="37"/>
    </row>
    <row r="64">
      <c r="B64" s="37"/>
      <c r="C64" s="37" t="str">
        <f>IFERROR(__xludf.DUMMYFUNCTION("""COMPUTED_VALUE"""),"滿三年更換")</f>
        <v>滿三年更換</v>
      </c>
      <c r="D64" s="37" t="str">
        <f>IFERROR(__xludf.DUMMYFUNCTION("""COMPUTED_VALUE"""),"TW")</f>
        <v>TW</v>
      </c>
      <c r="E64" s="37"/>
      <c r="F64" s="37"/>
      <c r="G64" s="37"/>
      <c r="H64" s="44" t="str">
        <f>IFERROR(__xludf.DUMMYFUNCTION("""COMPUTED_VALUE"""),"行銷營運中心:銷售營運部:客戶導入團隊")</f>
        <v>行銷營運中心:銷售營運部:客戶導入團隊</v>
      </c>
      <c r="I64" s="37" t="str">
        <f>IFERROR(__xludf.DUMMYFUNCTION("""COMPUTED_VALUE"""),"資訊裝置")</f>
        <v>資訊裝置</v>
      </c>
      <c r="J64" s="37" t="str">
        <f>IFERROR(__xludf.DUMMYFUNCTION("""COMPUTED_VALUE"""),"AICHMA02105018")</f>
        <v>AICHMA02105018</v>
      </c>
      <c r="K64" s="37" t="str">
        <f>IFERROR(__xludf.DUMMYFUNCTION("""COMPUTED_VALUE"""),"Macbook Air")</f>
        <v>Macbook Air</v>
      </c>
      <c r="L64" s="37" t="str">
        <f>IFERROR(__xludf.DUMMYFUNCTION("""COMPUTED_VALUE"""),"FVFFJMQAQ6LC")</f>
        <v>FVFFJMQAQ6LC</v>
      </c>
      <c r="M64" s="37" t="str">
        <f>IFERROR(__xludf.DUMMYFUNCTION("""COMPUTED_VALUE"""),"林曉吟")</f>
        <v>林曉吟</v>
      </c>
      <c r="N64" s="44">
        <f>IFERROR(__xludf.DUMMYFUNCTION("""COMPUTED_VALUE"""),44341.0)</f>
        <v>44341</v>
      </c>
      <c r="O64" s="40">
        <f>IFERROR(__xludf.DUMMYFUNCTION("""COMPUTED_VALUE"""),27075.0)</f>
        <v>27075</v>
      </c>
      <c r="P64" s="37" t="str">
        <f>IFERROR(__xludf.DUMMYFUNCTION("""COMPUTED_VALUE"""),"資訊裝置")</f>
        <v>資訊裝置</v>
      </c>
      <c r="Q64" s="37">
        <f>IFERROR(__xludf.DUMMYFUNCTION("""COMPUTED_VALUE"""),36.0)</f>
        <v>36</v>
      </c>
      <c r="R64" s="37">
        <f>IFERROR(__xludf.DUMMYFUNCTION("""COMPUTED_VALUE"""),36.0)</f>
        <v>36</v>
      </c>
      <c r="S64" s="37" t="str">
        <f>IFERROR(__xludf.DUMMYFUNCTION("""COMPUTED_VALUE"""),"NT$27,075")</f>
        <v>NT$27,075</v>
      </c>
      <c r="T64" s="37" t="str">
        <f>IFERROR(__xludf.DUMMYFUNCTION("""COMPUTED_VALUE"""),"A2337 MBA13 (2020)M1/8GBRAM/256GBSSD")</f>
        <v>A2337 MBA13 (2020)M1/8GBRAM/256GBSSD</v>
      </c>
      <c r="U64" s="37"/>
      <c r="V64" s="37"/>
      <c r="W64" s="37"/>
      <c r="X64" s="40" t="str">
        <f>IFERROR(__xludf.DUMMYFUNCTION("""COMPUTED_VALUE"""),"")</f>
        <v/>
      </c>
      <c r="Y64" s="37"/>
      <c r="Z64" s="37"/>
      <c r="AA64" s="37"/>
      <c r="AB64" s="37"/>
      <c r="AC64" s="37"/>
      <c r="AD64" s="37"/>
      <c r="AE64" s="37"/>
      <c r="AF64" s="37"/>
      <c r="AG64" s="37"/>
      <c r="AH64" s="37"/>
    </row>
    <row r="65">
      <c r="B65" s="37"/>
      <c r="C65" s="37" t="str">
        <f>IFERROR(__xludf.DUMMYFUNCTION("""COMPUTED_VALUE"""),"滿三年更換")</f>
        <v>滿三年更換</v>
      </c>
      <c r="D65" s="37" t="str">
        <f>IFERROR(__xludf.DUMMYFUNCTION("""COMPUTED_VALUE"""),"TW")</f>
        <v>TW</v>
      </c>
      <c r="E65" s="37"/>
      <c r="F65" s="37"/>
      <c r="G65" s="37"/>
      <c r="H65" s="44" t="str">
        <f>IFERROR(__xludf.DUMMYFUNCTION("""COMPUTED_VALUE"""),"研發中心:產品設計部:產品經理團隊")</f>
        <v>研發中心:產品設計部:產品經理團隊</v>
      </c>
      <c r="I65" s="37" t="str">
        <f>IFERROR(__xludf.DUMMYFUNCTION("""COMPUTED_VALUE"""),"資訊裝置")</f>
        <v>資訊裝置</v>
      </c>
      <c r="J65" s="37" t="str">
        <f>IFERROR(__xludf.DUMMYFUNCTION("""COMPUTED_VALUE"""),"AICHIP02004024")</f>
        <v>AICHIP02004024</v>
      </c>
      <c r="K65" s="37" t="str">
        <f>IFERROR(__xludf.DUMMYFUNCTION("""COMPUTED_VALUE"""),"iPad")</f>
        <v>iPad</v>
      </c>
      <c r="L65" s="37" t="str">
        <f>IFERROR(__xludf.DUMMYFUNCTION("""COMPUTED_VALUE"""),"DMPZCHSCJMVR")</f>
        <v>DMPZCHSCJMVR</v>
      </c>
      <c r="M65" s="37" t="str">
        <f>IFERROR(__xludf.DUMMYFUNCTION("""COMPUTED_VALUE"""),"法諾昕")</f>
        <v>法諾昕</v>
      </c>
      <c r="N65" s="44">
        <f>IFERROR(__xludf.DUMMYFUNCTION("""COMPUTED_VALUE"""),43944.0)</f>
        <v>43944</v>
      </c>
      <c r="O65" s="40">
        <f>IFERROR(__xludf.DUMMYFUNCTION("""COMPUTED_VALUE"""),9374.0)</f>
        <v>9374</v>
      </c>
      <c r="P65" s="37" t="str">
        <f>IFERROR(__xludf.DUMMYFUNCTION("""COMPUTED_VALUE"""),"資訊裝置")</f>
        <v>資訊裝置</v>
      </c>
      <c r="Q65" s="37">
        <f>IFERROR(__xludf.DUMMYFUNCTION("""COMPUTED_VALUE"""),36.0)</f>
        <v>36</v>
      </c>
      <c r="R65" s="37">
        <f>IFERROR(__xludf.DUMMYFUNCTION("""COMPUTED_VALUE"""),36.0)</f>
        <v>36</v>
      </c>
      <c r="S65" s="37" t="str">
        <f>IFERROR(__xludf.DUMMYFUNCTION("""COMPUTED_VALUE"""),"NT$9,374")</f>
        <v>NT$9,374</v>
      </c>
      <c r="T65" s="37" t="str">
        <f>IFERROR(__xludf.DUMMYFUNCTION("""COMPUTED_VALUE"""),"iPad (第六代) WI-FI 32GB(MRJN2TA/A)")</f>
        <v>iPad (第六代) WI-FI 32GB(MRJN2TA/A)</v>
      </c>
      <c r="U65" s="37"/>
      <c r="V65" s="37"/>
      <c r="W65" s="37"/>
      <c r="X65" s="40" t="str">
        <f>IFERROR(__xludf.DUMMYFUNCTION("""COMPUTED_VALUE"""),"")</f>
        <v/>
      </c>
      <c r="Y65" s="37"/>
      <c r="Z65" s="37"/>
      <c r="AA65" s="37"/>
      <c r="AB65" s="37"/>
      <c r="AC65" s="37"/>
      <c r="AD65" s="37"/>
      <c r="AE65" s="37"/>
      <c r="AF65" s="37"/>
      <c r="AG65" s="37"/>
      <c r="AH65" s="37"/>
    </row>
    <row r="66">
      <c r="B66" s="37"/>
      <c r="C66" s="37" t="str">
        <f>IFERROR(__xludf.DUMMYFUNCTION("""COMPUTED_VALUE"""),"滿三年更換")</f>
        <v>滿三年更換</v>
      </c>
      <c r="D66" s="37" t="str">
        <f>IFERROR(__xludf.DUMMYFUNCTION("""COMPUTED_VALUE"""),"TW")</f>
        <v>TW</v>
      </c>
      <c r="E66" s="37"/>
      <c r="F66" s="37"/>
      <c r="G66" s="37"/>
      <c r="H66" s="44" t="str">
        <f>IFERROR(__xludf.DUMMYFUNCTION("""COMPUTED_VALUE"""),"研發中心:產品設計部:產品經理團隊")</f>
        <v>研發中心:產品設計部:產品經理團隊</v>
      </c>
      <c r="I66" s="37" t="str">
        <f>IFERROR(__xludf.DUMMYFUNCTION("""COMPUTED_VALUE"""),"資訊裝置")</f>
        <v>資訊裝置</v>
      </c>
      <c r="J66" s="37" t="str">
        <f>IFERROR(__xludf.DUMMYFUNCTION("""COMPUTED_VALUE"""),"AICHMN01705043")</f>
        <v>AICHMN01705043</v>
      </c>
      <c r="K66" s="37" t="str">
        <f>IFERROR(__xludf.DUMMYFUNCTION("""COMPUTED_VALUE"""),"螢幕")</f>
        <v>螢幕</v>
      </c>
      <c r="L66" s="37" t="str">
        <f>IFERROR(__xludf.DUMMYFUNCTION("""COMPUTED_VALUE"""),"CN-07N2FG-TV100-83M-04ZS-A07")</f>
        <v>CN-07N2FG-TV100-83M-04ZS-A07</v>
      </c>
      <c r="M66" s="37" t="str">
        <f>IFERROR(__xludf.DUMMYFUNCTION("""COMPUTED_VALUE"""),"法諾昕")</f>
        <v>法諾昕</v>
      </c>
      <c r="N66" s="44">
        <f>IFERROR(__xludf.DUMMYFUNCTION("""COMPUTED_VALUE"""),43413.0)</f>
        <v>43413</v>
      </c>
      <c r="O66" s="40">
        <f>IFERROR(__xludf.DUMMYFUNCTION("""COMPUTED_VALUE"""),68300.0)</f>
        <v>68300</v>
      </c>
      <c r="P66" s="37" t="str">
        <f>IFERROR(__xludf.DUMMYFUNCTION("""COMPUTED_VALUE"""),"資訊裝置")</f>
        <v>資訊裝置</v>
      </c>
      <c r="Q66" s="37">
        <f>IFERROR(__xludf.DUMMYFUNCTION("""COMPUTED_VALUE"""),36.0)</f>
        <v>36</v>
      </c>
      <c r="R66" s="37">
        <f>IFERROR(__xludf.DUMMYFUNCTION("""COMPUTED_VALUE"""),36.0)</f>
        <v>36</v>
      </c>
      <c r="S66" s="37" t="str">
        <f>IFERROR(__xludf.DUMMYFUNCTION("""COMPUTED_VALUE"""),"NT$68,300")</f>
        <v>NT$68,300</v>
      </c>
      <c r="T66" s="37" t="str">
        <f>IFERROR(__xludf.DUMMYFUNCTION("""COMPUTED_VALUE"""),"Dell 24吋 U2412Mc")</f>
        <v>Dell 24吋 U2412Mc</v>
      </c>
      <c r="U66" s="37"/>
      <c r="V66" s="37"/>
      <c r="W66" s="37"/>
      <c r="X66" s="40" t="str">
        <f>IFERROR(__xludf.DUMMYFUNCTION("""COMPUTED_VALUE"""),"")</f>
        <v/>
      </c>
      <c r="Y66" s="37"/>
      <c r="Z66" s="37"/>
      <c r="AA66" s="37"/>
      <c r="AB66" s="37"/>
      <c r="AC66" s="37"/>
      <c r="AD66" s="37"/>
      <c r="AE66" s="37"/>
      <c r="AF66" s="37"/>
      <c r="AG66" s="37"/>
      <c r="AH66" s="37"/>
    </row>
    <row r="67">
      <c r="B67" s="37"/>
      <c r="C67" s="37" t="str">
        <f>IFERROR(__xludf.DUMMYFUNCTION("""COMPUTED_VALUE"""),"滿三年更換")</f>
        <v>滿三年更換</v>
      </c>
      <c r="D67" s="37" t="str">
        <f>IFERROR(__xludf.DUMMYFUNCTION("""COMPUTED_VALUE"""),"TW")</f>
        <v>TW</v>
      </c>
      <c r="E67" s="37"/>
      <c r="F67" s="37"/>
      <c r="G67" s="37"/>
      <c r="H67" s="44" t="str">
        <f>IFERROR(__xludf.DUMMYFUNCTION("""COMPUTED_VALUE"""),"行銷營運中心:銷售營運部:成交營運團隊")</f>
        <v>行銷營運中心:銷售營運部:成交營運團隊</v>
      </c>
      <c r="I67" s="37" t="str">
        <f>IFERROR(__xludf.DUMMYFUNCTION("""COMPUTED_VALUE"""),"資訊裝置")</f>
        <v>資訊裝置</v>
      </c>
      <c r="J67" s="37" t="str">
        <f>IFERROR(__xludf.DUMMYFUNCTION("""COMPUTED_VALUE"""),"AICHMA02106026")</f>
        <v>AICHMA02106026</v>
      </c>
      <c r="K67" s="37" t="str">
        <f>IFERROR(__xludf.DUMMYFUNCTION("""COMPUTED_VALUE"""),"Macbook Air")</f>
        <v>Macbook Air</v>
      </c>
      <c r="L67" s="37" t="str">
        <f>IFERROR(__xludf.DUMMYFUNCTION("""COMPUTED_VALUE"""),"FVFFV16RQ6L7")</f>
        <v>FVFFV16RQ6L7</v>
      </c>
      <c r="M67" s="37" t="str">
        <f>IFERROR(__xludf.DUMMYFUNCTION("""COMPUTED_VALUE"""),"邱芳儀")</f>
        <v>邱芳儀</v>
      </c>
      <c r="N67" s="44">
        <f>IFERROR(__xludf.DUMMYFUNCTION("""COMPUTED_VALUE"""),44370.0)</f>
        <v>44370</v>
      </c>
      <c r="O67" s="40">
        <f>IFERROR(__xludf.DUMMYFUNCTION("""COMPUTED_VALUE"""),27075.0)</f>
        <v>27075</v>
      </c>
      <c r="P67" s="37" t="str">
        <f>IFERROR(__xludf.DUMMYFUNCTION("""COMPUTED_VALUE"""),"資訊裝置")</f>
        <v>資訊裝置</v>
      </c>
      <c r="Q67" s="37">
        <f>IFERROR(__xludf.DUMMYFUNCTION("""COMPUTED_VALUE"""),36.0)</f>
        <v>36</v>
      </c>
      <c r="R67" s="37">
        <f>IFERROR(__xludf.DUMMYFUNCTION("""COMPUTED_VALUE"""),36.0)</f>
        <v>36</v>
      </c>
      <c r="S67" s="37" t="str">
        <f>IFERROR(__xludf.DUMMYFUNCTION("""COMPUTED_VALUE"""),"NT$27,075")</f>
        <v>NT$27,075</v>
      </c>
      <c r="T67" s="37" t="str">
        <f>IFERROR(__xludf.DUMMYFUNCTION("""COMPUTED_VALUE"""),"A2337 MBA13 (2020) M1/8GBRAM/256GBSSD")</f>
        <v>A2337 MBA13 (2020) M1/8GBRAM/256GBSSD</v>
      </c>
      <c r="U67" s="37"/>
      <c r="V67" s="37"/>
      <c r="W67" s="37"/>
      <c r="X67" s="40" t="str">
        <f>IFERROR(__xludf.DUMMYFUNCTION("""COMPUTED_VALUE"""),"")</f>
        <v/>
      </c>
      <c r="Y67" s="37"/>
      <c r="Z67" s="37"/>
      <c r="AA67" s="37"/>
      <c r="AB67" s="37"/>
      <c r="AC67" s="37"/>
      <c r="AD67" s="37"/>
      <c r="AE67" s="37"/>
      <c r="AF67" s="37"/>
      <c r="AG67" s="37"/>
      <c r="AH67" s="37"/>
    </row>
    <row r="68">
      <c r="B68" s="37"/>
      <c r="C68" s="37" t="str">
        <f>IFERROR(__xludf.DUMMYFUNCTION("""COMPUTED_VALUE"""),"滿三年更換")</f>
        <v>滿三年更換</v>
      </c>
      <c r="D68" s="37" t="str">
        <f>IFERROR(__xludf.DUMMYFUNCTION("""COMPUTED_VALUE"""),"TW")</f>
        <v>TW</v>
      </c>
      <c r="E68" s="37"/>
      <c r="F68" s="37"/>
      <c r="G68" s="37"/>
      <c r="H68" s="44" t="str">
        <f>IFERROR(__xludf.DUMMYFUNCTION("""COMPUTED_VALUE"""),"行銷營運中心:銷售營運部:客戶導入團隊")</f>
        <v>行銷營運中心:銷售營運部:客戶導入團隊</v>
      </c>
      <c r="I68" s="37" t="str">
        <f>IFERROR(__xludf.DUMMYFUNCTION("""COMPUTED_VALUE"""),"資訊裝置")</f>
        <v>資訊裝置</v>
      </c>
      <c r="J68" s="37" t="str">
        <f>IFERROR(__xludf.DUMMYFUNCTION("""COMPUTED_VALUE"""),"AICHMN01604021")</f>
        <v>AICHMN01604021</v>
      </c>
      <c r="K68" s="37" t="str">
        <f>IFERROR(__xludf.DUMMYFUNCTION("""COMPUTED_VALUE"""),"螢幕")</f>
        <v>螢幕</v>
      </c>
      <c r="L68" s="37" t="str">
        <f>IFERROR(__xludf.DUMMYFUNCTION("""COMPUTED_VALUE"""),"CN-0MTYGK-64180-58T-0GXL")</f>
        <v>CN-0MTYGK-64180-58T-0GXL</v>
      </c>
      <c r="M68" s="37" t="str">
        <f>IFERROR(__xludf.DUMMYFUNCTION("""COMPUTED_VALUE"""),"邱郁婷")</f>
        <v>邱郁婷</v>
      </c>
      <c r="N68" s="44">
        <f>IFERROR(__xludf.DUMMYFUNCTION("""COMPUTED_VALUE"""),42468.0)</f>
        <v>42468</v>
      </c>
      <c r="O68" s="37"/>
      <c r="P68" s="37" t="str">
        <f>IFERROR(__xludf.DUMMYFUNCTION("""COMPUTED_VALUE"""),"資訊裝置")</f>
        <v>資訊裝置</v>
      </c>
      <c r="Q68" s="37">
        <f>IFERROR(__xludf.DUMMYFUNCTION("""COMPUTED_VALUE"""),36.0)</f>
        <v>36</v>
      </c>
      <c r="R68" s="37">
        <f>IFERROR(__xludf.DUMMYFUNCTION("""COMPUTED_VALUE"""),36.0)</f>
        <v>36</v>
      </c>
      <c r="S68" s="37" t="str">
        <f>IFERROR(__xludf.DUMMYFUNCTION("""COMPUTED_VALUE"""),"NT$0")</f>
        <v>NT$0</v>
      </c>
      <c r="T68" s="37" t="str">
        <f>IFERROR(__xludf.DUMMYFUNCTION("""COMPUTED_VALUE"""),"Dell 24吋 U2412Mc")</f>
        <v>Dell 24吋 U2412Mc</v>
      </c>
      <c r="U68" s="37"/>
      <c r="V68" s="37"/>
      <c r="W68" s="37"/>
      <c r="X68" s="40" t="str">
        <f>IFERROR(__xludf.DUMMYFUNCTION("""COMPUTED_VALUE"""),"")</f>
        <v/>
      </c>
      <c r="Y68" s="37"/>
      <c r="Z68" s="37"/>
      <c r="AA68" s="37"/>
      <c r="AB68" s="37"/>
      <c r="AC68" s="37"/>
      <c r="AD68" s="37"/>
      <c r="AE68" s="37"/>
      <c r="AF68" s="37"/>
      <c r="AG68" s="37"/>
      <c r="AH68" s="37"/>
    </row>
    <row r="69">
      <c r="B69" s="37"/>
      <c r="C69" s="37" t="str">
        <f>IFERROR(__xludf.DUMMYFUNCTION("""COMPUTED_VALUE"""),"滿三年更換")</f>
        <v>滿三年更換</v>
      </c>
      <c r="D69" s="37" t="str">
        <f>IFERROR(__xludf.DUMMYFUNCTION("""COMPUTED_VALUE"""),"TW")</f>
        <v>TW</v>
      </c>
      <c r="E69" s="37"/>
      <c r="F69" s="37"/>
      <c r="G69" s="37"/>
      <c r="H69" s="44" t="str">
        <f>IFERROR(__xludf.DUMMYFUNCTION("""COMPUTED_VALUE"""),"管理中心:人資部:人資團隊")</f>
        <v>管理中心:人資部:人資團隊</v>
      </c>
      <c r="I69" s="37" t="str">
        <f>IFERROR(__xludf.DUMMYFUNCTION("""COMPUTED_VALUE"""),"資訊裝置")</f>
        <v>資訊裝置</v>
      </c>
      <c r="J69" s="37" t="str">
        <f>IFERROR(__xludf.DUMMYFUNCTION("""COMPUTED_VALUE"""),"AICHMN01604003")</f>
        <v>AICHMN01604003</v>
      </c>
      <c r="K69" s="37" t="str">
        <f>IFERROR(__xludf.DUMMYFUNCTION("""COMPUTED_VALUE"""),"螢幕")</f>
        <v>螢幕</v>
      </c>
      <c r="L69" s="37" t="str">
        <f>IFERROR(__xludf.DUMMYFUNCTION("""COMPUTED_VALUE"""),"CN-0RWTY8-64180-68T-0G7L-A03")</f>
        <v>CN-0RWTY8-64180-68T-0G7L-A03</v>
      </c>
      <c r="M69" s="37" t="str">
        <f>IFERROR(__xludf.DUMMYFUNCTION("""COMPUTED_VALUE"""),"邱音綺")</f>
        <v>邱音綺</v>
      </c>
      <c r="N69" s="44">
        <f>IFERROR(__xludf.DUMMYFUNCTION("""COMPUTED_VALUE"""),42468.0)</f>
        <v>42468</v>
      </c>
      <c r="O69" s="37"/>
      <c r="P69" s="37" t="str">
        <f>IFERROR(__xludf.DUMMYFUNCTION("""COMPUTED_VALUE"""),"資訊裝置")</f>
        <v>資訊裝置</v>
      </c>
      <c r="Q69" s="37">
        <f>IFERROR(__xludf.DUMMYFUNCTION("""COMPUTED_VALUE"""),36.0)</f>
        <v>36</v>
      </c>
      <c r="R69" s="37">
        <f>IFERROR(__xludf.DUMMYFUNCTION("""COMPUTED_VALUE"""),36.0)</f>
        <v>36</v>
      </c>
      <c r="S69" s="37" t="str">
        <f>IFERROR(__xludf.DUMMYFUNCTION("""COMPUTED_VALUE"""),"NT$0")</f>
        <v>NT$0</v>
      </c>
      <c r="T69" s="37" t="str">
        <f>IFERROR(__xludf.DUMMYFUNCTION("""COMPUTED_VALUE"""),"Dell 24吋 U2412Mc")</f>
        <v>Dell 24吋 U2412Mc</v>
      </c>
      <c r="U69" s="37"/>
      <c r="V69" s="37"/>
      <c r="W69" s="37"/>
      <c r="X69" s="40" t="str">
        <f>IFERROR(__xludf.DUMMYFUNCTION("""COMPUTED_VALUE"""),"")</f>
        <v/>
      </c>
      <c r="Y69" s="37"/>
      <c r="Z69" s="37"/>
      <c r="AA69" s="37"/>
      <c r="AB69" s="37"/>
      <c r="AC69" s="37"/>
      <c r="AD69" s="37"/>
      <c r="AE69" s="37"/>
      <c r="AF69" s="37"/>
      <c r="AG69" s="37"/>
      <c r="AH69" s="37"/>
    </row>
    <row r="70">
      <c r="B70" s="37"/>
      <c r="C70" s="37" t="str">
        <f>IFERROR(__xludf.DUMMYFUNCTION("""COMPUTED_VALUE"""),"滿三年更換")</f>
        <v>滿三年更換</v>
      </c>
      <c r="D70" s="37" t="str">
        <f>IFERROR(__xludf.DUMMYFUNCTION("""COMPUTED_VALUE"""),"TW")</f>
        <v>TW</v>
      </c>
      <c r="E70" s="37"/>
      <c r="F70" s="37"/>
      <c r="G70" s="37"/>
      <c r="H70" s="37" t="str">
        <f>IFERROR(__xludf.DUMMYFUNCTION("""COMPUTED_VALUE"""),"財務中心:會計部")</f>
        <v>財務中心:會計部</v>
      </c>
      <c r="I70" s="37" t="str">
        <f>IFERROR(__xludf.DUMMYFUNCTION("""COMPUTED_VALUE"""),"資訊裝置")</f>
        <v>資訊裝置</v>
      </c>
      <c r="J70" s="37" t="str">
        <f>IFERROR(__xludf.DUMMYFUNCTION("""COMPUTED_VALUE"""),"AICHMN01811048")</f>
        <v>AICHMN01811048</v>
      </c>
      <c r="K70" s="37" t="str">
        <f>IFERROR(__xludf.DUMMYFUNCTION("""COMPUTED_VALUE"""),"螢幕")</f>
        <v>螢幕</v>
      </c>
      <c r="L70" s="37" t="str">
        <f>IFERROR(__xludf.DUMMYFUNCTION("""COMPUTED_VALUE"""),"CN-043D22-TV100-88K-0T0B-A04")</f>
        <v>CN-043D22-TV100-88K-0T0B-A04</v>
      </c>
      <c r="M70" s="37" t="str">
        <f>IFERROR(__xludf.DUMMYFUNCTION("""COMPUTED_VALUE"""),"邱珮綺")</f>
        <v>邱珮綺</v>
      </c>
      <c r="N70" s="45">
        <f>IFERROR(__xludf.DUMMYFUNCTION("""COMPUTED_VALUE"""),43397.0)</f>
        <v>43397</v>
      </c>
      <c r="O70" s="40">
        <f>IFERROR(__xludf.DUMMYFUNCTION("""COMPUTED_VALUE"""),5512.0)</f>
        <v>5512</v>
      </c>
      <c r="P70" s="37" t="str">
        <f>IFERROR(__xludf.DUMMYFUNCTION("""COMPUTED_VALUE"""),"資訊裝置")</f>
        <v>資訊裝置</v>
      </c>
      <c r="Q70" s="37">
        <f>IFERROR(__xludf.DUMMYFUNCTION("""COMPUTED_VALUE"""),36.0)</f>
        <v>36</v>
      </c>
      <c r="R70" s="37">
        <f>IFERROR(__xludf.DUMMYFUNCTION("""COMPUTED_VALUE"""),36.0)</f>
        <v>36</v>
      </c>
      <c r="S70" s="37" t="str">
        <f>IFERROR(__xludf.DUMMYFUNCTION("""COMPUTED_VALUE"""),"NT$5,512")</f>
        <v>NT$5,512</v>
      </c>
      <c r="T70" s="37" t="str">
        <f>IFERROR(__xludf.DUMMYFUNCTION("""COMPUTED_VALUE"""),"Dell 24吋 SE2416H")</f>
        <v>Dell 24吋 SE2416H</v>
      </c>
      <c r="U70" s="37"/>
      <c r="V70" s="37"/>
      <c r="W70" s="37"/>
      <c r="X70" s="40" t="str">
        <f>IFERROR(__xludf.DUMMYFUNCTION("""COMPUTED_VALUE"""),"")</f>
        <v/>
      </c>
      <c r="Y70" s="37"/>
      <c r="Z70" s="37"/>
      <c r="AA70" s="37"/>
      <c r="AB70" s="37"/>
      <c r="AC70" s="37"/>
      <c r="AD70" s="37"/>
      <c r="AE70" s="37"/>
      <c r="AF70" s="37"/>
      <c r="AG70" s="37"/>
      <c r="AH70" s="37"/>
    </row>
    <row r="71">
      <c r="B71" s="37"/>
      <c r="C71" s="37" t="str">
        <f>IFERROR(__xludf.DUMMYFUNCTION("""COMPUTED_VALUE"""),"滿三年更換")</f>
        <v>滿三年更換</v>
      </c>
      <c r="D71" s="37" t="str">
        <f>IFERROR(__xludf.DUMMYFUNCTION("""COMPUTED_VALUE"""),"TW")</f>
        <v>TW</v>
      </c>
      <c r="E71" s="37"/>
      <c r="F71" s="37"/>
      <c r="G71" s="37"/>
      <c r="H71" s="44" t="str">
        <f>IFERROR(__xludf.DUMMYFUNCTION("""COMPUTED_VALUE"""),"研發中心:軟體工程部:後端團隊")</f>
        <v>研發中心:軟體工程部:後端團隊</v>
      </c>
      <c r="I71" s="37" t="str">
        <f>IFERROR(__xludf.DUMMYFUNCTION("""COMPUTED_VALUE"""),"資訊裝置")</f>
        <v>資訊裝置</v>
      </c>
      <c r="J71" s="37" t="str">
        <f>IFERROR(__xludf.DUMMYFUNCTION("""COMPUTED_VALUE"""),"AICHMP02209050")</f>
        <v>AICHMP02209050</v>
      </c>
      <c r="K71" s="37" t="str">
        <f>IFERROR(__xludf.DUMMYFUNCTION("""COMPUTED_VALUE"""),"Macbook Pro")</f>
        <v>Macbook Pro</v>
      </c>
      <c r="L71" s="37" t="str">
        <f>IFERROR(__xludf.DUMMYFUNCTION("""COMPUTED_VALUE"""),"GK4G5L2RFV")</f>
        <v>GK4G5L2RFV</v>
      </c>
      <c r="M71" s="37" t="str">
        <f>IFERROR(__xludf.DUMMYFUNCTION("""COMPUTED_VALUE"""),"徐子秦")</f>
        <v>徐子秦</v>
      </c>
      <c r="N71" s="44">
        <f>IFERROR(__xludf.DUMMYFUNCTION("""COMPUTED_VALUE"""),44810.0)</f>
        <v>44810</v>
      </c>
      <c r="O71" s="40">
        <f>IFERROR(__xludf.DUMMYFUNCTION("""COMPUTED_VALUE"""),76200.0)</f>
        <v>76200</v>
      </c>
      <c r="P71" s="37" t="str">
        <f>IFERROR(__xludf.DUMMYFUNCTION("""COMPUTED_VALUE"""),"資訊裝置")</f>
        <v>資訊裝置</v>
      </c>
      <c r="Q71" s="37">
        <f>IFERROR(__xludf.DUMMYFUNCTION("""COMPUTED_VALUE"""),36.0)</f>
        <v>36</v>
      </c>
      <c r="R71" s="37">
        <f>IFERROR(__xludf.DUMMYFUNCTION("""COMPUTED_VALUE"""),36.0)</f>
        <v>36</v>
      </c>
      <c r="S71" s="37" t="str">
        <f>IFERROR(__xludf.DUMMYFUNCTION("""COMPUTED_VALUE"""),"NT$76,200")</f>
        <v>NT$76,200</v>
      </c>
      <c r="T71" s="37" t="str">
        <f>IFERROR(__xludf.DUMMYFUNCTION("""COMPUTED_VALUE"""),"MBP14 (2021)  M1Pro/32GBRAM/1TBGBSSD")</f>
        <v>MBP14 (2021)  M1Pro/32GBRAM/1TBGBSSD</v>
      </c>
      <c r="U71" s="37"/>
      <c r="V71" s="37"/>
      <c r="W71" s="37"/>
      <c r="X71" s="40" t="str">
        <f>IFERROR(__xludf.DUMMYFUNCTION("""COMPUTED_VALUE"""),"")</f>
        <v/>
      </c>
      <c r="Y71" s="37"/>
      <c r="Z71" s="37"/>
      <c r="AA71" s="37"/>
      <c r="AB71" s="37"/>
      <c r="AC71" s="37"/>
      <c r="AD71" s="37"/>
      <c r="AE71" s="37"/>
      <c r="AF71" s="37"/>
      <c r="AG71" s="37"/>
      <c r="AH71" s="37"/>
    </row>
    <row r="72">
      <c r="B72" s="37"/>
      <c r="C72" s="37" t="str">
        <f>IFERROR(__xludf.DUMMYFUNCTION("""COMPUTED_VALUE"""),"滿三年更換")</f>
        <v>滿三年更換</v>
      </c>
      <c r="D72" s="37" t="str">
        <f>IFERROR(__xludf.DUMMYFUNCTION("""COMPUTED_VALUE"""),"TW")</f>
        <v>TW</v>
      </c>
      <c r="E72" s="37"/>
      <c r="F72" s="37"/>
      <c r="G72" s="37"/>
      <c r="H72" s="44" t="str">
        <f>IFERROR(__xludf.DUMMYFUNCTION("""COMPUTED_VALUE"""),"行銷營運中心:社群關係部:餐廳社群團隊")</f>
        <v>行銷營運中心:社群關係部:餐廳社群團隊</v>
      </c>
      <c r="I72" s="37" t="str">
        <f>IFERROR(__xludf.DUMMYFUNCTION("""COMPUTED_VALUE"""),"資訊裝置")</f>
        <v>資訊裝置</v>
      </c>
      <c r="J72" s="37" t="str">
        <f>IFERROR(__xludf.DUMMYFUNCTION("""COMPUTED_VALUE"""),"AICHMN02009078")</f>
        <v>AICHMN02009078</v>
      </c>
      <c r="K72" s="37" t="str">
        <f>IFERROR(__xludf.DUMMYFUNCTION("""COMPUTED_VALUE"""),"螢幕")</f>
        <v>螢幕</v>
      </c>
      <c r="L72" s="37" t="str">
        <f>IFERROR(__xludf.DUMMYFUNCTION("""COMPUTED_VALUE"""),"CN-0Y2YF1-QDC00-07S-04QS-A16")</f>
        <v>CN-0Y2YF1-QDC00-07S-04QS-A16</v>
      </c>
      <c r="M72" s="37" t="str">
        <f>IFERROR(__xludf.DUMMYFUNCTION("""COMPUTED_VALUE"""),"徐唯宸")</f>
        <v>徐唯宸</v>
      </c>
      <c r="N72" s="44">
        <f>IFERROR(__xludf.DUMMYFUNCTION("""COMPUTED_VALUE"""),44097.0)</f>
        <v>44097</v>
      </c>
      <c r="O72" s="37"/>
      <c r="P72" s="37" t="str">
        <f>IFERROR(__xludf.DUMMYFUNCTION("""COMPUTED_VALUE"""),"資訊裝置")</f>
        <v>資訊裝置</v>
      </c>
      <c r="Q72" s="37">
        <f>IFERROR(__xludf.DUMMYFUNCTION("""COMPUTED_VALUE"""),36.0)</f>
        <v>36</v>
      </c>
      <c r="R72" s="37">
        <f>IFERROR(__xludf.DUMMYFUNCTION("""COMPUTED_VALUE"""),36.0)</f>
        <v>36</v>
      </c>
      <c r="S72" s="37" t="str">
        <f>IFERROR(__xludf.DUMMYFUNCTION("""COMPUTED_VALUE"""),"NT$0")</f>
        <v>NT$0</v>
      </c>
      <c r="T72" s="37" t="str">
        <f>IFERROR(__xludf.DUMMYFUNCTION("""COMPUTED_VALUE"""),"Dell 24吋 U2415")</f>
        <v>Dell 24吋 U2415</v>
      </c>
      <c r="U72" s="37"/>
      <c r="V72" s="37"/>
      <c r="W72" s="37"/>
      <c r="X72" s="40" t="str">
        <f>IFERROR(__xludf.DUMMYFUNCTION("""COMPUTED_VALUE"""),"")</f>
        <v/>
      </c>
      <c r="Y72" s="37"/>
      <c r="Z72" s="37"/>
      <c r="AA72" s="37"/>
      <c r="AB72" s="37"/>
      <c r="AC72" s="37"/>
      <c r="AD72" s="37"/>
      <c r="AE72" s="37"/>
      <c r="AF72" s="37"/>
      <c r="AG72" s="37"/>
      <c r="AH72" s="37"/>
    </row>
    <row r="73">
      <c r="B73" s="37"/>
      <c r="C73" s="37" t="str">
        <f>IFERROR(__xludf.DUMMYFUNCTION("""COMPUTED_VALUE"""),"滿三年更換")</f>
        <v>滿三年更換</v>
      </c>
      <c r="D73" s="37" t="str">
        <f>IFERROR(__xludf.DUMMYFUNCTION("""COMPUTED_VALUE"""),"TW")</f>
        <v>TW</v>
      </c>
      <c r="E73" s="37"/>
      <c r="F73" s="37"/>
      <c r="G73" s="37"/>
      <c r="H73" s="37" t="str">
        <f>IFERROR(__xludf.DUMMYFUNCTION("""COMPUTED_VALUE"""),"策略資料中心:策略規劃部")</f>
        <v>策略資料中心:策略規劃部</v>
      </c>
      <c r="I73" s="37" t="str">
        <f>IFERROR(__xludf.DUMMYFUNCTION("""COMPUTED_VALUE"""),"資訊裝置")</f>
        <v>資訊裝置</v>
      </c>
      <c r="J73" s="37" t="str">
        <f>IFERROR(__xludf.DUMMYFUNCTION("""COMPUTED_VALUE"""),"AICHMN01604028")</f>
        <v>AICHMN01604028</v>
      </c>
      <c r="K73" s="37" t="str">
        <f>IFERROR(__xludf.DUMMYFUNCTION("""COMPUTED_VALUE"""),"螢幕")</f>
        <v>螢幕</v>
      </c>
      <c r="L73" s="37" t="str">
        <f>IFERROR(__xludf.DUMMYFUNCTION("""COMPUTED_VALUE"""),"CN-07JNY5-74445-43F-1035")</f>
        <v>CN-07JNY5-74445-43F-1035</v>
      </c>
      <c r="M73" s="37" t="str">
        <f>IFERROR(__xludf.DUMMYFUNCTION("""COMPUTED_VALUE"""),"徐揚真")</f>
        <v>徐揚真</v>
      </c>
      <c r="N73" s="44">
        <f>IFERROR(__xludf.DUMMYFUNCTION("""COMPUTED_VALUE"""),42468.0)</f>
        <v>42468</v>
      </c>
      <c r="O73" s="37"/>
      <c r="P73" s="37" t="str">
        <f>IFERROR(__xludf.DUMMYFUNCTION("""COMPUTED_VALUE"""),"資訊裝置")</f>
        <v>資訊裝置</v>
      </c>
      <c r="Q73" s="37">
        <f>IFERROR(__xludf.DUMMYFUNCTION("""COMPUTED_VALUE"""),36.0)</f>
        <v>36</v>
      </c>
      <c r="R73" s="37">
        <f>IFERROR(__xludf.DUMMYFUNCTION("""COMPUTED_VALUE"""),36.0)</f>
        <v>36</v>
      </c>
      <c r="S73" s="37" t="str">
        <f>IFERROR(__xludf.DUMMYFUNCTION("""COMPUTED_VALUE"""),"NT$0")</f>
        <v>NT$0</v>
      </c>
      <c r="T73" s="37" t="str">
        <f>IFERROR(__xludf.DUMMYFUNCTION("""COMPUTED_VALUE"""),"Dell 27吋 U2713H")</f>
        <v>Dell 27吋 U2713H</v>
      </c>
      <c r="U73" s="37"/>
      <c r="V73" s="37"/>
      <c r="W73" s="37"/>
      <c r="X73" s="40" t="str">
        <f>IFERROR(__xludf.DUMMYFUNCTION("""COMPUTED_VALUE"""),"")</f>
        <v/>
      </c>
      <c r="Y73" s="37"/>
      <c r="Z73" s="37"/>
      <c r="AA73" s="37"/>
      <c r="AB73" s="37"/>
      <c r="AC73" s="37"/>
      <c r="AD73" s="37"/>
      <c r="AE73" s="37"/>
      <c r="AF73" s="37"/>
      <c r="AG73" s="37"/>
      <c r="AH73" s="37"/>
    </row>
    <row r="74">
      <c r="B74" s="37"/>
      <c r="C74" s="37" t="str">
        <f>IFERROR(__xludf.DUMMYFUNCTION("""COMPUTED_VALUE"""),"滿三年更換")</f>
        <v>滿三年更換</v>
      </c>
      <c r="D74" s="37" t="str">
        <f>IFERROR(__xludf.DUMMYFUNCTION("""COMPUTED_VALUE"""),"TW")</f>
        <v>TW</v>
      </c>
      <c r="E74" s="37"/>
      <c r="F74" s="37"/>
      <c r="G74" s="37"/>
      <c r="H74" s="44" t="str">
        <f>IFERROR(__xludf.DUMMYFUNCTION("""COMPUTED_VALUE"""),"研發中心:產品設計部:產品設計師團隊")</f>
        <v>研發中心:產品設計部:產品設計師團隊</v>
      </c>
      <c r="I74" s="37" t="str">
        <f>IFERROR(__xludf.DUMMYFUNCTION("""COMPUTED_VALUE"""),"資訊裝置")</f>
        <v>資訊裝置</v>
      </c>
      <c r="J74" s="37" t="str">
        <f>IFERROR(__xludf.DUMMYFUNCTION("""COMPUTED_VALUE"""),"AICHMP02108035")</f>
        <v>AICHMP02108035</v>
      </c>
      <c r="K74" s="37" t="str">
        <f>IFERROR(__xludf.DUMMYFUNCTION("""COMPUTED_VALUE"""),"Macbook Pro")</f>
        <v>Macbook Pro</v>
      </c>
      <c r="L74" s="37" t="str">
        <f>IFERROR(__xludf.DUMMYFUNCTION("""COMPUTED_VALUE"""),"C02G459KQ05P")</f>
        <v>C02G459KQ05P</v>
      </c>
      <c r="M74" s="37" t="str">
        <f>IFERROR(__xludf.DUMMYFUNCTION("""COMPUTED_VALUE"""),"翁品潔")</f>
        <v>翁品潔</v>
      </c>
      <c r="N74" s="44">
        <f>IFERROR(__xludf.DUMMYFUNCTION("""COMPUTED_VALUE"""),44414.0)</f>
        <v>44414</v>
      </c>
      <c r="O74" s="40">
        <f>IFERROR(__xludf.DUMMYFUNCTION("""COMPUTED_VALUE"""),45500.0)</f>
        <v>45500</v>
      </c>
      <c r="P74" s="37" t="str">
        <f>IFERROR(__xludf.DUMMYFUNCTION("""COMPUTED_VALUE"""),"資訊裝置")</f>
        <v>資訊裝置</v>
      </c>
      <c r="Q74" s="37">
        <f>IFERROR(__xludf.DUMMYFUNCTION("""COMPUTED_VALUE"""),36.0)</f>
        <v>36</v>
      </c>
      <c r="R74" s="37">
        <f>IFERROR(__xludf.DUMMYFUNCTION("""COMPUTED_VALUE"""),36.0)</f>
        <v>36</v>
      </c>
      <c r="S74" s="37" t="str">
        <f>IFERROR(__xludf.DUMMYFUNCTION("""COMPUTED_VALUE"""),"NT$45,500")</f>
        <v>NT$45,500</v>
      </c>
      <c r="T74" s="37" t="str">
        <f>IFERROR(__xludf.DUMMYFUNCTION("""COMPUTED_VALUE"""),"A2338 MBP13 (2020) M1/16GBRAM/512GBSSD")</f>
        <v>A2338 MBP13 (2020) M1/16GBRAM/512GBSSD</v>
      </c>
      <c r="U74" s="37"/>
      <c r="V74" s="37"/>
      <c r="W74" s="37"/>
      <c r="X74" s="40" t="str">
        <f>IFERROR(__xludf.DUMMYFUNCTION("""COMPUTED_VALUE"""),"")</f>
        <v/>
      </c>
      <c r="Y74" s="37"/>
      <c r="Z74" s="37"/>
      <c r="AA74" s="37"/>
      <c r="AB74" s="37"/>
      <c r="AC74" s="37"/>
      <c r="AD74" s="37"/>
      <c r="AE74" s="37"/>
      <c r="AF74" s="37"/>
      <c r="AG74" s="37"/>
      <c r="AH74" s="37"/>
    </row>
    <row r="75">
      <c r="B75" s="37"/>
      <c r="C75" s="37" t="str">
        <f>IFERROR(__xludf.DUMMYFUNCTION("""COMPUTED_VALUE"""),"滿三年更換")</f>
        <v>滿三年更換</v>
      </c>
      <c r="D75" s="37" t="str">
        <f>IFERROR(__xludf.DUMMYFUNCTION("""COMPUTED_VALUE"""),"TW")</f>
        <v>TW</v>
      </c>
      <c r="E75" s="37"/>
      <c r="F75" s="37"/>
      <c r="G75" s="37"/>
      <c r="H75" s="44" t="str">
        <f>IFERROR(__xludf.DUMMYFUNCTION("""COMPUTED_VALUE"""),"研發中心:產品設計部:產品設計師團隊")</f>
        <v>研發中心:產品設計部:產品設計師團隊</v>
      </c>
      <c r="I75" s="37" t="str">
        <f>IFERROR(__xludf.DUMMYFUNCTION("""COMPUTED_VALUE"""),"資訊裝置")</f>
        <v>資訊裝置</v>
      </c>
      <c r="J75" s="37" t="str">
        <f>IFERROR(__xludf.DUMMYFUNCTION("""COMPUTED_VALUE"""),"AICHIP02107065")</f>
        <v>AICHIP02107065</v>
      </c>
      <c r="K75" s="37" t="str">
        <f>IFERROR(__xludf.DUMMYFUNCTION("""COMPUTED_VALUE"""),"iPad")</f>
        <v>iPad</v>
      </c>
      <c r="L75" s="37" t="str">
        <f>IFERROR(__xludf.DUMMYFUNCTION("""COMPUTED_VALUE"""),"F9FFQ4P6Q1GD")</f>
        <v>F9FFQ4P6Q1GD</v>
      </c>
      <c r="M75" s="37" t="str">
        <f>IFERROR(__xludf.DUMMYFUNCTION("""COMPUTED_VALUE"""),"翁品潔")</f>
        <v>翁品潔</v>
      </c>
      <c r="N75" s="44">
        <f>IFERROR(__xludf.DUMMYFUNCTION("""COMPUTED_VALUE"""),44398.0)</f>
        <v>44398</v>
      </c>
      <c r="O75" s="40">
        <f>IFERROR(__xludf.DUMMYFUNCTION("""COMPUTED_VALUE"""),9450.0)</f>
        <v>9450</v>
      </c>
      <c r="P75" s="37" t="str">
        <f>IFERROR(__xludf.DUMMYFUNCTION("""COMPUTED_VALUE"""),"資訊裝置")</f>
        <v>資訊裝置</v>
      </c>
      <c r="Q75" s="37">
        <f>IFERROR(__xludf.DUMMYFUNCTION("""COMPUTED_VALUE"""),36.0)</f>
        <v>36</v>
      </c>
      <c r="R75" s="37">
        <f>IFERROR(__xludf.DUMMYFUNCTION("""COMPUTED_VALUE"""),36.0)</f>
        <v>36</v>
      </c>
      <c r="S75" s="37" t="str">
        <f>IFERROR(__xludf.DUMMYFUNCTION("""COMPUTED_VALUE"""),"NT$9,450")</f>
        <v>NT$9,450</v>
      </c>
      <c r="T75" s="37" t="str">
        <f>IFERROR(__xludf.DUMMYFUNCTION("""COMPUTED_VALUE"""),"iPad (第八代) 128GB WiFi(A2270)")</f>
        <v>iPad (第八代) 128GB WiFi(A2270)</v>
      </c>
      <c r="U75" s="37"/>
      <c r="V75" s="37"/>
      <c r="W75" s="37"/>
      <c r="X75" s="40" t="str">
        <f>IFERROR(__xludf.DUMMYFUNCTION("""COMPUTED_VALUE"""),"")</f>
        <v/>
      </c>
      <c r="Y75" s="37"/>
      <c r="Z75" s="37"/>
      <c r="AA75" s="37"/>
      <c r="AB75" s="37"/>
      <c r="AC75" s="37"/>
      <c r="AD75" s="37"/>
      <c r="AE75" s="37"/>
      <c r="AF75" s="37"/>
      <c r="AG75" s="37"/>
      <c r="AH75" s="37"/>
    </row>
    <row r="76">
      <c r="B76" s="37"/>
      <c r="C76" s="37" t="str">
        <f>IFERROR(__xludf.DUMMYFUNCTION("""COMPUTED_VALUE"""),"滿三年更換")</f>
        <v>滿三年更換</v>
      </c>
      <c r="D76" s="37" t="str">
        <f>IFERROR(__xludf.DUMMYFUNCTION("""COMPUTED_VALUE"""),"TW")</f>
        <v>TW</v>
      </c>
      <c r="E76" s="37"/>
      <c r="F76" s="37"/>
      <c r="G76" s="37"/>
      <c r="H76" s="44" t="str">
        <f>IFERROR(__xludf.DUMMYFUNCTION("""COMPUTED_VALUE"""),"研發中心:產品設計部:產品設計師團隊")</f>
        <v>研發中心:產品設計部:產品設計師團隊</v>
      </c>
      <c r="I76" s="37" t="str">
        <f>IFERROR(__xludf.DUMMYFUNCTION("""COMPUTED_VALUE"""),"資訊裝置")</f>
        <v>資訊裝置</v>
      </c>
      <c r="J76" s="37" t="str">
        <f>IFERROR(__xludf.DUMMYFUNCTION("""COMPUTED_VALUE"""),"AICHMN02108102")</f>
        <v>AICHMN02108102</v>
      </c>
      <c r="K76" s="37" t="str">
        <f>IFERROR(__xludf.DUMMYFUNCTION("""COMPUTED_VALUE"""),"螢幕")</f>
        <v>螢幕</v>
      </c>
      <c r="L76" s="37" t="str">
        <f>IFERROR(__xludf.DUMMYFUNCTION("""COMPUTED_VALUE"""),"CN-045BFC-WSL00-163-0038-A04")</f>
        <v>CN-045BFC-WSL00-163-0038-A04</v>
      </c>
      <c r="M76" s="37" t="str">
        <f>IFERROR(__xludf.DUMMYFUNCTION("""COMPUTED_VALUE"""),"翁品潔")</f>
        <v>翁品潔</v>
      </c>
      <c r="N76" s="44">
        <f>IFERROR(__xludf.DUMMYFUNCTION("""COMPUTED_VALUE"""),44418.0)</f>
        <v>44418</v>
      </c>
      <c r="O76" s="40">
        <f>IFERROR(__xludf.DUMMYFUNCTION("""COMPUTED_VALUE"""),11550.0)</f>
        <v>11550</v>
      </c>
      <c r="P76" s="37" t="str">
        <f>IFERROR(__xludf.DUMMYFUNCTION("""COMPUTED_VALUE"""),"資訊裝置")</f>
        <v>資訊裝置</v>
      </c>
      <c r="Q76" s="37">
        <f>IFERROR(__xludf.DUMMYFUNCTION("""COMPUTED_VALUE"""),36.0)</f>
        <v>36</v>
      </c>
      <c r="R76" s="37">
        <f>IFERROR(__xludf.DUMMYFUNCTION("""COMPUTED_VALUE"""),36.0)</f>
        <v>36</v>
      </c>
      <c r="S76" s="37" t="str">
        <f>IFERROR(__xludf.DUMMYFUNCTION("""COMPUTED_VALUE"""),"NT$11,550")</f>
        <v>NT$11,550</v>
      </c>
      <c r="T76" s="37" t="str">
        <f>IFERROR(__xludf.DUMMYFUNCTION("""COMPUTED_VALUE"""),"Dell 24吋 S2421HSX")</f>
        <v>Dell 24吋 S2421HSX</v>
      </c>
      <c r="U76" s="37"/>
      <c r="V76" s="37"/>
      <c r="W76" s="37"/>
      <c r="X76" s="40" t="str">
        <f>IFERROR(__xludf.DUMMYFUNCTION("""COMPUTED_VALUE"""),"")</f>
        <v/>
      </c>
      <c r="Y76" s="37"/>
      <c r="Z76" s="37"/>
      <c r="AA76" s="37"/>
      <c r="AB76" s="37"/>
      <c r="AC76" s="37"/>
      <c r="AD76" s="37"/>
      <c r="AE76" s="37"/>
      <c r="AF76" s="37"/>
      <c r="AG76" s="37"/>
      <c r="AH76" s="37"/>
    </row>
    <row r="77">
      <c r="B77" s="37"/>
      <c r="C77" s="37" t="str">
        <f>IFERROR(__xludf.DUMMYFUNCTION("""COMPUTED_VALUE"""),"滿三年更換")</f>
        <v>滿三年更換</v>
      </c>
      <c r="D77" s="37" t="str">
        <f>IFERROR(__xludf.DUMMYFUNCTION("""COMPUTED_VALUE"""),"TW")</f>
        <v>TW</v>
      </c>
      <c r="E77" s="37"/>
      <c r="F77" s="37"/>
      <c r="G77" s="37"/>
      <c r="H77" s="44" t="str">
        <f>IFERROR(__xludf.DUMMYFUNCTION("""COMPUTED_VALUE"""),"研發中心:軟體工程部:IOS團隊")</f>
        <v>研發中心:軟體工程部:IOS團隊</v>
      </c>
      <c r="I77" s="37" t="str">
        <f>IFERROR(__xludf.DUMMYFUNCTION("""COMPUTED_VALUE"""),"資訊裝置")</f>
        <v>資訊裝置</v>
      </c>
      <c r="J77" s="37" t="str">
        <f>IFERROR(__xludf.DUMMYFUNCTION("""COMPUTED_VALUE"""),"AICHIP02003021")</f>
        <v>AICHIP02003021</v>
      </c>
      <c r="K77" s="37" t="str">
        <f>IFERROR(__xludf.DUMMYFUNCTION("""COMPUTED_VALUE"""),"iPad")</f>
        <v>iPad</v>
      </c>
      <c r="L77" s="37" t="str">
        <f>IFERROR(__xludf.DUMMYFUNCTION("""COMPUTED_VALUE"""),"DMPZKW8AMF3P")</f>
        <v>DMPZKW8AMF3P</v>
      </c>
      <c r="M77" s="37" t="str">
        <f>IFERROR(__xludf.DUMMYFUNCTION("""COMPUTED_VALUE"""),"高宇成")</f>
        <v>高宇成</v>
      </c>
      <c r="N77" s="44">
        <f>IFERROR(__xludf.DUMMYFUNCTION("""COMPUTED_VALUE"""),43900.0)</f>
        <v>43900</v>
      </c>
      <c r="O77" s="40">
        <f>IFERROR(__xludf.DUMMYFUNCTION("""COMPUTED_VALUE"""),9374.0)</f>
        <v>9374</v>
      </c>
      <c r="P77" s="37" t="str">
        <f>IFERROR(__xludf.DUMMYFUNCTION("""COMPUTED_VALUE"""),"資訊裝置")</f>
        <v>資訊裝置</v>
      </c>
      <c r="Q77" s="37">
        <f>IFERROR(__xludf.DUMMYFUNCTION("""COMPUTED_VALUE"""),36.0)</f>
        <v>36</v>
      </c>
      <c r="R77" s="37">
        <f>IFERROR(__xludf.DUMMYFUNCTION("""COMPUTED_VALUE"""),36.0)</f>
        <v>36</v>
      </c>
      <c r="S77" s="37" t="str">
        <f>IFERROR(__xludf.DUMMYFUNCTION("""COMPUTED_VALUE"""),"NT$9,374")</f>
        <v>NT$9,374</v>
      </c>
      <c r="T77" s="37" t="str">
        <f>IFERROR(__xludf.DUMMYFUNCTION("""COMPUTED_VALUE"""),"iPad (第七代) 32GB WIFI(ＭＷ762TA/A)")</f>
        <v>iPad (第七代) 32GB WIFI(ＭＷ762TA/A)</v>
      </c>
      <c r="U77" s="37"/>
      <c r="V77" s="37"/>
      <c r="W77" s="37"/>
      <c r="X77" s="40" t="str">
        <f>IFERROR(__xludf.DUMMYFUNCTION("""COMPUTED_VALUE"""),"")</f>
        <v/>
      </c>
      <c r="Y77" s="37"/>
      <c r="Z77" s="37"/>
      <c r="AA77" s="37"/>
      <c r="AB77" s="37"/>
      <c r="AC77" s="37"/>
      <c r="AD77" s="37"/>
      <c r="AE77" s="37"/>
      <c r="AF77" s="37"/>
      <c r="AG77" s="37"/>
      <c r="AH77" s="37"/>
    </row>
    <row r="78">
      <c r="B78" s="37"/>
      <c r="C78" s="37" t="str">
        <f>IFERROR(__xludf.DUMMYFUNCTION("""COMPUTED_VALUE"""),"滿三年更換")</f>
        <v>滿三年更換</v>
      </c>
      <c r="D78" s="37" t="str">
        <f>IFERROR(__xludf.DUMMYFUNCTION("""COMPUTED_VALUE"""),"TW")</f>
        <v>TW</v>
      </c>
      <c r="E78" s="37"/>
      <c r="F78" s="37"/>
      <c r="G78" s="37"/>
      <c r="H78" s="44" t="str">
        <f>IFERROR(__xludf.DUMMYFUNCTION("""COMPUTED_VALUE"""),"研發中心:軟體工程部:IOS團隊")</f>
        <v>研發中心:軟體工程部:IOS團隊</v>
      </c>
      <c r="I78" s="37" t="str">
        <f>IFERROR(__xludf.DUMMYFUNCTION("""COMPUTED_VALUE"""),"資訊裝置")</f>
        <v>資訊裝置</v>
      </c>
      <c r="J78" s="37" t="str">
        <f>IFERROR(__xludf.DUMMYFUNCTION("""COMPUTED_VALUE"""),"AICHMN01705044")</f>
        <v>AICHMN01705044</v>
      </c>
      <c r="K78" s="37" t="str">
        <f>IFERROR(__xludf.DUMMYFUNCTION("""COMPUTED_VALUE"""),"螢幕")</f>
        <v>螢幕</v>
      </c>
      <c r="L78" s="37" t="str">
        <f>IFERROR(__xludf.DUMMYFUNCTION("""COMPUTED_VALUE"""),"CN-07N2FG-TV100-84J-035S-A07")</f>
        <v>CN-07N2FG-TV100-84J-035S-A07</v>
      </c>
      <c r="M78" s="37" t="str">
        <f>IFERROR(__xludf.DUMMYFUNCTION("""COMPUTED_VALUE"""),"高宇成")</f>
        <v>高宇成</v>
      </c>
      <c r="N78" s="44">
        <f>IFERROR(__xludf.DUMMYFUNCTION("""COMPUTED_VALUE"""),43413.0)</f>
        <v>43413</v>
      </c>
      <c r="O78" s="40">
        <f>IFERROR(__xludf.DUMMYFUNCTION("""COMPUTED_VALUE"""),54700.0)</f>
        <v>54700</v>
      </c>
      <c r="P78" s="37" t="str">
        <f>IFERROR(__xludf.DUMMYFUNCTION("""COMPUTED_VALUE"""),"資訊裝置")</f>
        <v>資訊裝置</v>
      </c>
      <c r="Q78" s="37">
        <f>IFERROR(__xludf.DUMMYFUNCTION("""COMPUTED_VALUE"""),36.0)</f>
        <v>36</v>
      </c>
      <c r="R78" s="37">
        <f>IFERROR(__xludf.DUMMYFUNCTION("""COMPUTED_VALUE"""),36.0)</f>
        <v>36</v>
      </c>
      <c r="S78" s="37" t="str">
        <f>IFERROR(__xludf.DUMMYFUNCTION("""COMPUTED_VALUE"""),"NT$54,700")</f>
        <v>NT$54,700</v>
      </c>
      <c r="T78" s="37" t="str">
        <f>IFERROR(__xludf.DUMMYFUNCTION("""COMPUTED_VALUE"""),"Dell 24吋 U2412Mc")</f>
        <v>Dell 24吋 U2412Mc</v>
      </c>
      <c r="U78" s="37"/>
      <c r="V78" s="37"/>
      <c r="W78" s="37"/>
      <c r="X78" s="40" t="str">
        <f>IFERROR(__xludf.DUMMYFUNCTION("""COMPUTED_VALUE"""),"")</f>
        <v/>
      </c>
      <c r="Y78" s="37"/>
      <c r="Z78" s="37"/>
      <c r="AA78" s="37"/>
      <c r="AB78" s="37"/>
      <c r="AC78" s="37"/>
      <c r="AD78" s="37"/>
      <c r="AE78" s="37"/>
      <c r="AF78" s="37"/>
      <c r="AG78" s="37"/>
      <c r="AH78" s="37"/>
    </row>
    <row r="79">
      <c r="B79" s="37"/>
      <c r="C79" s="37" t="str">
        <f>IFERROR(__xludf.DUMMYFUNCTION("""COMPUTED_VALUE"""),"滿三年更換")</f>
        <v>滿三年更換</v>
      </c>
      <c r="D79" s="37" t="str">
        <f>IFERROR(__xludf.DUMMYFUNCTION("""COMPUTED_VALUE"""),"TW")</f>
        <v>TW</v>
      </c>
      <c r="E79" s="37"/>
      <c r="F79" s="37"/>
      <c r="G79" s="37"/>
      <c r="H79" s="44" t="str">
        <f>IFERROR(__xludf.DUMMYFUNCTION("""COMPUTED_VALUE"""),"研發中心:軟體工程部:IOS團隊")</f>
        <v>研發中心:軟體工程部:IOS團隊</v>
      </c>
      <c r="I79" s="37" t="str">
        <f>IFERROR(__xludf.DUMMYFUNCTION("""COMPUTED_VALUE"""),"資訊裝置")</f>
        <v>資訊裝置</v>
      </c>
      <c r="J79" s="37" t="str">
        <f>IFERROR(__xludf.DUMMYFUNCTION("""COMPUTED_VALUE"""),"AICHMN01904055")</f>
        <v>AICHMN01904055</v>
      </c>
      <c r="K79" s="37" t="str">
        <f>IFERROR(__xludf.DUMMYFUNCTION("""COMPUTED_VALUE"""),"螢幕")</f>
        <v>螢幕</v>
      </c>
      <c r="L79" s="37" t="str">
        <f>IFERROR(__xludf.DUMMYFUNCTION("""COMPUTED_VALUE"""),"CN-07N2FG-TV100-85M-003U-A07")</f>
        <v>CN-07N2FG-TV100-85M-003U-A07</v>
      </c>
      <c r="M79" s="37" t="str">
        <f>IFERROR(__xludf.DUMMYFUNCTION("""COMPUTED_VALUE"""),"高宇成")</f>
        <v>高宇成</v>
      </c>
      <c r="N79" s="44">
        <f>IFERROR(__xludf.DUMMYFUNCTION("""COMPUTED_VALUE"""),42468.0)</f>
        <v>42468</v>
      </c>
      <c r="O79" s="37"/>
      <c r="P79" s="37" t="str">
        <f>IFERROR(__xludf.DUMMYFUNCTION("""COMPUTED_VALUE"""),"資訊裝置")</f>
        <v>資訊裝置</v>
      </c>
      <c r="Q79" s="37">
        <f>IFERROR(__xludf.DUMMYFUNCTION("""COMPUTED_VALUE"""),36.0)</f>
        <v>36</v>
      </c>
      <c r="R79" s="37">
        <f>IFERROR(__xludf.DUMMYFUNCTION("""COMPUTED_VALUE"""),36.0)</f>
        <v>36</v>
      </c>
      <c r="S79" s="37" t="str">
        <f>IFERROR(__xludf.DUMMYFUNCTION("""COMPUTED_VALUE"""),"NT$0")</f>
        <v>NT$0</v>
      </c>
      <c r="T79" s="37" t="str">
        <f>IFERROR(__xludf.DUMMYFUNCTION("""COMPUTED_VALUE"""),"Dell 24吋 U2412Mc")</f>
        <v>Dell 24吋 U2412Mc</v>
      </c>
      <c r="U79" s="37"/>
      <c r="V79" s="37"/>
      <c r="W79" s="37"/>
      <c r="X79" s="40" t="str">
        <f>IFERROR(__xludf.DUMMYFUNCTION("""COMPUTED_VALUE"""),"")</f>
        <v/>
      </c>
      <c r="Y79" s="37"/>
      <c r="Z79" s="37"/>
      <c r="AA79" s="37"/>
      <c r="AB79" s="37"/>
      <c r="AC79" s="37"/>
      <c r="AD79" s="37"/>
      <c r="AE79" s="37"/>
      <c r="AF79" s="37"/>
      <c r="AG79" s="37"/>
      <c r="AH79" s="37"/>
    </row>
    <row r="80">
      <c r="B80" s="37"/>
      <c r="C80" s="37" t="str">
        <f>IFERROR(__xludf.DUMMYFUNCTION("""COMPUTED_VALUE"""),"滿三年更換")</f>
        <v>滿三年更換</v>
      </c>
      <c r="D80" s="37" t="str">
        <f>IFERROR(__xludf.DUMMYFUNCTION("""COMPUTED_VALUE"""),"TW")</f>
        <v>TW</v>
      </c>
      <c r="E80" s="37"/>
      <c r="F80" s="37"/>
      <c r="G80" s="37"/>
      <c r="H80" s="37" t="str">
        <f>IFERROR(__xludf.DUMMYFUNCTION("""COMPUTED_VALUE"""),"行銷營運中心:銷售營運部")</f>
        <v>行銷營運中心:銷售營運部</v>
      </c>
      <c r="I80" s="37" t="str">
        <f>IFERROR(__xludf.DUMMYFUNCTION("""COMPUTED_VALUE"""),"資訊裝置")</f>
        <v>資訊裝置</v>
      </c>
      <c r="J80" s="37" t="str">
        <f>IFERROR(__xludf.DUMMYFUNCTION("""COMPUTED_VALUE"""),"AICHIP01901006")</f>
        <v>AICHIP01901006</v>
      </c>
      <c r="K80" s="37" t="str">
        <f>IFERROR(__xludf.DUMMYFUNCTION("""COMPUTED_VALUE"""),"iPad Air")</f>
        <v>iPad Air</v>
      </c>
      <c r="L80" s="37" t="str">
        <f>IFERROR(__xludf.DUMMYFUNCTION("""COMPUTED_VALUE"""),"DMPRPAQ4G5VV")</f>
        <v>DMPRPAQ4G5VV</v>
      </c>
      <c r="M80" s="37" t="str">
        <f>IFERROR(__xludf.DUMMYFUNCTION("""COMPUTED_VALUE"""),"高克瑋")</f>
        <v>高克瑋</v>
      </c>
      <c r="N80" s="44">
        <f>IFERROR(__xludf.DUMMYFUNCTION("""COMPUTED_VALUE"""),43438.0)</f>
        <v>43438</v>
      </c>
      <c r="O80" s="37"/>
      <c r="P80" s="37" t="str">
        <f>IFERROR(__xludf.DUMMYFUNCTION("""COMPUTED_VALUE"""),"資訊裝置")</f>
        <v>資訊裝置</v>
      </c>
      <c r="Q80" s="37">
        <f>IFERROR(__xludf.DUMMYFUNCTION("""COMPUTED_VALUE"""),36.0)</f>
        <v>36</v>
      </c>
      <c r="R80" s="37">
        <f>IFERROR(__xludf.DUMMYFUNCTION("""COMPUTED_VALUE"""),36.0)</f>
        <v>36</v>
      </c>
      <c r="S80" s="37" t="str">
        <f>IFERROR(__xludf.DUMMYFUNCTION("""COMPUTED_VALUE"""),"NT$0")</f>
        <v>NT$0</v>
      </c>
      <c r="T80" s="37"/>
      <c r="U80" s="37"/>
      <c r="V80" s="37"/>
      <c r="W80" s="37"/>
      <c r="X80" s="40" t="str">
        <f>IFERROR(__xludf.DUMMYFUNCTION("""COMPUTED_VALUE"""),"")</f>
        <v/>
      </c>
      <c r="Y80" s="37"/>
      <c r="Z80" s="37"/>
      <c r="AA80" s="37"/>
      <c r="AB80" s="37"/>
      <c r="AC80" s="37"/>
      <c r="AD80" s="37"/>
      <c r="AE80" s="37"/>
      <c r="AF80" s="37"/>
      <c r="AG80" s="37"/>
      <c r="AH80" s="37"/>
    </row>
    <row r="81">
      <c r="B81" s="37"/>
      <c r="C81" s="37" t="str">
        <f>IFERROR(__xludf.DUMMYFUNCTION("""COMPUTED_VALUE"""),"滿三年更換")</f>
        <v>滿三年更換</v>
      </c>
      <c r="D81" s="37" t="str">
        <f>IFERROR(__xludf.DUMMYFUNCTION("""COMPUTED_VALUE"""),"TW")</f>
        <v>TW</v>
      </c>
      <c r="E81" s="37"/>
      <c r="F81" s="37"/>
      <c r="G81" s="37"/>
      <c r="H81" s="37" t="str">
        <f>IFERROR(__xludf.DUMMYFUNCTION("""COMPUTED_VALUE"""),"行銷營運中心:銷售營運部")</f>
        <v>行銷營運中心:銷售營運部</v>
      </c>
      <c r="I81" s="37" t="str">
        <f>IFERROR(__xludf.DUMMYFUNCTION("""COMPUTED_VALUE"""),"資訊裝置")</f>
        <v>資訊裝置</v>
      </c>
      <c r="J81" s="37" t="str">
        <f>IFERROR(__xludf.DUMMYFUNCTION("""COMPUTED_VALUE"""),"AICHIP01901009")</f>
        <v>AICHIP01901009</v>
      </c>
      <c r="K81" s="37" t="str">
        <f>IFERROR(__xludf.DUMMYFUNCTION("""COMPUTED_VALUE"""),"iPad Air")</f>
        <v>iPad Air</v>
      </c>
      <c r="L81" s="37" t="str">
        <f>IFERROR(__xludf.DUMMYFUNCTION("""COMPUTED_VALUE"""),"DMPX96XRJMVR")</f>
        <v>DMPX96XRJMVR</v>
      </c>
      <c r="M81" s="37" t="str">
        <f>IFERROR(__xludf.DUMMYFUNCTION("""COMPUTED_VALUE"""),"高克瑋")</f>
        <v>高克瑋</v>
      </c>
      <c r="N81" s="44">
        <f>IFERROR(__xludf.DUMMYFUNCTION("""COMPUTED_VALUE"""),43490.0)</f>
        <v>43490</v>
      </c>
      <c r="O81" s="40">
        <f>IFERROR(__xludf.DUMMYFUNCTION("""COMPUTED_VALUE"""),9573.0)</f>
        <v>9573</v>
      </c>
      <c r="P81" s="37" t="str">
        <f>IFERROR(__xludf.DUMMYFUNCTION("""COMPUTED_VALUE"""),"資訊裝置")</f>
        <v>資訊裝置</v>
      </c>
      <c r="Q81" s="37">
        <f>IFERROR(__xludf.DUMMYFUNCTION("""COMPUTED_VALUE"""),36.0)</f>
        <v>36</v>
      </c>
      <c r="R81" s="37">
        <f>IFERROR(__xludf.DUMMYFUNCTION("""COMPUTED_VALUE"""),36.0)</f>
        <v>36</v>
      </c>
      <c r="S81" s="37" t="str">
        <f>IFERROR(__xludf.DUMMYFUNCTION("""COMPUTED_VALUE"""),"NT$9,573")</f>
        <v>NT$9,573</v>
      </c>
      <c r="T81" s="37"/>
      <c r="U81" s="37"/>
      <c r="V81" s="37"/>
      <c r="W81" s="37"/>
      <c r="X81" s="40" t="str">
        <f>IFERROR(__xludf.DUMMYFUNCTION("""COMPUTED_VALUE"""),"")</f>
        <v/>
      </c>
      <c r="Y81" s="37"/>
      <c r="Z81" s="37"/>
      <c r="AA81" s="37"/>
      <c r="AB81" s="37"/>
      <c r="AC81" s="37"/>
      <c r="AD81" s="37"/>
      <c r="AE81" s="37"/>
      <c r="AF81" s="37"/>
      <c r="AG81" s="37"/>
      <c r="AH81" s="37"/>
    </row>
    <row r="82">
      <c r="B82" s="37"/>
      <c r="C82" s="37" t="str">
        <f>IFERROR(__xludf.DUMMYFUNCTION("""COMPUTED_VALUE"""),"滿三年更換")</f>
        <v>滿三年更換</v>
      </c>
      <c r="D82" s="37" t="str">
        <f>IFERROR(__xludf.DUMMYFUNCTION("""COMPUTED_VALUE"""),"TW")</f>
        <v>TW</v>
      </c>
      <c r="E82" s="37"/>
      <c r="F82" s="37"/>
      <c r="G82" s="37"/>
      <c r="H82" s="37" t="str">
        <f>IFERROR(__xludf.DUMMYFUNCTION("""COMPUTED_VALUE"""),"行銷營運中心:銷售營運部")</f>
        <v>行銷營運中心:銷售營運部</v>
      </c>
      <c r="I82" s="37" t="str">
        <f>IFERROR(__xludf.DUMMYFUNCTION("""COMPUTED_VALUE"""),"資訊裝置")</f>
        <v>資訊裝置</v>
      </c>
      <c r="J82" s="37" t="str">
        <f>IFERROR(__xludf.DUMMYFUNCTION("""COMPUTED_VALUE"""),"AICHIP01901010")</f>
        <v>AICHIP01901010</v>
      </c>
      <c r="K82" s="37" t="str">
        <f>IFERROR(__xludf.DUMMYFUNCTION("""COMPUTED_VALUE"""),"iPad Air 6")</f>
        <v>iPad Air 6</v>
      </c>
      <c r="L82" s="37" t="str">
        <f>IFERROR(__xludf.DUMMYFUNCTION("""COMPUTED_VALUE"""),"DMQXH7T9JMVR")</f>
        <v>DMQXH7T9JMVR</v>
      </c>
      <c r="M82" s="37" t="str">
        <f>IFERROR(__xludf.DUMMYFUNCTION("""COMPUTED_VALUE"""),"高克瑋")</f>
        <v>高克瑋</v>
      </c>
      <c r="N82" s="44">
        <f>IFERROR(__xludf.DUMMYFUNCTION("""COMPUTED_VALUE"""),43434.0)</f>
        <v>43434</v>
      </c>
      <c r="O82" s="40">
        <f>IFERROR(__xludf.DUMMYFUNCTION("""COMPUTED_VALUE"""),9549.0)</f>
        <v>9549</v>
      </c>
      <c r="P82" s="37" t="str">
        <f>IFERROR(__xludf.DUMMYFUNCTION("""COMPUTED_VALUE"""),"資訊裝置")</f>
        <v>資訊裝置</v>
      </c>
      <c r="Q82" s="37">
        <f>IFERROR(__xludf.DUMMYFUNCTION("""COMPUTED_VALUE"""),36.0)</f>
        <v>36</v>
      </c>
      <c r="R82" s="37">
        <f>IFERROR(__xludf.DUMMYFUNCTION("""COMPUTED_VALUE"""),36.0)</f>
        <v>36</v>
      </c>
      <c r="S82" s="37" t="str">
        <f>IFERROR(__xludf.DUMMYFUNCTION("""COMPUTED_VALUE"""),"NT$9,549")</f>
        <v>NT$9,549</v>
      </c>
      <c r="T82" s="37"/>
      <c r="U82" s="37"/>
      <c r="V82" s="37"/>
      <c r="W82" s="37"/>
      <c r="X82" s="40" t="str">
        <f>IFERROR(__xludf.DUMMYFUNCTION("""COMPUTED_VALUE"""),"")</f>
        <v/>
      </c>
      <c r="Y82" s="37"/>
      <c r="Z82" s="37"/>
      <c r="AA82" s="37"/>
      <c r="AB82" s="37"/>
      <c r="AC82" s="37"/>
      <c r="AD82" s="37"/>
      <c r="AE82" s="37"/>
      <c r="AF82" s="37"/>
      <c r="AG82" s="37"/>
      <c r="AH82" s="37"/>
    </row>
    <row r="83">
      <c r="B83" s="37"/>
      <c r="C83" s="37" t="str">
        <f>IFERROR(__xludf.DUMMYFUNCTION("""COMPUTED_VALUE"""),"滿三年更換")</f>
        <v>滿三年更換</v>
      </c>
      <c r="D83" s="37" t="str">
        <f>IFERROR(__xludf.DUMMYFUNCTION("""COMPUTED_VALUE"""),"TW")</f>
        <v>TW</v>
      </c>
      <c r="E83" s="37"/>
      <c r="F83" s="37"/>
      <c r="G83" s="37"/>
      <c r="H83" s="37" t="str">
        <f>IFERROR(__xludf.DUMMYFUNCTION("""COMPUTED_VALUE"""),"行銷營運中心:銷售營運部")</f>
        <v>行銷營運中心:銷售營運部</v>
      </c>
      <c r="I83" s="37" t="str">
        <f>IFERROR(__xludf.DUMMYFUNCTION("""COMPUTED_VALUE"""),"資訊裝置")</f>
        <v>資訊裝置</v>
      </c>
      <c r="J83" s="37" t="str">
        <f>IFERROR(__xludf.DUMMYFUNCTION("""COMPUTED_VALUE"""),"AICHIP01901011")</f>
        <v>AICHIP01901011</v>
      </c>
      <c r="K83" s="37" t="str">
        <f>IFERROR(__xludf.DUMMYFUNCTION("""COMPUTED_VALUE"""),"iPad Air 6")</f>
        <v>iPad Air 6</v>
      </c>
      <c r="L83" s="37" t="str">
        <f>IFERROR(__xludf.DUMMYFUNCTION("""COMPUTED_VALUE"""),"DMQXH8MUJMVR")</f>
        <v>DMQXH8MUJMVR</v>
      </c>
      <c r="M83" s="37" t="str">
        <f>IFERROR(__xludf.DUMMYFUNCTION("""COMPUTED_VALUE"""),"高克瑋")</f>
        <v>高克瑋</v>
      </c>
      <c r="N83" s="44">
        <f>IFERROR(__xludf.DUMMYFUNCTION("""COMPUTED_VALUE"""),43434.0)</f>
        <v>43434</v>
      </c>
      <c r="O83" s="40">
        <f>IFERROR(__xludf.DUMMYFUNCTION("""COMPUTED_VALUE"""),9548.0)</f>
        <v>9548</v>
      </c>
      <c r="P83" s="37" t="str">
        <f>IFERROR(__xludf.DUMMYFUNCTION("""COMPUTED_VALUE"""),"資訊裝置")</f>
        <v>資訊裝置</v>
      </c>
      <c r="Q83" s="37">
        <f>IFERROR(__xludf.DUMMYFUNCTION("""COMPUTED_VALUE"""),36.0)</f>
        <v>36</v>
      </c>
      <c r="R83" s="37">
        <f>IFERROR(__xludf.DUMMYFUNCTION("""COMPUTED_VALUE"""),36.0)</f>
        <v>36</v>
      </c>
      <c r="S83" s="37" t="str">
        <f>IFERROR(__xludf.DUMMYFUNCTION("""COMPUTED_VALUE"""),"NT$9,548")</f>
        <v>NT$9,548</v>
      </c>
      <c r="T83" s="37"/>
      <c r="U83" s="37"/>
      <c r="V83" s="37"/>
      <c r="W83" s="37"/>
      <c r="X83" s="40" t="str">
        <f>IFERROR(__xludf.DUMMYFUNCTION("""COMPUTED_VALUE"""),"")</f>
        <v/>
      </c>
      <c r="Y83" s="37"/>
      <c r="Z83" s="37"/>
      <c r="AA83" s="37"/>
      <c r="AB83" s="37"/>
      <c r="AC83" s="37"/>
      <c r="AD83" s="37"/>
      <c r="AE83" s="37"/>
      <c r="AF83" s="37"/>
      <c r="AG83" s="37"/>
      <c r="AH83" s="37"/>
    </row>
    <row r="84">
      <c r="B84" s="37"/>
      <c r="C84" s="37" t="str">
        <f>IFERROR(__xludf.DUMMYFUNCTION("""COMPUTED_VALUE"""),"滿三年更換")</f>
        <v>滿三年更換</v>
      </c>
      <c r="D84" s="37" t="str">
        <f>IFERROR(__xludf.DUMMYFUNCTION("""COMPUTED_VALUE"""),"TW")</f>
        <v>TW</v>
      </c>
      <c r="E84" s="37"/>
      <c r="F84" s="37"/>
      <c r="G84" s="37"/>
      <c r="H84" s="37" t="str">
        <f>IFERROR(__xludf.DUMMYFUNCTION("""COMPUTED_VALUE"""),"行銷營運中心:銷售營運部")</f>
        <v>行銷營運中心:銷售營運部</v>
      </c>
      <c r="I84" s="37" t="str">
        <f>IFERROR(__xludf.DUMMYFUNCTION("""COMPUTED_VALUE"""),"資訊裝置")</f>
        <v>資訊裝置</v>
      </c>
      <c r="J84" s="37" t="str">
        <f>IFERROR(__xludf.DUMMYFUNCTION("""COMPUTED_VALUE"""),"AICHIP02008038")</f>
        <v>AICHIP02008038</v>
      </c>
      <c r="K84" s="37" t="str">
        <f>IFERROR(__xludf.DUMMYFUNCTION("""COMPUTED_VALUE"""),"iPad")</f>
        <v>iPad</v>
      </c>
      <c r="L84" s="37" t="str">
        <f>IFERROR(__xludf.DUMMYFUNCTION("""COMPUTED_VALUE"""),"DMPD18BGMF3P")</f>
        <v>DMPD18BGMF3P</v>
      </c>
      <c r="M84" s="37" t="str">
        <f>IFERROR(__xludf.DUMMYFUNCTION("""COMPUTED_VALUE"""),"高克瑋")</f>
        <v>高克瑋</v>
      </c>
      <c r="N84" s="44">
        <f>IFERROR(__xludf.DUMMYFUNCTION("""COMPUTED_VALUE"""),44074.0)</f>
        <v>44074</v>
      </c>
      <c r="O84" s="40">
        <f>IFERROR(__xludf.DUMMYFUNCTION("""COMPUTED_VALUE"""),9818.0)</f>
        <v>9818</v>
      </c>
      <c r="P84" s="37" t="str">
        <f>IFERROR(__xludf.DUMMYFUNCTION("""COMPUTED_VALUE"""),"資訊裝置")</f>
        <v>資訊裝置</v>
      </c>
      <c r="Q84" s="37">
        <f>IFERROR(__xludf.DUMMYFUNCTION("""COMPUTED_VALUE"""),36.0)</f>
        <v>36</v>
      </c>
      <c r="R84" s="37">
        <f>IFERROR(__xludf.DUMMYFUNCTION("""COMPUTED_VALUE"""),36.0)</f>
        <v>36</v>
      </c>
      <c r="S84" s="37" t="str">
        <f>IFERROR(__xludf.DUMMYFUNCTION("""COMPUTED_VALUE"""),"NT$9,818")</f>
        <v>NT$9,818</v>
      </c>
      <c r="T84" s="37"/>
      <c r="U84" s="37"/>
      <c r="V84" s="37"/>
      <c r="W84" s="37"/>
      <c r="X84" s="40" t="str">
        <f>IFERROR(__xludf.DUMMYFUNCTION("""COMPUTED_VALUE"""),"")</f>
        <v/>
      </c>
      <c r="Y84" s="37"/>
      <c r="Z84" s="37"/>
      <c r="AA84" s="37"/>
      <c r="AB84" s="37"/>
      <c r="AC84" s="37"/>
      <c r="AD84" s="37"/>
      <c r="AE84" s="37"/>
      <c r="AF84" s="37"/>
      <c r="AG84" s="37"/>
      <c r="AH84" s="37"/>
    </row>
    <row r="85">
      <c r="B85" s="37"/>
      <c r="C85" s="37" t="str">
        <f>IFERROR(__xludf.DUMMYFUNCTION("""COMPUTED_VALUE"""),"滿三年更換")</f>
        <v>滿三年更換</v>
      </c>
      <c r="D85" s="37" t="str">
        <f>IFERROR(__xludf.DUMMYFUNCTION("""COMPUTED_VALUE"""),"TW")</f>
        <v>TW</v>
      </c>
      <c r="E85" s="37"/>
      <c r="F85" s="37"/>
      <c r="G85" s="37"/>
      <c r="H85" s="37" t="str">
        <f>IFERROR(__xludf.DUMMYFUNCTION("""COMPUTED_VALUE"""),"行銷營運中心:銷售營運部")</f>
        <v>行銷營運中心:銷售營運部</v>
      </c>
      <c r="I85" s="37" t="str">
        <f>IFERROR(__xludf.DUMMYFUNCTION("""COMPUTED_VALUE"""),"資訊裝置")</f>
        <v>資訊裝置</v>
      </c>
      <c r="J85" s="37" t="str">
        <f>IFERROR(__xludf.DUMMYFUNCTION("""COMPUTED_VALUE"""),"AICHIP02105053")</f>
        <v>AICHIP02105053</v>
      </c>
      <c r="K85" s="37" t="str">
        <f>IFERROR(__xludf.DUMMYFUNCTION("""COMPUTED_VALUE"""),"iPad")</f>
        <v>iPad</v>
      </c>
      <c r="L85" s="37" t="str">
        <f>IFERROR(__xludf.DUMMYFUNCTION("""COMPUTED_VALUE"""),"DMRCNPE8MF3M")</f>
        <v>DMRCNPE8MF3M</v>
      </c>
      <c r="M85" s="37" t="str">
        <f>IFERROR(__xludf.DUMMYFUNCTION("""COMPUTED_VALUE"""),"高克瑋")</f>
        <v>高克瑋</v>
      </c>
      <c r="N85" s="44">
        <f>IFERROR(__xludf.DUMMYFUNCTION("""COMPUTED_VALUE"""),44327.0)</f>
        <v>44327</v>
      </c>
      <c r="O85" s="40">
        <f>IFERROR(__xludf.DUMMYFUNCTION("""COMPUTED_VALUE"""),8641.0)</f>
        <v>8641</v>
      </c>
      <c r="P85" s="37" t="str">
        <f>IFERROR(__xludf.DUMMYFUNCTION("""COMPUTED_VALUE"""),"資訊裝置")</f>
        <v>資訊裝置</v>
      </c>
      <c r="Q85" s="37">
        <f>IFERROR(__xludf.DUMMYFUNCTION("""COMPUTED_VALUE"""),36.0)</f>
        <v>36</v>
      </c>
      <c r="R85" s="37">
        <f>IFERROR(__xludf.DUMMYFUNCTION("""COMPUTED_VALUE"""),36.0)</f>
        <v>36</v>
      </c>
      <c r="S85" s="37" t="str">
        <f>IFERROR(__xludf.DUMMYFUNCTION("""COMPUTED_VALUE"""),"NT$8,641")</f>
        <v>NT$8,641</v>
      </c>
      <c r="T85" s="37"/>
      <c r="U85" s="37"/>
      <c r="V85" s="37"/>
      <c r="W85" s="37"/>
      <c r="X85" s="40" t="str">
        <f>IFERROR(__xludf.DUMMYFUNCTION("""COMPUTED_VALUE"""),"")</f>
        <v/>
      </c>
      <c r="Y85" s="37"/>
      <c r="Z85" s="37"/>
      <c r="AA85" s="37"/>
      <c r="AB85" s="37"/>
      <c r="AC85" s="37"/>
      <c r="AD85" s="37"/>
      <c r="AE85" s="37"/>
      <c r="AF85" s="37"/>
      <c r="AG85" s="37"/>
      <c r="AH85" s="37"/>
    </row>
    <row r="86">
      <c r="B86" s="37"/>
      <c r="C86" s="37" t="str">
        <f>IFERROR(__xludf.DUMMYFUNCTION("""COMPUTED_VALUE"""),"滿三年更換")</f>
        <v>滿三年更換</v>
      </c>
      <c r="D86" s="37" t="str">
        <f>IFERROR(__xludf.DUMMYFUNCTION("""COMPUTED_VALUE"""),"TW")</f>
        <v>TW</v>
      </c>
      <c r="E86" s="37"/>
      <c r="F86" s="37"/>
      <c r="G86" s="37"/>
      <c r="H86" s="37" t="str">
        <f>IFERROR(__xludf.DUMMYFUNCTION("""COMPUTED_VALUE"""),"行銷營運中心:銷售營運部")</f>
        <v>行銷營運中心:銷售營運部</v>
      </c>
      <c r="I86" s="37" t="str">
        <f>IFERROR(__xludf.DUMMYFUNCTION("""COMPUTED_VALUE"""),"資訊裝置")</f>
        <v>資訊裝置</v>
      </c>
      <c r="J86" s="37" t="str">
        <f>IFERROR(__xludf.DUMMYFUNCTION("""COMPUTED_VALUE"""),"AICHMN02009083")</f>
        <v>AICHMN02009083</v>
      </c>
      <c r="K86" s="37" t="str">
        <f>IFERROR(__xludf.DUMMYFUNCTION("""COMPUTED_VALUE"""),"螢幕")</f>
        <v>螢幕</v>
      </c>
      <c r="L86" s="37" t="str">
        <f>IFERROR(__xludf.DUMMYFUNCTION("""COMPUTED_VALUE"""),"CN-0Y2YF1-QDC00-06L-182U-A16")</f>
        <v>CN-0Y2YF1-QDC00-06L-182U-A16</v>
      </c>
      <c r="M86" s="37" t="str">
        <f>IFERROR(__xludf.DUMMYFUNCTION("""COMPUTED_VALUE"""),"高克瑋")</f>
        <v>高克瑋</v>
      </c>
      <c r="N86" s="44">
        <f>IFERROR(__xludf.DUMMYFUNCTION("""COMPUTED_VALUE"""),44081.0)</f>
        <v>44081</v>
      </c>
      <c r="O86" s="37"/>
      <c r="P86" s="37" t="str">
        <f>IFERROR(__xludf.DUMMYFUNCTION("""COMPUTED_VALUE"""),"資訊裝置")</f>
        <v>資訊裝置</v>
      </c>
      <c r="Q86" s="37">
        <f>IFERROR(__xludf.DUMMYFUNCTION("""COMPUTED_VALUE"""),36.0)</f>
        <v>36</v>
      </c>
      <c r="R86" s="37">
        <f>IFERROR(__xludf.DUMMYFUNCTION("""COMPUTED_VALUE"""),36.0)</f>
        <v>36</v>
      </c>
      <c r="S86" s="37" t="str">
        <f>IFERROR(__xludf.DUMMYFUNCTION("""COMPUTED_VALUE"""),"NT$0")</f>
        <v>NT$0</v>
      </c>
      <c r="T86" s="37" t="str">
        <f>IFERROR(__xludf.DUMMYFUNCTION("""COMPUTED_VALUE"""),"Dell 24吋  U2415b")</f>
        <v>Dell 24吋  U2415b</v>
      </c>
      <c r="U86" s="37"/>
      <c r="V86" s="37"/>
      <c r="W86" s="37"/>
      <c r="X86" s="40" t="str">
        <f>IFERROR(__xludf.DUMMYFUNCTION("""COMPUTED_VALUE"""),"")</f>
        <v/>
      </c>
      <c r="Y86" s="37"/>
      <c r="Z86" s="37"/>
      <c r="AA86" s="37"/>
      <c r="AB86" s="37"/>
      <c r="AC86" s="37"/>
      <c r="AD86" s="37"/>
      <c r="AE86" s="37"/>
      <c r="AF86" s="37"/>
      <c r="AG86" s="37"/>
      <c r="AH86" s="37"/>
    </row>
    <row r="87">
      <c r="B87" s="37"/>
      <c r="C87" s="37" t="str">
        <f>IFERROR(__xludf.DUMMYFUNCTION("""COMPUTED_VALUE"""),"滿三年更換")</f>
        <v>滿三年更換</v>
      </c>
      <c r="D87" s="37" t="str">
        <f>IFERROR(__xludf.DUMMYFUNCTION("""COMPUTED_VALUE"""),"TW")</f>
        <v>TW</v>
      </c>
      <c r="E87" s="37"/>
      <c r="F87" s="37"/>
      <c r="G87" s="37"/>
      <c r="H87" s="44" t="str">
        <f>IFERROR(__xludf.DUMMYFUNCTION("""COMPUTED_VALUE"""),"研發中心:軟體工程部:IOS團隊")</f>
        <v>研發中心:軟體工程部:IOS團隊</v>
      </c>
      <c r="I87" s="37" t="str">
        <f>IFERROR(__xludf.DUMMYFUNCTION("""COMPUTED_VALUE"""),"資訊裝置")</f>
        <v>資訊裝置</v>
      </c>
      <c r="J87" s="37" t="str">
        <f>IFERROR(__xludf.DUMMYFUNCTION("""COMPUTED_VALUE"""),"AICHMC01604003")</f>
        <v>AICHMC01604003</v>
      </c>
      <c r="K87" s="37" t="str">
        <f>IFERROR(__xludf.DUMMYFUNCTION("""COMPUTED_VALUE"""),"Mac mini")</f>
        <v>Mac mini</v>
      </c>
      <c r="L87" s="37" t="str">
        <f>IFERROR(__xludf.DUMMYFUNCTION("""COMPUTED_VALUE"""),"C07RF357G1J2")</f>
        <v>C07RF357G1J2</v>
      </c>
      <c r="M87" s="37" t="str">
        <f>IFERROR(__xludf.DUMMYFUNCTION("""COMPUTED_VALUE"""),"高旻暄")</f>
        <v>高旻暄</v>
      </c>
      <c r="N87" s="44">
        <f>IFERROR(__xludf.DUMMYFUNCTION("""COMPUTED_VALUE"""),42468.0)</f>
        <v>42468</v>
      </c>
      <c r="O87" s="40">
        <f>IFERROR(__xludf.DUMMYFUNCTION("""COMPUTED_VALUE"""),81450.0)</f>
        <v>81450</v>
      </c>
      <c r="P87" s="37" t="str">
        <f>IFERROR(__xludf.DUMMYFUNCTION("""COMPUTED_VALUE"""),"資訊裝置")</f>
        <v>資訊裝置</v>
      </c>
      <c r="Q87" s="37">
        <f>IFERROR(__xludf.DUMMYFUNCTION("""COMPUTED_VALUE"""),36.0)</f>
        <v>36</v>
      </c>
      <c r="R87" s="37">
        <f>IFERROR(__xludf.DUMMYFUNCTION("""COMPUTED_VALUE"""),36.0)</f>
        <v>36</v>
      </c>
      <c r="S87" s="37" t="str">
        <f>IFERROR(__xludf.DUMMYFUNCTION("""COMPUTED_VALUE"""),"NT$81,450")</f>
        <v>NT$81,450</v>
      </c>
      <c r="T87" s="37" t="str">
        <f>IFERROR(__xludf.DUMMYFUNCTION("""COMPUTED_VALUE"""),"Macmini(2014)  I5/16GBRAM/")</f>
        <v>Macmini(2014)  I5/16GBRAM/</v>
      </c>
      <c r="U87" s="37"/>
      <c r="V87" s="37"/>
      <c r="W87" s="37"/>
      <c r="X87" s="40" t="str">
        <f>IFERROR(__xludf.DUMMYFUNCTION("""COMPUTED_VALUE"""),"")</f>
        <v/>
      </c>
      <c r="Y87" s="37"/>
      <c r="Z87" s="37"/>
      <c r="AA87" s="37"/>
      <c r="AB87" s="37"/>
      <c r="AC87" s="37"/>
      <c r="AD87" s="37"/>
      <c r="AE87" s="37"/>
      <c r="AF87" s="37"/>
      <c r="AG87" s="37"/>
      <c r="AH87" s="37"/>
    </row>
    <row r="88">
      <c r="B88" s="37"/>
      <c r="C88" s="37" t="str">
        <f>IFERROR(__xludf.DUMMYFUNCTION("""COMPUTED_VALUE"""),"滿三年更換")</f>
        <v>滿三年更換</v>
      </c>
      <c r="D88" s="37" t="str">
        <f>IFERROR(__xludf.DUMMYFUNCTION("""COMPUTED_VALUE"""),"TW")</f>
        <v>TW</v>
      </c>
      <c r="E88" s="37"/>
      <c r="F88" s="37"/>
      <c r="G88" s="37"/>
      <c r="H88" s="44" t="str">
        <f>IFERROR(__xludf.DUMMYFUNCTION("""COMPUTED_VALUE"""),"研發中心:軟體工程部:IOS團隊")</f>
        <v>研發中心:軟體工程部:IOS團隊</v>
      </c>
      <c r="I88" s="37" t="str">
        <f>IFERROR(__xludf.DUMMYFUNCTION("""COMPUTED_VALUE"""),"資訊裝置")</f>
        <v>資訊裝置</v>
      </c>
      <c r="J88" s="37" t="str">
        <f>IFERROR(__xludf.DUMMYFUNCTION("""COMPUTED_VALUE"""),"AICHMC01904007")</f>
        <v>AICHMC01904007</v>
      </c>
      <c r="K88" s="37" t="str">
        <f>IFERROR(__xludf.DUMMYFUNCTION("""COMPUTED_VALUE"""),"Mac mini")</f>
        <v>Mac mini</v>
      </c>
      <c r="L88" s="37" t="str">
        <f>IFERROR(__xludf.DUMMYFUNCTION("""COMPUTED_VALUE"""),"C07YF0JVJYW0")</f>
        <v>C07YF0JVJYW0</v>
      </c>
      <c r="M88" s="37" t="str">
        <f>IFERROR(__xludf.DUMMYFUNCTION("""COMPUTED_VALUE"""),"高旻暄")</f>
        <v>高旻暄</v>
      </c>
      <c r="N88" s="44">
        <f>IFERROR(__xludf.DUMMYFUNCTION("""COMPUTED_VALUE"""),43585.0)</f>
        <v>43585</v>
      </c>
      <c r="O88" s="40">
        <f>IFERROR(__xludf.DUMMYFUNCTION("""COMPUTED_VALUE"""),68300.0)</f>
        <v>68300</v>
      </c>
      <c r="P88" s="37" t="str">
        <f>IFERROR(__xludf.DUMMYFUNCTION("""COMPUTED_VALUE"""),"資訊裝置")</f>
        <v>資訊裝置</v>
      </c>
      <c r="Q88" s="37">
        <f>IFERROR(__xludf.DUMMYFUNCTION("""COMPUTED_VALUE"""),36.0)</f>
        <v>36</v>
      </c>
      <c r="R88" s="37">
        <f>IFERROR(__xludf.DUMMYFUNCTION("""COMPUTED_VALUE"""),36.0)</f>
        <v>36</v>
      </c>
      <c r="S88" s="37" t="str">
        <f>IFERROR(__xludf.DUMMYFUNCTION("""COMPUTED_VALUE"""),"NT$68,300")</f>
        <v>NT$68,300</v>
      </c>
      <c r="T88" s="37" t="str">
        <f>IFERROR(__xludf.DUMMYFUNCTION("""COMPUTED_VALUE"""),"Macmini(2018) I5/16GBRAM/256GBSSD")</f>
        <v>Macmini(2018) I5/16GBRAM/256GBSSD</v>
      </c>
      <c r="U88" s="37"/>
      <c r="V88" s="37"/>
      <c r="W88" s="37"/>
      <c r="X88" s="40" t="str">
        <f>IFERROR(__xludf.DUMMYFUNCTION("""COMPUTED_VALUE"""),"")</f>
        <v/>
      </c>
      <c r="Y88" s="37"/>
      <c r="Z88" s="37"/>
      <c r="AA88" s="37"/>
      <c r="AB88" s="37"/>
      <c r="AC88" s="37"/>
      <c r="AD88" s="37"/>
      <c r="AE88" s="37"/>
      <c r="AF88" s="37"/>
      <c r="AG88" s="37"/>
      <c r="AH88" s="37"/>
    </row>
    <row r="89">
      <c r="B89" s="37"/>
      <c r="C89" s="37" t="str">
        <f>IFERROR(__xludf.DUMMYFUNCTION("""COMPUTED_VALUE"""),"滿三年更換")</f>
        <v>滿三年更換</v>
      </c>
      <c r="D89" s="37" t="str">
        <f>IFERROR(__xludf.DUMMYFUNCTION("""COMPUTED_VALUE"""),"TW")</f>
        <v>TW</v>
      </c>
      <c r="E89" s="37"/>
      <c r="F89" s="37"/>
      <c r="G89" s="37"/>
      <c r="H89" s="44" t="str">
        <f>IFERROR(__xludf.DUMMYFUNCTION("""COMPUTED_VALUE"""),"研發中心:軟體工程部:IOS團隊")</f>
        <v>研發中心:軟體工程部:IOS團隊</v>
      </c>
      <c r="I89" s="37" t="str">
        <f>IFERROR(__xludf.DUMMYFUNCTION("""COMPUTED_VALUE"""),"資訊裝置")</f>
        <v>資訊裝置</v>
      </c>
      <c r="J89" s="37" t="str">
        <f>IFERROR(__xludf.DUMMYFUNCTION("""COMPUTED_VALUE"""),"AICHMC02112015")</f>
        <v>AICHMC02112015</v>
      </c>
      <c r="K89" s="37" t="str">
        <f>IFERROR(__xludf.DUMMYFUNCTION("""COMPUTED_VALUE"""),"Mac mini")</f>
        <v>Mac mini</v>
      </c>
      <c r="L89" s="37" t="str">
        <f>IFERROR(__xludf.DUMMYFUNCTION("""COMPUTED_VALUE"""),"C07GV1WMQ6P0")</f>
        <v>C07GV1WMQ6P0</v>
      </c>
      <c r="M89" s="37" t="str">
        <f>IFERROR(__xludf.DUMMYFUNCTION("""COMPUTED_VALUE"""),"高旻暄")</f>
        <v>高旻暄</v>
      </c>
      <c r="N89" s="44">
        <f>IFERROR(__xludf.DUMMYFUNCTION("""COMPUTED_VALUE"""),44553.0)</f>
        <v>44553</v>
      </c>
      <c r="O89" s="37"/>
      <c r="P89" s="37" t="str">
        <f>IFERROR(__xludf.DUMMYFUNCTION("""COMPUTED_VALUE"""),"資訊裝置")</f>
        <v>資訊裝置</v>
      </c>
      <c r="Q89" s="37">
        <f>IFERROR(__xludf.DUMMYFUNCTION("""COMPUTED_VALUE"""),36.0)</f>
        <v>36</v>
      </c>
      <c r="R89" s="37">
        <f>IFERROR(__xludf.DUMMYFUNCTION("""COMPUTED_VALUE"""),36.0)</f>
        <v>36</v>
      </c>
      <c r="S89" s="37" t="str">
        <f>IFERROR(__xludf.DUMMYFUNCTION("""COMPUTED_VALUE"""),"NT$0")</f>
        <v>NT$0</v>
      </c>
      <c r="T89" s="37" t="str">
        <f>IFERROR(__xludf.DUMMYFUNCTION("""COMPUTED_VALUE"""),"Macmini(2020) M1/16GBRAM")</f>
        <v>Macmini(2020) M1/16GBRAM</v>
      </c>
      <c r="U89" s="37"/>
      <c r="V89" s="37"/>
      <c r="W89" s="37"/>
      <c r="X89" s="40" t="str">
        <f>IFERROR(__xludf.DUMMYFUNCTION("""COMPUTED_VALUE"""),"")</f>
        <v/>
      </c>
      <c r="Y89" s="37"/>
      <c r="Z89" s="37"/>
      <c r="AA89" s="37"/>
      <c r="AB89" s="37"/>
      <c r="AC89" s="37"/>
      <c r="AD89" s="37"/>
      <c r="AE89" s="37"/>
      <c r="AF89" s="37"/>
      <c r="AG89" s="37"/>
      <c r="AH89" s="37"/>
    </row>
    <row r="90">
      <c r="B90" s="37"/>
      <c r="C90" s="37" t="str">
        <f>IFERROR(__xludf.DUMMYFUNCTION("""COMPUTED_VALUE"""),"滿三年更換")</f>
        <v>滿三年更換</v>
      </c>
      <c r="D90" s="37" t="str">
        <f>IFERROR(__xludf.DUMMYFUNCTION("""COMPUTED_VALUE"""),"TW")</f>
        <v>TW</v>
      </c>
      <c r="E90" s="37"/>
      <c r="F90" s="37"/>
      <c r="G90" s="37"/>
      <c r="H90" s="44" t="str">
        <f>IFERROR(__xludf.DUMMYFUNCTION("""COMPUTED_VALUE"""),"研發中心:軟體工程部:IOS團隊")</f>
        <v>研發中心:軟體工程部:IOS團隊</v>
      </c>
      <c r="I90" s="37" t="str">
        <f>IFERROR(__xludf.DUMMYFUNCTION("""COMPUTED_VALUE"""),"資訊裝置")</f>
        <v>資訊裝置</v>
      </c>
      <c r="J90" s="37" t="str">
        <f>IFERROR(__xludf.DUMMYFUNCTION("""COMPUTED_VALUE"""),"AICHMC02112016")</f>
        <v>AICHMC02112016</v>
      </c>
      <c r="K90" s="37" t="str">
        <f>IFERROR(__xludf.DUMMYFUNCTION("""COMPUTED_VALUE"""),"Mac mini")</f>
        <v>Mac mini</v>
      </c>
      <c r="L90" s="37" t="str">
        <f>IFERROR(__xludf.DUMMYFUNCTION("""COMPUTED_VALUE"""),"C07GV1X9Q6P0")</f>
        <v>C07GV1X9Q6P0</v>
      </c>
      <c r="M90" s="37" t="str">
        <f>IFERROR(__xludf.DUMMYFUNCTION("""COMPUTED_VALUE"""),"高旻暄")</f>
        <v>高旻暄</v>
      </c>
      <c r="N90" s="44">
        <f>IFERROR(__xludf.DUMMYFUNCTION("""COMPUTED_VALUE"""),44553.0)</f>
        <v>44553</v>
      </c>
      <c r="O90" s="40">
        <f>IFERROR(__xludf.DUMMYFUNCTION("""COMPUTED_VALUE"""),76550.0)</f>
        <v>76550</v>
      </c>
      <c r="P90" s="37" t="str">
        <f>IFERROR(__xludf.DUMMYFUNCTION("""COMPUTED_VALUE"""),"資訊裝置")</f>
        <v>資訊裝置</v>
      </c>
      <c r="Q90" s="37">
        <f>IFERROR(__xludf.DUMMYFUNCTION("""COMPUTED_VALUE"""),36.0)</f>
        <v>36</v>
      </c>
      <c r="R90" s="37">
        <f>IFERROR(__xludf.DUMMYFUNCTION("""COMPUTED_VALUE"""),36.0)</f>
        <v>36</v>
      </c>
      <c r="S90" s="37" t="str">
        <f>IFERROR(__xludf.DUMMYFUNCTION("""COMPUTED_VALUE"""),"NT$76,550")</f>
        <v>NT$76,550</v>
      </c>
      <c r="T90" s="37" t="str">
        <f>IFERROR(__xludf.DUMMYFUNCTION("""COMPUTED_VALUE"""),"Macmini(2020) M1/16GBRAM")</f>
        <v>Macmini(2020) M1/16GBRAM</v>
      </c>
      <c r="U90" s="37"/>
      <c r="V90" s="37"/>
      <c r="W90" s="37"/>
      <c r="X90" s="40" t="str">
        <f>IFERROR(__xludf.DUMMYFUNCTION("""COMPUTED_VALUE"""),"")</f>
        <v/>
      </c>
      <c r="Y90" s="37"/>
      <c r="Z90" s="37"/>
      <c r="AA90" s="37"/>
      <c r="AB90" s="37"/>
      <c r="AC90" s="37"/>
      <c r="AD90" s="37"/>
      <c r="AE90" s="37"/>
      <c r="AF90" s="37"/>
      <c r="AG90" s="37"/>
      <c r="AH90" s="37"/>
    </row>
    <row r="91">
      <c r="B91" s="37"/>
      <c r="C91" s="37" t="str">
        <f>IFERROR(__xludf.DUMMYFUNCTION("""COMPUTED_VALUE"""),"滿三年更換")</f>
        <v>滿三年更換</v>
      </c>
      <c r="D91" s="37" t="str">
        <f>IFERROR(__xludf.DUMMYFUNCTION("""COMPUTED_VALUE"""),"TW")</f>
        <v>TW</v>
      </c>
      <c r="E91" s="37"/>
      <c r="F91" s="37"/>
      <c r="G91" s="37"/>
      <c r="H91" s="44" t="str">
        <f>IFERROR(__xludf.DUMMYFUNCTION("""COMPUTED_VALUE"""),"研發中心:軟體工程部:IOS團隊")</f>
        <v>研發中心:軟體工程部:IOS團隊</v>
      </c>
      <c r="I91" s="37" t="str">
        <f>IFERROR(__xludf.DUMMYFUNCTION("""COMPUTED_VALUE"""),"資訊裝置")</f>
        <v>資訊裝置</v>
      </c>
      <c r="J91" s="37" t="str">
        <f>IFERROR(__xludf.DUMMYFUNCTION("""COMPUTED_VALUE"""),"AICHMP02201043")</f>
        <v>AICHMP02201043</v>
      </c>
      <c r="K91" s="37" t="str">
        <f>IFERROR(__xludf.DUMMYFUNCTION("""COMPUTED_VALUE"""),"Macbook Pro")</f>
        <v>Macbook Pro</v>
      </c>
      <c r="L91" s="37" t="str">
        <f>IFERROR(__xludf.DUMMYFUNCTION("""COMPUTED_VALUE"""),"YK7XPVC43F")</f>
        <v>YK7XPVC43F</v>
      </c>
      <c r="M91" s="37" t="str">
        <f>IFERROR(__xludf.DUMMYFUNCTION("""COMPUTED_VALUE"""),"高旻暄")</f>
        <v>高旻暄</v>
      </c>
      <c r="N91" s="44">
        <f>IFERROR(__xludf.DUMMYFUNCTION("""COMPUTED_VALUE"""),44587.0)</f>
        <v>44587</v>
      </c>
      <c r="O91" s="40">
        <f>IFERROR(__xludf.DUMMYFUNCTION("""COMPUTED_VALUE"""),81400.0)</f>
        <v>81400</v>
      </c>
      <c r="P91" s="37" t="str">
        <f>IFERROR(__xludf.DUMMYFUNCTION("""COMPUTED_VALUE"""),"資訊裝置")</f>
        <v>資訊裝置</v>
      </c>
      <c r="Q91" s="37">
        <f>IFERROR(__xludf.DUMMYFUNCTION("""COMPUTED_VALUE"""),36.0)</f>
        <v>36</v>
      </c>
      <c r="R91" s="37">
        <f>IFERROR(__xludf.DUMMYFUNCTION("""COMPUTED_VALUE"""),36.0)</f>
        <v>36</v>
      </c>
      <c r="S91" s="37" t="str">
        <f>IFERROR(__xludf.DUMMYFUNCTION("""COMPUTED_VALUE"""),"NT$81,400")</f>
        <v>NT$81,400</v>
      </c>
      <c r="T91" s="37" t="str">
        <f>IFERROR(__xludf.DUMMYFUNCTION("""COMPUTED_VALUE"""),"A2485 MBP16 (2021) M1Max/32GBRAM/512GBSSD")</f>
        <v>A2485 MBP16 (2021) M1Max/32GBRAM/512GBSSD</v>
      </c>
      <c r="U91" s="37"/>
      <c r="V91" s="37"/>
      <c r="W91" s="37"/>
      <c r="X91" s="40" t="str">
        <f>IFERROR(__xludf.DUMMYFUNCTION("""COMPUTED_VALUE"""),"")</f>
        <v/>
      </c>
      <c r="Y91" s="37"/>
      <c r="Z91" s="37"/>
      <c r="AA91" s="37"/>
      <c r="AB91" s="37"/>
      <c r="AC91" s="37"/>
      <c r="AD91" s="37"/>
      <c r="AE91" s="37"/>
      <c r="AF91" s="37"/>
      <c r="AG91" s="37"/>
      <c r="AH91" s="37"/>
    </row>
    <row r="92">
      <c r="B92" s="37"/>
      <c r="C92" s="37" t="str">
        <f>IFERROR(__xludf.DUMMYFUNCTION("""COMPUTED_VALUE"""),"滿三年更換")</f>
        <v>滿三年更換</v>
      </c>
      <c r="D92" s="37" t="str">
        <f>IFERROR(__xludf.DUMMYFUNCTION("""COMPUTED_VALUE"""),"TW")</f>
        <v>TW</v>
      </c>
      <c r="E92" s="37"/>
      <c r="F92" s="37"/>
      <c r="G92" s="37"/>
      <c r="H92" s="44" t="str">
        <f>IFERROR(__xludf.DUMMYFUNCTION("""COMPUTED_VALUE"""),"研發中心:軟體工程部:IOS團隊")</f>
        <v>研發中心:軟體工程部:IOS團隊</v>
      </c>
      <c r="I92" s="37" t="str">
        <f>IFERROR(__xludf.DUMMYFUNCTION("""COMPUTED_VALUE"""),"資訊裝置")</f>
        <v>資訊裝置</v>
      </c>
      <c r="J92" s="37" t="str">
        <f>IFERROR(__xludf.DUMMYFUNCTION("""COMPUTED_VALUE"""),"AICHMP02203045")</f>
        <v>AICHMP02203045</v>
      </c>
      <c r="K92" s="37" t="str">
        <f>IFERROR(__xludf.DUMMYFUNCTION("""COMPUTED_VALUE"""),"Macbook Pro")</f>
        <v>Macbook Pro</v>
      </c>
      <c r="L92" s="37" t="str">
        <f>IFERROR(__xludf.DUMMYFUNCTION("""COMPUTED_VALUE"""),"YC676MH79Y")</f>
        <v>YC676MH79Y</v>
      </c>
      <c r="M92" s="37" t="str">
        <f>IFERROR(__xludf.DUMMYFUNCTION("""COMPUTED_VALUE"""),"高旻暄")</f>
        <v>高旻暄</v>
      </c>
      <c r="N92" s="44">
        <f>IFERROR(__xludf.DUMMYFUNCTION("""COMPUTED_VALUE"""),44629.0)</f>
        <v>44629</v>
      </c>
      <c r="O92" s="40">
        <f>IFERROR(__xludf.DUMMYFUNCTION("""COMPUTED_VALUE"""),68300.0)</f>
        <v>68300</v>
      </c>
      <c r="P92" s="37" t="str">
        <f>IFERROR(__xludf.DUMMYFUNCTION("""COMPUTED_VALUE"""),"資訊裝置")</f>
        <v>資訊裝置</v>
      </c>
      <c r="Q92" s="37">
        <f>IFERROR(__xludf.DUMMYFUNCTION("""COMPUTED_VALUE"""),36.0)</f>
        <v>36</v>
      </c>
      <c r="R92" s="37">
        <f>IFERROR(__xludf.DUMMYFUNCTION("""COMPUTED_VALUE"""),36.0)</f>
        <v>36</v>
      </c>
      <c r="S92" s="37" t="str">
        <f>IFERROR(__xludf.DUMMYFUNCTION("""COMPUTED_VALUE"""),"NT$68,300")</f>
        <v>NT$68,300</v>
      </c>
      <c r="T92" s="37" t="str">
        <f>IFERROR(__xludf.DUMMYFUNCTION("""COMPUTED_VALUE"""),"A2442 MBP14 (2021) M1Pro/32GBRAM/512GBSSD")</f>
        <v>A2442 MBP14 (2021) M1Pro/32GBRAM/512GBSSD</v>
      </c>
      <c r="U92" s="37"/>
      <c r="V92" s="37"/>
      <c r="W92" s="37"/>
      <c r="X92" s="40" t="str">
        <f>IFERROR(__xludf.DUMMYFUNCTION("""COMPUTED_VALUE"""),"")</f>
        <v/>
      </c>
      <c r="Y92" s="37"/>
      <c r="Z92" s="37"/>
      <c r="AA92" s="37"/>
      <c r="AB92" s="37"/>
      <c r="AC92" s="37"/>
      <c r="AD92" s="37"/>
      <c r="AE92" s="37"/>
      <c r="AF92" s="37"/>
      <c r="AG92" s="37"/>
      <c r="AH92" s="37"/>
    </row>
    <row r="93">
      <c r="B93" s="37"/>
      <c r="C93" s="37" t="str">
        <f>IFERROR(__xludf.DUMMYFUNCTION("""COMPUTED_VALUE"""),"滿三年更換")</f>
        <v>滿三年更換</v>
      </c>
      <c r="D93" s="37" t="str">
        <f>IFERROR(__xludf.DUMMYFUNCTION("""COMPUTED_VALUE"""),"TW")</f>
        <v>TW</v>
      </c>
      <c r="E93" s="37"/>
      <c r="F93" s="37"/>
      <c r="G93" s="37"/>
      <c r="H93" s="44" t="str">
        <f>IFERROR(__xludf.DUMMYFUNCTION("""COMPUTED_VALUE"""),"研發中心:軟體工程部:IOS團隊")</f>
        <v>研發中心:軟體工程部:IOS團隊</v>
      </c>
      <c r="I93" s="37" t="str">
        <f>IFERROR(__xludf.DUMMYFUNCTION("""COMPUTED_VALUE"""),"資訊裝置")</f>
        <v>資訊裝置</v>
      </c>
      <c r="J93" s="37" t="str">
        <f>IFERROR(__xludf.DUMMYFUNCTION("""COMPUTED_VALUE"""),"AICHIP02011041")</f>
        <v>AICHIP02011041</v>
      </c>
      <c r="K93" s="37" t="str">
        <f>IFERROR(__xludf.DUMMYFUNCTION("""COMPUTED_VALUE"""),"iPad")</f>
        <v>iPad</v>
      </c>
      <c r="L93" s="37" t="str">
        <f>IFERROR(__xludf.DUMMYFUNCTION("""COMPUTED_VALUE"""),"DMPDC0DTMF3N")</f>
        <v>DMPDC0DTMF3N</v>
      </c>
      <c r="M93" s="37" t="str">
        <f>IFERROR(__xludf.DUMMYFUNCTION("""COMPUTED_VALUE"""),"高旻暄")</f>
        <v>高旻暄</v>
      </c>
      <c r="N93" s="44">
        <f>IFERROR(__xludf.DUMMYFUNCTION("""COMPUTED_VALUE"""),44135.0)</f>
        <v>44135</v>
      </c>
      <c r="O93" s="40">
        <f>IFERROR(__xludf.DUMMYFUNCTION("""COMPUTED_VALUE"""),8901.0)</f>
        <v>8901</v>
      </c>
      <c r="P93" s="37" t="str">
        <f>IFERROR(__xludf.DUMMYFUNCTION("""COMPUTED_VALUE"""),"資訊裝置")</f>
        <v>資訊裝置</v>
      </c>
      <c r="Q93" s="37">
        <f>IFERROR(__xludf.DUMMYFUNCTION("""COMPUTED_VALUE"""),36.0)</f>
        <v>36</v>
      </c>
      <c r="R93" s="37">
        <f>IFERROR(__xludf.DUMMYFUNCTION("""COMPUTED_VALUE"""),36.0)</f>
        <v>36</v>
      </c>
      <c r="S93" s="37" t="str">
        <f>IFERROR(__xludf.DUMMYFUNCTION("""COMPUTED_VALUE"""),"NT$8,901")</f>
        <v>NT$8,901</v>
      </c>
      <c r="T93" s="37" t="str">
        <f>IFERROR(__xludf.DUMMYFUNCTION("""COMPUTED_VALUE"""),"iPad (第七代) 32GB WIFI(MW752TA/A)(A2197)")</f>
        <v>iPad (第七代) 32GB WIFI(MW752TA/A)(A2197)</v>
      </c>
      <c r="U93" s="37"/>
      <c r="V93" s="37"/>
      <c r="W93" s="37"/>
      <c r="X93" s="40" t="str">
        <f>IFERROR(__xludf.DUMMYFUNCTION("""COMPUTED_VALUE"""),"")</f>
        <v/>
      </c>
      <c r="Y93" s="37"/>
      <c r="Z93" s="37"/>
      <c r="AA93" s="37"/>
      <c r="AB93" s="37"/>
      <c r="AC93" s="37"/>
      <c r="AD93" s="37"/>
      <c r="AE93" s="37"/>
      <c r="AF93" s="37"/>
      <c r="AG93" s="37"/>
      <c r="AH93" s="37"/>
    </row>
    <row r="94">
      <c r="B94" s="37"/>
      <c r="C94" s="37" t="str">
        <f>IFERROR(__xludf.DUMMYFUNCTION("""COMPUTED_VALUE"""),"滿三年更換")</f>
        <v>滿三年更換</v>
      </c>
      <c r="D94" s="37" t="str">
        <f>IFERROR(__xludf.DUMMYFUNCTION("""COMPUTED_VALUE"""),"TW")</f>
        <v>TW</v>
      </c>
      <c r="E94" s="37"/>
      <c r="F94" s="37"/>
      <c r="G94" s="37"/>
      <c r="H94" s="44" t="str">
        <f>IFERROR(__xludf.DUMMYFUNCTION("""COMPUTED_VALUE"""),"研發中心:軟體工程部:IOS團隊")</f>
        <v>研發中心:軟體工程部:IOS團隊</v>
      </c>
      <c r="I94" s="37" t="str">
        <f>IFERROR(__xludf.DUMMYFUNCTION("""COMPUTED_VALUE"""),"資訊裝置")</f>
        <v>資訊裝置</v>
      </c>
      <c r="J94" s="37" t="str">
        <f>IFERROR(__xludf.DUMMYFUNCTION("""COMPUTED_VALUE"""),"AICHMN01607036")</f>
        <v>AICHMN01607036</v>
      </c>
      <c r="K94" s="37" t="str">
        <f>IFERROR(__xludf.DUMMYFUNCTION("""COMPUTED_VALUE"""),"螢幕")</f>
        <v>螢幕</v>
      </c>
      <c r="L94" s="37" t="str">
        <f>IFERROR(__xludf.DUMMYFUNCTION("""COMPUTED_VALUE"""),"CN-09TGMK-64180-64M-03SS-A02")</f>
        <v>CN-09TGMK-64180-64M-03SS-A02</v>
      </c>
      <c r="M94" s="37" t="str">
        <f>IFERROR(__xludf.DUMMYFUNCTION("""COMPUTED_VALUE"""),"高旻暄")</f>
        <v>高旻暄</v>
      </c>
      <c r="N94" s="44">
        <f>IFERROR(__xludf.DUMMYFUNCTION("""COMPUTED_VALUE"""),42555.0)</f>
        <v>42555</v>
      </c>
      <c r="O94" s="40">
        <f>IFERROR(__xludf.DUMMYFUNCTION("""COMPUTED_VALUE"""),9450.0)</f>
        <v>9450</v>
      </c>
      <c r="P94" s="37" t="str">
        <f>IFERROR(__xludf.DUMMYFUNCTION("""COMPUTED_VALUE"""),"資訊裝置")</f>
        <v>資訊裝置</v>
      </c>
      <c r="Q94" s="37">
        <f>IFERROR(__xludf.DUMMYFUNCTION("""COMPUTED_VALUE"""),36.0)</f>
        <v>36</v>
      </c>
      <c r="R94" s="37">
        <f>IFERROR(__xludf.DUMMYFUNCTION("""COMPUTED_VALUE"""),36.0)</f>
        <v>36</v>
      </c>
      <c r="S94" s="37" t="str">
        <f>IFERROR(__xludf.DUMMYFUNCTION("""COMPUTED_VALUE"""),"NT$9,450")</f>
        <v>NT$9,450</v>
      </c>
      <c r="T94" s="37" t="str">
        <f>IFERROR(__xludf.DUMMYFUNCTION("""COMPUTED_VALUE"""),"Dell 24吋 U2412Mc")</f>
        <v>Dell 24吋 U2412Mc</v>
      </c>
      <c r="U94" s="37"/>
      <c r="V94" s="37"/>
      <c r="W94" s="37"/>
      <c r="X94" s="40" t="str">
        <f>IFERROR(__xludf.DUMMYFUNCTION("""COMPUTED_VALUE"""),"")</f>
        <v/>
      </c>
      <c r="Y94" s="37"/>
      <c r="Z94" s="37"/>
      <c r="AA94" s="37"/>
      <c r="AB94" s="37"/>
      <c r="AC94" s="37"/>
      <c r="AD94" s="37"/>
      <c r="AE94" s="37"/>
      <c r="AF94" s="37"/>
      <c r="AG94" s="37"/>
      <c r="AH94" s="37"/>
    </row>
    <row r="95">
      <c r="B95" s="37"/>
      <c r="C95" s="37" t="str">
        <f>IFERROR(__xludf.DUMMYFUNCTION("""COMPUTED_VALUE"""),"滿三年更換")</f>
        <v>滿三年更換</v>
      </c>
      <c r="D95" s="37" t="str">
        <f>IFERROR(__xludf.DUMMYFUNCTION("""COMPUTED_VALUE"""),"TW")</f>
        <v>TW</v>
      </c>
      <c r="E95" s="37"/>
      <c r="F95" s="37"/>
      <c r="G95" s="37"/>
      <c r="H95" s="44" t="str">
        <f>IFERROR(__xludf.DUMMYFUNCTION("""COMPUTED_VALUE"""),"研發中心:軟體工程部:IOS團隊")</f>
        <v>研發中心:軟體工程部:IOS團隊</v>
      </c>
      <c r="I95" s="37" t="str">
        <f>IFERROR(__xludf.DUMMYFUNCTION("""COMPUTED_VALUE"""),"資訊裝置")</f>
        <v>資訊裝置</v>
      </c>
      <c r="J95" s="37" t="str">
        <f>IFERROR(__xludf.DUMMYFUNCTION("""COMPUTED_VALUE"""),"AICHMN02207116")</f>
        <v>AICHMN02207116</v>
      </c>
      <c r="K95" s="37" t="str">
        <f>IFERROR(__xludf.DUMMYFUNCTION("""COMPUTED_VALUE"""),"螢幕")</f>
        <v>螢幕</v>
      </c>
      <c r="L95" s="37" t="str">
        <f>IFERROR(__xludf.DUMMYFUNCTION("""COMPUTED_VALUE"""),"N4LMTF079470")</f>
        <v>N4LMTF079470</v>
      </c>
      <c r="M95" s="37" t="str">
        <f>IFERROR(__xludf.DUMMYFUNCTION("""COMPUTED_VALUE"""),"高旻暄")</f>
        <v>高旻暄</v>
      </c>
      <c r="N95" s="44">
        <f>IFERROR(__xludf.DUMMYFUNCTION("""COMPUTED_VALUE"""),44749.0)</f>
        <v>44749</v>
      </c>
      <c r="O95" s="40">
        <f>IFERROR(__xludf.DUMMYFUNCTION("""COMPUTED_VALUE"""),30349.0)</f>
        <v>30349</v>
      </c>
      <c r="P95" s="37" t="str">
        <f>IFERROR(__xludf.DUMMYFUNCTION("""COMPUTED_VALUE"""),"資訊裝置")</f>
        <v>資訊裝置</v>
      </c>
      <c r="Q95" s="37">
        <f>IFERROR(__xludf.DUMMYFUNCTION("""COMPUTED_VALUE"""),36.0)</f>
        <v>36</v>
      </c>
      <c r="R95" s="37">
        <f>IFERROR(__xludf.DUMMYFUNCTION("""COMPUTED_VALUE"""),36.0)</f>
        <v>36</v>
      </c>
      <c r="S95" s="37" t="str">
        <f>IFERROR(__xludf.DUMMYFUNCTION("""COMPUTED_VALUE"""),"NT$30,349")</f>
        <v>NT$30,349</v>
      </c>
      <c r="T95" s="37" t="str">
        <f>IFERROR(__xludf.DUMMYFUNCTION("""COMPUTED_VALUE"""),"ASUS 28吋 VG289")</f>
        <v>ASUS 28吋 VG289</v>
      </c>
      <c r="U95" s="37"/>
      <c r="V95" s="37"/>
      <c r="W95" s="37"/>
      <c r="X95" s="40" t="str">
        <f>IFERROR(__xludf.DUMMYFUNCTION("""COMPUTED_VALUE"""),"")</f>
        <v/>
      </c>
      <c r="Y95" s="37"/>
      <c r="Z95" s="37"/>
      <c r="AA95" s="37"/>
      <c r="AB95" s="37"/>
      <c r="AC95" s="37"/>
      <c r="AD95" s="37"/>
      <c r="AE95" s="37"/>
      <c r="AF95" s="37"/>
      <c r="AG95" s="37"/>
      <c r="AH95" s="37"/>
    </row>
    <row r="96">
      <c r="B96" s="37"/>
      <c r="C96" s="37" t="str">
        <f>IFERROR(__xludf.DUMMYFUNCTION("""COMPUTED_VALUE"""),"滿三年更換")</f>
        <v>滿三年更換</v>
      </c>
      <c r="D96" s="37" t="str">
        <f>IFERROR(__xludf.DUMMYFUNCTION("""COMPUTED_VALUE"""),"TW")</f>
        <v>TW</v>
      </c>
      <c r="E96" s="37"/>
      <c r="F96" s="37"/>
      <c r="G96" s="37"/>
      <c r="H96" s="44" t="str">
        <f>IFERROR(__xludf.DUMMYFUNCTION("""COMPUTED_VALUE"""),"行銷營運中心:銷售營運部:銷售顧問團隊")</f>
        <v>行銷營運中心:銷售營運部:銷售顧問團隊</v>
      </c>
      <c r="I96" s="37" t="str">
        <f>IFERROR(__xludf.DUMMYFUNCTION("""COMPUTED_VALUE"""),"資訊裝置")</f>
        <v>資訊裝置</v>
      </c>
      <c r="J96" s="37" t="str">
        <f>IFERROR(__xludf.DUMMYFUNCTION("""COMPUTED_VALUE"""),"AICHMA02105021")</f>
        <v>AICHMA02105021</v>
      </c>
      <c r="K96" s="37" t="str">
        <f>IFERROR(__xludf.DUMMYFUNCTION("""COMPUTED_VALUE"""),"Macbook Air")</f>
        <v>Macbook Air</v>
      </c>
      <c r="L96" s="37" t="str">
        <f>IFERROR(__xludf.DUMMYFUNCTION("""COMPUTED_VALUE"""),"FVFFP2EGQ6L7")</f>
        <v>FVFFP2EGQ6L7</v>
      </c>
      <c r="M96" s="37" t="str">
        <f>IFERROR(__xludf.DUMMYFUNCTION("""COMPUTED_VALUE"""),"張苡芃")</f>
        <v>張苡芃</v>
      </c>
      <c r="N96" s="44">
        <f>IFERROR(__xludf.DUMMYFUNCTION("""COMPUTED_VALUE"""),44341.0)</f>
        <v>44341</v>
      </c>
      <c r="O96" s="40">
        <f>IFERROR(__xludf.DUMMYFUNCTION("""COMPUTED_VALUE"""),27075.0)</f>
        <v>27075</v>
      </c>
      <c r="P96" s="37" t="str">
        <f>IFERROR(__xludf.DUMMYFUNCTION("""COMPUTED_VALUE"""),"資訊裝置")</f>
        <v>資訊裝置</v>
      </c>
      <c r="Q96" s="37">
        <f>IFERROR(__xludf.DUMMYFUNCTION("""COMPUTED_VALUE"""),36.0)</f>
        <v>36</v>
      </c>
      <c r="R96" s="37">
        <f>IFERROR(__xludf.DUMMYFUNCTION("""COMPUTED_VALUE"""),36.0)</f>
        <v>36</v>
      </c>
      <c r="S96" s="37" t="str">
        <f>IFERROR(__xludf.DUMMYFUNCTION("""COMPUTED_VALUE"""),"NT$27,075")</f>
        <v>NT$27,075</v>
      </c>
      <c r="T96" s="37" t="str">
        <f>IFERROR(__xludf.DUMMYFUNCTION("""COMPUTED_VALUE"""),"MBA13 (2020) M1/8GBRAM/256GBSSD")</f>
        <v>MBA13 (2020) M1/8GBRAM/256GBSSD</v>
      </c>
      <c r="U96" s="37"/>
      <c r="V96" s="37"/>
      <c r="W96" s="37"/>
      <c r="X96" s="40" t="str">
        <f>IFERROR(__xludf.DUMMYFUNCTION("""COMPUTED_VALUE"""),"")</f>
        <v/>
      </c>
      <c r="Y96" s="37"/>
      <c r="Z96" s="37"/>
      <c r="AA96" s="37"/>
      <c r="AB96" s="37"/>
      <c r="AC96" s="37"/>
      <c r="AD96" s="37"/>
      <c r="AE96" s="37"/>
      <c r="AF96" s="37"/>
      <c r="AG96" s="37"/>
      <c r="AH96" s="37"/>
    </row>
    <row r="97">
      <c r="B97" s="37"/>
      <c r="C97" s="37" t="str">
        <f>IFERROR(__xludf.DUMMYFUNCTION("""COMPUTED_VALUE"""),"滿三年更換")</f>
        <v>滿三年更換</v>
      </c>
      <c r="D97" s="37" t="str">
        <f>IFERROR(__xludf.DUMMYFUNCTION("""COMPUTED_VALUE"""),"TW")</f>
        <v>TW</v>
      </c>
      <c r="E97" s="37"/>
      <c r="F97" s="37"/>
      <c r="G97" s="37"/>
      <c r="H97" s="44" t="str">
        <f>IFERROR(__xludf.DUMMYFUNCTION("""COMPUTED_VALUE"""),"研發中心:產品設計部:產品設計師團隊")</f>
        <v>研發中心:產品設計部:產品設計師團隊</v>
      </c>
      <c r="I97" s="37" t="str">
        <f>IFERROR(__xludf.DUMMYFUNCTION("""COMPUTED_VALUE"""),"資訊裝置")</f>
        <v>資訊裝置</v>
      </c>
      <c r="J97" s="37" t="str">
        <f>IFERROR(__xludf.DUMMYFUNCTION("""COMPUTED_VALUE"""),"AICHIP02107075")</f>
        <v>AICHIP02107075</v>
      </c>
      <c r="K97" s="37" t="str">
        <f>IFERROR(__xludf.DUMMYFUNCTION("""COMPUTED_VALUE"""),"iPad")</f>
        <v>iPad</v>
      </c>
      <c r="L97" s="37" t="str">
        <f>IFERROR(__xludf.DUMMYFUNCTION("""COMPUTED_VALUE"""),"F9FFVGM5Q1GF")</f>
        <v>F9FFVGM5Q1GF</v>
      </c>
      <c r="M97" s="37" t="str">
        <f>IFERROR(__xludf.DUMMYFUNCTION("""COMPUTED_VALUE"""),"張凱評")</f>
        <v>張凱評</v>
      </c>
      <c r="N97" s="44">
        <f>IFERROR(__xludf.DUMMYFUNCTION("""COMPUTED_VALUE"""),44400.0)</f>
        <v>44400</v>
      </c>
      <c r="O97" s="40">
        <f>IFERROR(__xludf.DUMMYFUNCTION("""COMPUTED_VALUE"""),9450.0)</f>
        <v>9450</v>
      </c>
      <c r="P97" s="37" t="str">
        <f>IFERROR(__xludf.DUMMYFUNCTION("""COMPUTED_VALUE"""),"資訊裝置")</f>
        <v>資訊裝置</v>
      </c>
      <c r="Q97" s="37">
        <f>IFERROR(__xludf.DUMMYFUNCTION("""COMPUTED_VALUE"""),36.0)</f>
        <v>36</v>
      </c>
      <c r="R97" s="37">
        <f>IFERROR(__xludf.DUMMYFUNCTION("""COMPUTED_VALUE"""),36.0)</f>
        <v>36</v>
      </c>
      <c r="S97" s="37" t="str">
        <f>IFERROR(__xludf.DUMMYFUNCTION("""COMPUTED_VALUE"""),"NT$9,450")</f>
        <v>NT$9,450</v>
      </c>
      <c r="T97" s="37" t="str">
        <f>IFERROR(__xludf.DUMMYFUNCTION("""COMPUTED_VALUE"""),"iPad (第八代) 32GB WIFI(MYLC2TA/A)")</f>
        <v>iPad (第八代) 32GB WIFI(MYLC2TA/A)</v>
      </c>
      <c r="U97" s="37"/>
      <c r="V97" s="37"/>
      <c r="W97" s="37"/>
      <c r="X97" s="40" t="str">
        <f>IFERROR(__xludf.DUMMYFUNCTION("""COMPUTED_VALUE"""),"")</f>
        <v/>
      </c>
      <c r="Y97" s="37"/>
      <c r="Z97" s="37"/>
      <c r="AA97" s="37"/>
      <c r="AB97" s="37"/>
      <c r="AC97" s="37"/>
      <c r="AD97" s="37"/>
      <c r="AE97" s="37"/>
      <c r="AF97" s="37"/>
      <c r="AG97" s="37"/>
      <c r="AH97" s="37"/>
    </row>
    <row r="98">
      <c r="B98" s="37"/>
      <c r="C98" s="37" t="str">
        <f>IFERROR(__xludf.DUMMYFUNCTION("""COMPUTED_VALUE"""),"滿三年更換")</f>
        <v>滿三年更換</v>
      </c>
      <c r="D98" s="37" t="str">
        <f>IFERROR(__xludf.DUMMYFUNCTION("""COMPUTED_VALUE"""),"TW")</f>
        <v>TW</v>
      </c>
      <c r="E98" s="37"/>
      <c r="F98" s="37"/>
      <c r="G98" s="37"/>
      <c r="H98" s="44" t="str">
        <f>IFERROR(__xludf.DUMMYFUNCTION("""COMPUTED_VALUE"""),"研發中心:產品設計部:產品設計師團隊")</f>
        <v>研發中心:產品設計部:產品設計師團隊</v>
      </c>
      <c r="I98" s="37" t="str">
        <f>IFERROR(__xludf.DUMMYFUNCTION("""COMPUTED_VALUE"""),"資訊裝置")</f>
        <v>資訊裝置</v>
      </c>
      <c r="J98" s="37" t="str">
        <f>IFERROR(__xludf.DUMMYFUNCTION("""COMPUTED_VALUE"""),"AICHMN02206115")</f>
        <v>AICHMN02206115</v>
      </c>
      <c r="K98" s="37" t="str">
        <f>IFERROR(__xludf.DUMMYFUNCTION("""COMPUTED_VALUE"""),"螢幕")</f>
        <v>螢幕</v>
      </c>
      <c r="L98" s="37" t="str">
        <f>IFERROR(__xludf.DUMMYFUNCTION("""COMPUTED_VALUE"""),"PDRM8JA002727")</f>
        <v>PDRM8JA002727</v>
      </c>
      <c r="M98" s="37" t="str">
        <f>IFERROR(__xludf.DUMMYFUNCTION("""COMPUTED_VALUE"""),"張凱評")</f>
        <v>張凱評</v>
      </c>
      <c r="N98" s="44">
        <f>IFERROR(__xludf.DUMMYFUNCTION("""COMPUTED_VALUE"""),44740.0)</f>
        <v>44740</v>
      </c>
      <c r="O98" s="40">
        <f>IFERROR(__xludf.DUMMYFUNCTION("""COMPUTED_VALUE"""),69739.0)</f>
        <v>69739</v>
      </c>
      <c r="P98" s="37" t="str">
        <f>IFERROR(__xludf.DUMMYFUNCTION("""COMPUTED_VALUE"""),"資訊裝置")</f>
        <v>資訊裝置</v>
      </c>
      <c r="Q98" s="37">
        <f>IFERROR(__xludf.DUMMYFUNCTION("""COMPUTED_VALUE"""),36.0)</f>
        <v>36</v>
      </c>
      <c r="R98" s="37">
        <f>IFERROR(__xludf.DUMMYFUNCTION("""COMPUTED_VALUE"""),36.0)</f>
        <v>36</v>
      </c>
      <c r="S98" s="37" t="str">
        <f>IFERROR(__xludf.DUMMYFUNCTION("""COMPUTED_VALUE"""),"NT$69,739")</f>
        <v>NT$69,739</v>
      </c>
      <c r="T98" s="37" t="str">
        <f>IFERROR(__xludf.DUMMYFUNCTION("""COMPUTED_VALUE"""),"AOC 28吋 U28P2U")</f>
        <v>AOC 28吋 U28P2U</v>
      </c>
      <c r="U98" s="37"/>
      <c r="V98" s="37"/>
      <c r="W98" s="37"/>
      <c r="X98" s="40" t="str">
        <f>IFERROR(__xludf.DUMMYFUNCTION("""COMPUTED_VALUE"""),"")</f>
        <v/>
      </c>
      <c r="Y98" s="37"/>
      <c r="Z98" s="37"/>
      <c r="AA98" s="37"/>
      <c r="AB98" s="37"/>
      <c r="AC98" s="37"/>
      <c r="AD98" s="37"/>
      <c r="AE98" s="37"/>
      <c r="AF98" s="37"/>
      <c r="AG98" s="37"/>
      <c r="AH98" s="37"/>
    </row>
    <row r="99">
      <c r="B99" s="37"/>
      <c r="C99" s="37" t="str">
        <f>IFERROR(__xludf.DUMMYFUNCTION("""COMPUTED_VALUE"""),"滿三年更換")</f>
        <v>滿三年更換</v>
      </c>
      <c r="D99" s="37" t="str">
        <f>IFERROR(__xludf.DUMMYFUNCTION("""COMPUTED_VALUE"""),"TW")</f>
        <v>TW</v>
      </c>
      <c r="E99" s="37"/>
      <c r="F99" s="37"/>
      <c r="G99" s="37"/>
      <c r="H99" s="44" t="str">
        <f>IFERROR(__xludf.DUMMYFUNCTION("""COMPUTED_VALUE"""),"研發中心:軟體工程部:前端團隊")</f>
        <v>研發中心:軟體工程部:前端團隊</v>
      </c>
      <c r="I99" s="37" t="str">
        <f>IFERROR(__xludf.DUMMYFUNCTION("""COMPUTED_VALUE"""),"資訊裝置")</f>
        <v>資訊裝置</v>
      </c>
      <c r="J99" s="37" t="str">
        <f>IFERROR(__xludf.DUMMYFUNCTION("""COMPUTED_VALUE"""),"AICHIP01704002")</f>
        <v>AICHIP01704002</v>
      </c>
      <c r="K99" s="37" t="str">
        <f>IFERROR(__xludf.DUMMYFUNCTION("""COMPUTED_VALUE"""),"iPad Air 2")</f>
        <v>iPad Air 2</v>
      </c>
      <c r="L99" s="37" t="str">
        <f>IFERROR(__xludf.DUMMYFUNCTION("""COMPUTED_VALUE"""),"DMPR835VG5VV")</f>
        <v>DMPR835VG5VV</v>
      </c>
      <c r="M99" s="37" t="str">
        <f>IFERROR(__xludf.DUMMYFUNCTION("""COMPUTED_VALUE"""),"張登皓")</f>
        <v>張登皓</v>
      </c>
      <c r="N99" s="44">
        <f>IFERROR(__xludf.DUMMYFUNCTION("""COMPUTED_VALUE"""),42855.0)</f>
        <v>42855</v>
      </c>
      <c r="O99" s="40">
        <f>IFERROR(__xludf.DUMMYFUNCTION("""COMPUTED_VALUE"""),5417.0)</f>
        <v>5417</v>
      </c>
      <c r="P99" s="37" t="str">
        <f>IFERROR(__xludf.DUMMYFUNCTION("""COMPUTED_VALUE"""),"資訊裝置")</f>
        <v>資訊裝置</v>
      </c>
      <c r="Q99" s="37">
        <f>IFERROR(__xludf.DUMMYFUNCTION("""COMPUTED_VALUE"""),36.0)</f>
        <v>36</v>
      </c>
      <c r="R99" s="37">
        <f>IFERROR(__xludf.DUMMYFUNCTION("""COMPUTED_VALUE"""),36.0)</f>
        <v>36</v>
      </c>
      <c r="S99" s="37" t="str">
        <f>IFERROR(__xludf.DUMMYFUNCTION("""COMPUTED_VALUE"""),"NT$5,417")</f>
        <v>NT$5,417</v>
      </c>
      <c r="T99" s="37" t="str">
        <f>IFERROR(__xludf.DUMMYFUNCTION("""COMPUTED_VALUE"""),"iPad Air 2 16GB WIFI(A1566)")</f>
        <v>iPad Air 2 16GB WIFI(A1566)</v>
      </c>
      <c r="U99" s="37"/>
      <c r="V99" s="37"/>
      <c r="W99" s="37"/>
      <c r="X99" s="40" t="str">
        <f>IFERROR(__xludf.DUMMYFUNCTION("""COMPUTED_VALUE"""),"")</f>
        <v/>
      </c>
      <c r="Y99" s="37"/>
      <c r="Z99" s="37"/>
      <c r="AA99" s="37"/>
      <c r="AB99" s="37"/>
      <c r="AC99" s="37"/>
      <c r="AD99" s="37"/>
      <c r="AE99" s="37"/>
      <c r="AF99" s="37"/>
      <c r="AG99" s="37"/>
      <c r="AH99" s="37"/>
    </row>
    <row r="100">
      <c r="B100" s="37"/>
      <c r="C100" s="37" t="str">
        <f>IFERROR(__xludf.DUMMYFUNCTION("""COMPUTED_VALUE"""),"滿三年更換")</f>
        <v>滿三年更換</v>
      </c>
      <c r="D100" s="37" t="str">
        <f>IFERROR(__xludf.DUMMYFUNCTION("""COMPUTED_VALUE"""),"TW")</f>
        <v>TW</v>
      </c>
      <c r="E100" s="37"/>
      <c r="F100" s="37"/>
      <c r="G100" s="37"/>
      <c r="H100" s="44" t="str">
        <f>IFERROR(__xludf.DUMMYFUNCTION("""COMPUTED_VALUE"""),"研發中心:軟體工程部:前端團隊")</f>
        <v>研發中心:軟體工程部:前端團隊</v>
      </c>
      <c r="I100" s="37" t="str">
        <f>IFERROR(__xludf.DUMMYFUNCTION("""COMPUTED_VALUE"""),"資訊裝置")</f>
        <v>資訊裝置</v>
      </c>
      <c r="J100" s="37" t="str">
        <f>IFERROR(__xludf.DUMMYFUNCTION("""COMPUTED_VALUE"""),"AICHMN01604029")</f>
        <v>AICHMN01604029</v>
      </c>
      <c r="K100" s="37" t="str">
        <f>IFERROR(__xludf.DUMMYFUNCTION("""COMPUTED_VALUE"""),"螢幕")</f>
        <v>螢幕</v>
      </c>
      <c r="L100" s="37" t="str">
        <f>IFERROR(__xludf.DUMMYFUNCTION("""COMPUTED_VALUE"""),"CN-0YR48V-74261-23Q-302L")</f>
        <v>CN-0YR48V-74261-23Q-302L</v>
      </c>
      <c r="M100" s="37" t="str">
        <f>IFERROR(__xludf.DUMMYFUNCTION("""COMPUTED_VALUE"""),"張登皓")</f>
        <v>張登皓</v>
      </c>
      <c r="N100" s="44">
        <f>IFERROR(__xludf.DUMMYFUNCTION("""COMPUTED_VALUE"""),42468.0)</f>
        <v>42468</v>
      </c>
      <c r="O100" s="37"/>
      <c r="P100" s="37" t="str">
        <f>IFERROR(__xludf.DUMMYFUNCTION("""COMPUTED_VALUE"""),"資訊裝置")</f>
        <v>資訊裝置</v>
      </c>
      <c r="Q100" s="37">
        <f>IFERROR(__xludf.DUMMYFUNCTION("""COMPUTED_VALUE"""),36.0)</f>
        <v>36</v>
      </c>
      <c r="R100" s="37">
        <f>IFERROR(__xludf.DUMMYFUNCTION("""COMPUTED_VALUE"""),36.0)</f>
        <v>36</v>
      </c>
      <c r="S100" s="37" t="str">
        <f>IFERROR(__xludf.DUMMYFUNCTION("""COMPUTED_VALUE"""),"NT$0")</f>
        <v>NT$0</v>
      </c>
      <c r="T100" s="37" t="str">
        <f>IFERROR(__xludf.DUMMYFUNCTION("""COMPUTED_VALUE"""),"Dell 24吋 U2412Mb")</f>
        <v>Dell 24吋 U2412Mb</v>
      </c>
      <c r="U100" s="37"/>
      <c r="V100" s="37"/>
      <c r="W100" s="37"/>
      <c r="X100" s="40" t="str">
        <f>IFERROR(__xludf.DUMMYFUNCTION("""COMPUTED_VALUE"""),"")</f>
        <v/>
      </c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</row>
    <row r="101">
      <c r="B101" s="37"/>
      <c r="C101" s="37" t="str">
        <f>IFERROR(__xludf.DUMMYFUNCTION("""COMPUTED_VALUE"""),"滿三年更換")</f>
        <v>滿三年更換</v>
      </c>
      <c r="D101" s="37" t="str">
        <f>IFERROR(__xludf.DUMMYFUNCTION("""COMPUTED_VALUE"""),"TW")</f>
        <v>TW</v>
      </c>
      <c r="E101" s="37"/>
      <c r="F101" s="37"/>
      <c r="G101" s="37"/>
      <c r="H101" s="44" t="str">
        <f>IFERROR(__xludf.DUMMYFUNCTION("""COMPUTED_VALUE"""),"研發中心:軟體工程部:前端團隊")</f>
        <v>研發中心:軟體工程部:前端團隊</v>
      </c>
      <c r="I101" s="37" t="str">
        <f>IFERROR(__xludf.DUMMYFUNCTION("""COMPUTED_VALUE"""),"資訊裝置")</f>
        <v>資訊裝置</v>
      </c>
      <c r="J101" s="37" t="str">
        <f>IFERROR(__xludf.DUMMYFUNCTION("""COMPUTED_VALUE"""),"AICHMN02201109")</f>
        <v>AICHMN02201109</v>
      </c>
      <c r="K101" s="37" t="str">
        <f>IFERROR(__xludf.DUMMYFUNCTION("""COMPUTED_VALUE"""),"螢幕")</f>
        <v>螢幕</v>
      </c>
      <c r="L101" s="37" t="str">
        <f>IFERROR(__xludf.DUMMYFUNCTION("""COMPUTED_VALUE"""),"M9LMTF279775")</f>
        <v>M9LMTF279775</v>
      </c>
      <c r="M101" s="37" t="str">
        <f>IFERROR(__xludf.DUMMYFUNCTION("""COMPUTED_VALUE"""),"張登皓")</f>
        <v>張登皓</v>
      </c>
      <c r="N101" s="44">
        <f>IFERROR(__xludf.DUMMYFUNCTION("""COMPUTED_VALUE"""),44573.0)</f>
        <v>44573</v>
      </c>
      <c r="O101" s="40">
        <f>IFERROR(__xludf.DUMMYFUNCTION("""COMPUTED_VALUE"""),9375.0)</f>
        <v>9375</v>
      </c>
      <c r="P101" s="37" t="str">
        <f>IFERROR(__xludf.DUMMYFUNCTION("""COMPUTED_VALUE"""),"資訊裝置")</f>
        <v>資訊裝置</v>
      </c>
      <c r="Q101" s="37">
        <f>IFERROR(__xludf.DUMMYFUNCTION("""COMPUTED_VALUE"""),36.0)</f>
        <v>36</v>
      </c>
      <c r="R101" s="37">
        <f>IFERROR(__xludf.DUMMYFUNCTION("""COMPUTED_VALUE"""),36.0)</f>
        <v>36</v>
      </c>
      <c r="S101" s="37" t="str">
        <f>IFERROR(__xludf.DUMMYFUNCTION("""COMPUTED_VALUE"""),"NT$9,375")</f>
        <v>NT$9,375</v>
      </c>
      <c r="T101" s="37" t="str">
        <f>IFERROR(__xludf.DUMMYFUNCTION("""COMPUTED_VALUE"""),"ASUS 28吋 VG289Q")</f>
        <v>ASUS 28吋 VG289Q</v>
      </c>
      <c r="U101" s="37"/>
      <c r="V101" s="37"/>
      <c r="W101" s="37"/>
      <c r="X101" s="40" t="str">
        <f>IFERROR(__xludf.DUMMYFUNCTION("""COMPUTED_VALUE"""),"")</f>
        <v/>
      </c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</row>
    <row r="102">
      <c r="B102" s="37"/>
      <c r="C102" s="37" t="str">
        <f>IFERROR(__xludf.DUMMYFUNCTION("""COMPUTED_VALUE"""),"滿三年更換")</f>
        <v>滿三年更換</v>
      </c>
      <c r="D102" s="37" t="str">
        <f>IFERROR(__xludf.DUMMYFUNCTION("""COMPUTED_VALUE"""),"TW")</f>
        <v>TW</v>
      </c>
      <c r="E102" s="37"/>
      <c r="F102" s="37"/>
      <c r="G102" s="37"/>
      <c r="H102" s="44" t="str">
        <f>IFERROR(__xludf.DUMMYFUNCTION("""COMPUTED_VALUE"""),"研發中心:產品設計部:產品設計師團隊")</f>
        <v>研發中心:產品設計部:產品設計師團隊</v>
      </c>
      <c r="I102" s="37" t="str">
        <f>IFERROR(__xludf.DUMMYFUNCTION("""COMPUTED_VALUE"""),"資訊裝置")</f>
        <v>資訊裝置</v>
      </c>
      <c r="J102" s="37" t="str">
        <f>IFERROR(__xludf.DUMMYFUNCTION("""COMPUTED_VALUE"""),"AICHIP02105059")</f>
        <v>AICHIP02105059</v>
      </c>
      <c r="K102" s="37" t="str">
        <f>IFERROR(__xludf.DUMMYFUNCTION("""COMPUTED_VALUE"""),"iPad")</f>
        <v>iPad</v>
      </c>
      <c r="L102" s="37" t="str">
        <f>IFERROR(__xludf.DUMMYFUNCTION("""COMPUTED_VALUE"""),"DMPD9R9DMF3P")</f>
        <v>DMPD9R9DMF3P</v>
      </c>
      <c r="M102" s="37" t="str">
        <f>IFERROR(__xludf.DUMMYFUNCTION("""COMPUTED_VALUE"""),"張雅雯")</f>
        <v>張雅雯</v>
      </c>
      <c r="N102" s="44">
        <f>IFERROR(__xludf.DUMMYFUNCTION("""COMPUTED_VALUE"""),44341.0)</f>
        <v>44341</v>
      </c>
      <c r="O102" s="40">
        <f>IFERROR(__xludf.DUMMYFUNCTION("""COMPUTED_VALUE"""),8700.0)</f>
        <v>8700</v>
      </c>
      <c r="P102" s="37" t="str">
        <f>IFERROR(__xludf.DUMMYFUNCTION("""COMPUTED_VALUE"""),"資訊裝置")</f>
        <v>資訊裝置</v>
      </c>
      <c r="Q102" s="37">
        <f>IFERROR(__xludf.DUMMYFUNCTION("""COMPUTED_VALUE"""),36.0)</f>
        <v>36</v>
      </c>
      <c r="R102" s="37">
        <f>IFERROR(__xludf.DUMMYFUNCTION("""COMPUTED_VALUE"""),36.0)</f>
        <v>36</v>
      </c>
      <c r="S102" s="37" t="str">
        <f>IFERROR(__xludf.DUMMYFUNCTION("""COMPUTED_VALUE"""),"NT$8,700")</f>
        <v>NT$8,700</v>
      </c>
      <c r="T102" s="37" t="str">
        <f>IFERROR(__xludf.DUMMYFUNCTION("""COMPUTED_VALUE"""),"iPad (第七代) 32GB WiFi (A2197)")</f>
        <v>iPad (第七代) 32GB WiFi (A2197)</v>
      </c>
      <c r="U102" s="37"/>
      <c r="V102" s="37"/>
      <c r="W102" s="37"/>
      <c r="X102" s="40" t="str">
        <f>IFERROR(__xludf.DUMMYFUNCTION("""COMPUTED_VALUE"""),"")</f>
        <v/>
      </c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</row>
    <row r="103">
      <c r="B103" s="37"/>
      <c r="C103" s="37" t="str">
        <f>IFERROR(__xludf.DUMMYFUNCTION("""COMPUTED_VALUE"""),"滿三年更換")</f>
        <v>滿三年更換</v>
      </c>
      <c r="D103" s="37" t="str">
        <f>IFERROR(__xludf.DUMMYFUNCTION("""COMPUTED_VALUE"""),"TW")</f>
        <v>TW</v>
      </c>
      <c r="E103" s="37"/>
      <c r="F103" s="37"/>
      <c r="G103" s="37"/>
      <c r="H103" s="37" t="str">
        <f>IFERROR(__xludf.DUMMYFUNCTION("""COMPUTED_VALUE"""),"策略資料中心:數據管理部")</f>
        <v>策略資料中心:數據管理部</v>
      </c>
      <c r="I103" s="37" t="str">
        <f>IFERROR(__xludf.DUMMYFUNCTION("""COMPUTED_VALUE"""),"資訊裝置")</f>
        <v>資訊裝置</v>
      </c>
      <c r="J103" s="37" t="str">
        <f>IFERROR(__xludf.DUMMYFUNCTION("""COMPUTED_VALUE"""),"AICHMC01604001")</f>
        <v>AICHMC01604001</v>
      </c>
      <c r="K103" s="37" t="str">
        <f>IFERROR(__xludf.DUMMYFUNCTION("""COMPUTED_VALUE"""),"iMac")</f>
        <v>iMac</v>
      </c>
      <c r="L103" s="37" t="str">
        <f>IFERROR(__xludf.DUMMYFUNCTION("""COMPUTED_VALUE"""),"C02RC01BGG80")</f>
        <v>C02RC01BGG80</v>
      </c>
      <c r="M103" s="37" t="str">
        <f>IFERROR(__xludf.DUMMYFUNCTION("""COMPUTED_VALUE"""),"張藝瀚")</f>
        <v>張藝瀚</v>
      </c>
      <c r="N103" s="44">
        <f>IFERROR(__xludf.DUMMYFUNCTION("""COMPUTED_VALUE"""),42468.0)</f>
        <v>42468</v>
      </c>
      <c r="O103" s="40">
        <f>IFERROR(__xludf.DUMMYFUNCTION("""COMPUTED_VALUE"""),0.0)</f>
        <v>0</v>
      </c>
      <c r="P103" s="37" t="str">
        <f>IFERROR(__xludf.DUMMYFUNCTION("""COMPUTED_VALUE"""),"資訊裝置")</f>
        <v>資訊裝置</v>
      </c>
      <c r="Q103" s="37">
        <f>IFERROR(__xludf.DUMMYFUNCTION("""COMPUTED_VALUE"""),36.0)</f>
        <v>36</v>
      </c>
      <c r="R103" s="37">
        <f>IFERROR(__xludf.DUMMYFUNCTION("""COMPUTED_VALUE"""),36.0)</f>
        <v>36</v>
      </c>
      <c r="S103" s="37" t="str">
        <f>IFERROR(__xludf.DUMMYFUNCTION("""COMPUTED_VALUE"""),"NT$0")</f>
        <v>NT$0</v>
      </c>
      <c r="T103" s="37" t="str">
        <f>IFERROR(__xludf.DUMMYFUNCTION("""COMPUTED_VALUE"""),"iMac Intel (Retina 5k, 27-Inch, Late 2015) I5 / 32GBRAM/512GBSSD")</f>
        <v>iMac Intel (Retina 5k, 27-Inch, Late 2015) I5 / 32GBRAM/512GBSSD</v>
      </c>
      <c r="U103" s="37"/>
      <c r="V103" s="37"/>
      <c r="W103" s="37"/>
      <c r="X103" s="40" t="str">
        <f>IFERROR(__xludf.DUMMYFUNCTION("""COMPUTED_VALUE"""),"")</f>
        <v/>
      </c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</row>
    <row r="104">
      <c r="B104" s="37"/>
      <c r="C104" s="37" t="str">
        <f>IFERROR(__xludf.DUMMYFUNCTION("""COMPUTED_VALUE"""),"滿三年更換")</f>
        <v>滿三年更換</v>
      </c>
      <c r="D104" s="37" t="str">
        <f>IFERROR(__xludf.DUMMYFUNCTION("""COMPUTED_VALUE"""),"TW")</f>
        <v>TW</v>
      </c>
      <c r="E104" s="37"/>
      <c r="F104" s="37"/>
      <c r="G104" s="37"/>
      <c r="H104" s="37" t="str">
        <f>IFERROR(__xludf.DUMMYFUNCTION("""COMPUTED_VALUE"""),"策略資料中心:數據管理部")</f>
        <v>策略資料中心:數據管理部</v>
      </c>
      <c r="I104" s="37" t="str">
        <f>IFERROR(__xludf.DUMMYFUNCTION("""COMPUTED_VALUE"""),"資訊裝置")</f>
        <v>資訊裝置</v>
      </c>
      <c r="J104" s="37" t="str">
        <f>IFERROR(__xludf.DUMMYFUNCTION("""COMPUTED_VALUE"""),"AICHMC01604002")</f>
        <v>AICHMC01604002</v>
      </c>
      <c r="K104" s="37" t="str">
        <f>IFERROR(__xludf.DUMMYFUNCTION("""COMPUTED_VALUE"""),"Mac pro")</f>
        <v>Mac pro</v>
      </c>
      <c r="L104" s="37" t="str">
        <f>IFERROR(__xludf.DUMMYFUNCTION("""COMPUTED_VALUE"""),"F5KQX03XF694")</f>
        <v>F5KQX03XF694</v>
      </c>
      <c r="M104" s="37" t="str">
        <f>IFERROR(__xludf.DUMMYFUNCTION("""COMPUTED_VALUE"""),"張藝瀚")</f>
        <v>張藝瀚</v>
      </c>
      <c r="N104" s="44">
        <f>IFERROR(__xludf.DUMMYFUNCTION("""COMPUTED_VALUE"""),42468.0)</f>
        <v>42468</v>
      </c>
      <c r="O104" s="37"/>
      <c r="P104" s="37" t="str">
        <f>IFERROR(__xludf.DUMMYFUNCTION("""COMPUTED_VALUE"""),"資訊裝置")</f>
        <v>資訊裝置</v>
      </c>
      <c r="Q104" s="37">
        <f>IFERROR(__xludf.DUMMYFUNCTION("""COMPUTED_VALUE"""),36.0)</f>
        <v>36</v>
      </c>
      <c r="R104" s="37">
        <f>IFERROR(__xludf.DUMMYFUNCTION("""COMPUTED_VALUE"""),36.0)</f>
        <v>36</v>
      </c>
      <c r="S104" s="37" t="str">
        <f>IFERROR(__xludf.DUMMYFUNCTION("""COMPUTED_VALUE"""),"NT$0")</f>
        <v>NT$0</v>
      </c>
      <c r="T104" s="37" t="str">
        <f>IFERROR(__xludf.DUMMYFUNCTION("""COMPUTED_VALUE"""),"ＭacPro(Late2013) Xeon E5/64GBRAM")</f>
        <v>ＭacPro(Late2013) Xeon E5/64GBRAM</v>
      </c>
      <c r="U104" s="37"/>
      <c r="V104" s="37"/>
      <c r="W104" s="37"/>
      <c r="X104" s="40" t="str">
        <f>IFERROR(__xludf.DUMMYFUNCTION("""COMPUTED_VALUE"""),"")</f>
        <v/>
      </c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</row>
    <row r="105">
      <c r="B105" s="37"/>
      <c r="C105" s="37" t="str">
        <f>IFERROR(__xludf.DUMMYFUNCTION("""COMPUTED_VALUE"""),"滿三年更換")</f>
        <v>滿三年更換</v>
      </c>
      <c r="D105" s="37" t="str">
        <f>IFERROR(__xludf.DUMMYFUNCTION("""COMPUTED_VALUE"""),"TW")</f>
        <v>TW</v>
      </c>
      <c r="E105" s="37"/>
      <c r="F105" s="37"/>
      <c r="G105" s="37"/>
      <c r="H105" s="37" t="str">
        <f>IFERROR(__xludf.DUMMYFUNCTION("""COMPUTED_VALUE"""),"策略資料中心:數據管理部")</f>
        <v>策略資料中心:數據管理部</v>
      </c>
      <c r="I105" s="37" t="str">
        <f>IFERROR(__xludf.DUMMYFUNCTION("""COMPUTED_VALUE"""),"資訊裝置")</f>
        <v>資訊裝置</v>
      </c>
      <c r="J105" s="37" t="str">
        <f>IFERROR(__xludf.DUMMYFUNCTION("""COMPUTED_VALUE"""),"AICHMC01912008")</f>
        <v>AICHMC01912008</v>
      </c>
      <c r="K105" s="37" t="str">
        <f>IFERROR(__xludf.DUMMYFUNCTION("""COMPUTED_VALUE"""),"Mac mini")</f>
        <v>Mac mini</v>
      </c>
      <c r="L105" s="37" t="str">
        <f>IFERROR(__xludf.DUMMYFUNCTION("""COMPUTED_VALUE"""),"C07ZT2UDJYW0")</f>
        <v>C07ZT2UDJYW0</v>
      </c>
      <c r="M105" s="37" t="str">
        <f>IFERROR(__xludf.DUMMYFUNCTION("""COMPUTED_VALUE"""),"張藝瀚")</f>
        <v>張藝瀚</v>
      </c>
      <c r="N105" s="44">
        <f>IFERROR(__xludf.DUMMYFUNCTION("""COMPUTED_VALUE"""),43824.0)</f>
        <v>43824</v>
      </c>
      <c r="O105" s="40">
        <f>IFERROR(__xludf.DUMMYFUNCTION("""COMPUTED_VALUE"""),38044.0)</f>
        <v>38044</v>
      </c>
      <c r="P105" s="37" t="str">
        <f>IFERROR(__xludf.DUMMYFUNCTION("""COMPUTED_VALUE"""),"資訊裝置")</f>
        <v>資訊裝置</v>
      </c>
      <c r="Q105" s="37">
        <f>IFERROR(__xludf.DUMMYFUNCTION("""COMPUTED_VALUE"""),36.0)</f>
        <v>36</v>
      </c>
      <c r="R105" s="37">
        <f>IFERROR(__xludf.DUMMYFUNCTION("""COMPUTED_VALUE"""),36.0)</f>
        <v>36</v>
      </c>
      <c r="S105" s="37" t="str">
        <f>IFERROR(__xludf.DUMMYFUNCTION("""COMPUTED_VALUE"""),"NT$38,044")</f>
        <v>NT$38,044</v>
      </c>
      <c r="T105" s="37"/>
      <c r="U105" s="37"/>
      <c r="V105" s="37"/>
      <c r="W105" s="37"/>
      <c r="X105" s="40" t="str">
        <f>IFERROR(__xludf.DUMMYFUNCTION("""COMPUTED_VALUE"""),"")</f>
        <v/>
      </c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</row>
    <row r="106">
      <c r="B106" s="37"/>
      <c r="C106" s="37" t="str">
        <f>IFERROR(__xludf.DUMMYFUNCTION("""COMPUTED_VALUE"""),"滿三年更換")</f>
        <v>滿三年更換</v>
      </c>
      <c r="D106" s="37" t="str">
        <f>IFERROR(__xludf.DUMMYFUNCTION("""COMPUTED_VALUE"""),"TW")</f>
        <v>TW</v>
      </c>
      <c r="E106" s="37"/>
      <c r="F106" s="37"/>
      <c r="G106" s="37"/>
      <c r="H106" s="37" t="str">
        <f>IFERROR(__xludf.DUMMYFUNCTION("""COMPUTED_VALUE"""),"策略資料中心:數據管理部")</f>
        <v>策略資料中心:數據管理部</v>
      </c>
      <c r="I106" s="37" t="str">
        <f>IFERROR(__xludf.DUMMYFUNCTION("""COMPUTED_VALUE"""),"資訊裝置")</f>
        <v>資訊裝置</v>
      </c>
      <c r="J106" s="37" t="str">
        <f>IFERROR(__xludf.DUMMYFUNCTION("""COMPUTED_VALUE"""),"AICHMA02010006")</f>
        <v>AICHMA02010006</v>
      </c>
      <c r="K106" s="37" t="str">
        <f>IFERROR(__xludf.DUMMYFUNCTION("""COMPUTED_VALUE"""),"Macbook Air")</f>
        <v>Macbook Air</v>
      </c>
      <c r="L106" s="37" t="str">
        <f>IFERROR(__xludf.DUMMYFUNCTION("""COMPUTED_VALUE"""),"FVFDHWCHMNHR")</f>
        <v>FVFDHWCHMNHR</v>
      </c>
      <c r="M106" s="37" t="str">
        <f>IFERROR(__xludf.DUMMYFUNCTION("""COMPUTED_VALUE"""),"張藝瀚")</f>
        <v>張藝瀚</v>
      </c>
      <c r="N106" s="45">
        <f>IFERROR(__xludf.DUMMYFUNCTION("""COMPUTED_VALUE"""),44130.0)</f>
        <v>44130</v>
      </c>
      <c r="O106" s="40">
        <f>IFERROR(__xludf.DUMMYFUNCTION("""COMPUTED_VALUE"""),28558.0)</f>
        <v>28558</v>
      </c>
      <c r="P106" s="37" t="str">
        <f>IFERROR(__xludf.DUMMYFUNCTION("""COMPUTED_VALUE"""),"資訊裝置")</f>
        <v>資訊裝置</v>
      </c>
      <c r="Q106" s="37">
        <f>IFERROR(__xludf.DUMMYFUNCTION("""COMPUTED_VALUE"""),36.0)</f>
        <v>36</v>
      </c>
      <c r="R106" s="37">
        <f>IFERROR(__xludf.DUMMYFUNCTION("""COMPUTED_VALUE"""),36.0)</f>
        <v>36</v>
      </c>
      <c r="S106" s="37" t="str">
        <f>IFERROR(__xludf.DUMMYFUNCTION("""COMPUTED_VALUE"""),"NT$28,558")</f>
        <v>NT$28,558</v>
      </c>
      <c r="T106" s="37" t="str">
        <f>IFERROR(__xludf.DUMMYFUNCTION("""COMPUTED_VALUE"""),"A2179 MBA13 (Retina 13吋,2020年)/1.1GHz 雙核 I3/8GB 3733MHz LPDDR4X/256GBSSD/電池正常351/無配件/MWTL2TA/A")</f>
        <v>A2179 MBA13 (Retina 13吋,2020年)/1.1GHz 雙核 I3/8GB 3733MHz LPDDR4X/256GBSSD/電池正常351/無配件/MWTL2TA/A</v>
      </c>
      <c r="U106" s="37"/>
      <c r="V106" s="37"/>
      <c r="W106" s="37"/>
      <c r="X106" s="40" t="str">
        <f>IFERROR(__xludf.DUMMYFUNCTION("""COMPUTED_VALUE"""),"")</f>
        <v/>
      </c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</row>
    <row r="107">
      <c r="B107" s="37"/>
      <c r="C107" s="37" t="str">
        <f>IFERROR(__xludf.DUMMYFUNCTION("""COMPUTED_VALUE"""),"滿三年更換")</f>
        <v>滿三年更換</v>
      </c>
      <c r="D107" s="37" t="str">
        <f>IFERROR(__xludf.DUMMYFUNCTION("""COMPUTED_VALUE"""),"TW")</f>
        <v>TW</v>
      </c>
      <c r="E107" s="37"/>
      <c r="F107" s="37"/>
      <c r="G107" s="37"/>
      <c r="H107" s="37" t="str">
        <f>IFERROR(__xludf.DUMMYFUNCTION("""COMPUTED_VALUE"""),"策略資料中心:數據管理部")</f>
        <v>策略資料中心:數據管理部</v>
      </c>
      <c r="I107" s="37" t="str">
        <f>IFERROR(__xludf.DUMMYFUNCTION("""COMPUTED_VALUE"""),"資訊裝置")</f>
        <v>資訊裝置</v>
      </c>
      <c r="J107" s="37" t="str">
        <f>IFERROR(__xludf.DUMMYFUNCTION("""COMPUTED_VALUE"""),"AICHMA02011007")</f>
        <v>AICHMA02011007</v>
      </c>
      <c r="K107" s="37" t="str">
        <f>IFERROR(__xludf.DUMMYFUNCTION("""COMPUTED_VALUE"""),"Macbook Air")</f>
        <v>Macbook Air</v>
      </c>
      <c r="L107" s="37" t="str">
        <f>IFERROR(__xludf.DUMMYFUNCTION("""COMPUTED_VALUE"""),"FVHDJ7CGMNHP")</f>
        <v>FVHDJ7CGMNHP</v>
      </c>
      <c r="M107" s="37" t="str">
        <f>IFERROR(__xludf.DUMMYFUNCTION("""COMPUTED_VALUE"""),"張藝瀚")</f>
        <v>張藝瀚</v>
      </c>
      <c r="N107" s="44">
        <f>IFERROR(__xludf.DUMMYFUNCTION("""COMPUTED_VALUE"""),44140.0)</f>
        <v>44140</v>
      </c>
      <c r="O107" s="40">
        <f>IFERROR(__xludf.DUMMYFUNCTION("""COMPUTED_VALUE"""),27343.0)</f>
        <v>27343</v>
      </c>
      <c r="P107" s="37" t="str">
        <f>IFERROR(__xludf.DUMMYFUNCTION("""COMPUTED_VALUE"""),"資訊裝置")</f>
        <v>資訊裝置</v>
      </c>
      <c r="Q107" s="37">
        <f>IFERROR(__xludf.DUMMYFUNCTION("""COMPUTED_VALUE"""),36.0)</f>
        <v>36</v>
      </c>
      <c r="R107" s="37">
        <f>IFERROR(__xludf.DUMMYFUNCTION("""COMPUTED_VALUE"""),36.0)</f>
        <v>36</v>
      </c>
      <c r="S107" s="37" t="str">
        <f>IFERROR(__xludf.DUMMYFUNCTION("""COMPUTED_VALUE"""),"NT$27,343")</f>
        <v>NT$27,343</v>
      </c>
      <c r="T107" s="37" t="str">
        <f>IFERROR(__xludf.DUMMYFUNCTION("""COMPUTED_VALUE"""),"A2179 MBA13 (Retina 13吋,2020年)/1.1GHz 雙核I3/8GB 3733MHz LPDDR4x/256GBSSD/電池正常244/無配件/MWTJ2TA/A")</f>
        <v>A2179 MBA13 (Retina 13吋,2020年)/1.1GHz 雙核I3/8GB 3733MHz LPDDR4x/256GBSSD/電池正常244/無配件/MWTJ2TA/A</v>
      </c>
      <c r="U107" s="37"/>
      <c r="V107" s="37"/>
      <c r="W107" s="37"/>
      <c r="X107" s="40" t="str">
        <f>IFERROR(__xludf.DUMMYFUNCTION("""COMPUTED_VALUE"""),"")</f>
        <v/>
      </c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</row>
    <row r="108">
      <c r="B108" s="37"/>
      <c r="C108" s="37" t="str">
        <f>IFERROR(__xludf.DUMMYFUNCTION("""COMPUTED_VALUE"""),"滿三年更換")</f>
        <v>滿三年更換</v>
      </c>
      <c r="D108" s="37" t="str">
        <f>IFERROR(__xludf.DUMMYFUNCTION("""COMPUTED_VALUE"""),"TW")</f>
        <v>TW</v>
      </c>
      <c r="E108" s="37"/>
      <c r="F108" s="37"/>
      <c r="G108" s="37"/>
      <c r="H108" s="37" t="str">
        <f>IFERROR(__xludf.DUMMYFUNCTION("""COMPUTED_VALUE"""),"策略資料中心:數據管理部")</f>
        <v>策略資料中心:數據管理部</v>
      </c>
      <c r="I108" s="37" t="str">
        <f>IFERROR(__xludf.DUMMYFUNCTION("""COMPUTED_VALUE"""),"資訊裝置")</f>
        <v>資訊裝置</v>
      </c>
      <c r="J108" s="37" t="str">
        <f>IFERROR(__xludf.DUMMYFUNCTION("""COMPUTED_VALUE"""),"AICHMA02012009")</f>
        <v>AICHMA02012009</v>
      </c>
      <c r="K108" s="37" t="str">
        <f>IFERROR(__xludf.DUMMYFUNCTION("""COMPUTED_VALUE"""),"Macbook Air")</f>
        <v>Macbook Air</v>
      </c>
      <c r="L108" s="37" t="str">
        <f>IFERROR(__xludf.DUMMYFUNCTION("""COMPUTED_VALUE"""),"FVFDC0LZMNHR")</f>
        <v>FVFDC0LZMNHR</v>
      </c>
      <c r="M108" s="37" t="str">
        <f>IFERROR(__xludf.DUMMYFUNCTION("""COMPUTED_VALUE"""),"張藝瀚")</f>
        <v>張藝瀚</v>
      </c>
      <c r="N108" s="45">
        <f>IFERROR(__xludf.DUMMYFUNCTION("""COMPUTED_VALUE"""),44180.0)</f>
        <v>44180</v>
      </c>
      <c r="O108" s="40">
        <f>IFERROR(__xludf.DUMMYFUNCTION("""COMPUTED_VALUE"""),23800.0)</f>
        <v>23800</v>
      </c>
      <c r="P108" s="37" t="str">
        <f>IFERROR(__xludf.DUMMYFUNCTION("""COMPUTED_VALUE"""),"資訊裝置")</f>
        <v>資訊裝置</v>
      </c>
      <c r="Q108" s="37">
        <f>IFERROR(__xludf.DUMMYFUNCTION("""COMPUTED_VALUE"""),36.0)</f>
        <v>36</v>
      </c>
      <c r="R108" s="37">
        <f>IFERROR(__xludf.DUMMYFUNCTION("""COMPUTED_VALUE"""),36.0)</f>
        <v>36</v>
      </c>
      <c r="S108" s="37" t="str">
        <f>IFERROR(__xludf.DUMMYFUNCTION("""COMPUTED_VALUE"""),"NT$23,800")</f>
        <v>NT$23,800</v>
      </c>
      <c r="T108" s="37" t="str">
        <f>IFERROR(__xludf.DUMMYFUNCTION("""COMPUTED_VALUE"""),"MBA13  I3/8GBRAM/250GBSSD")</f>
        <v>MBA13  I3/8GBRAM/250GBSSD</v>
      </c>
      <c r="U108" s="37"/>
      <c r="V108" s="37"/>
      <c r="W108" s="37"/>
      <c r="X108" s="40" t="str">
        <f>IFERROR(__xludf.DUMMYFUNCTION("""COMPUTED_VALUE"""),"")</f>
        <v/>
      </c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</row>
    <row r="109">
      <c r="B109" s="37"/>
      <c r="C109" s="37" t="str">
        <f>IFERROR(__xludf.DUMMYFUNCTION("""COMPUTED_VALUE"""),"滿三年更換")</f>
        <v>滿三年更換</v>
      </c>
      <c r="D109" s="37" t="str">
        <f>IFERROR(__xludf.DUMMYFUNCTION("""COMPUTED_VALUE"""),"TW")</f>
        <v>TW</v>
      </c>
      <c r="E109" s="37"/>
      <c r="F109" s="37"/>
      <c r="G109" s="37"/>
      <c r="H109" s="37" t="str">
        <f>IFERROR(__xludf.DUMMYFUNCTION("""COMPUTED_VALUE"""),"策略資料中心:數據管理部")</f>
        <v>策略資料中心:數據管理部</v>
      </c>
      <c r="I109" s="37" t="str">
        <f>IFERROR(__xludf.DUMMYFUNCTION("""COMPUTED_VALUE"""),"資訊裝置")</f>
        <v>資訊裝置</v>
      </c>
      <c r="J109" s="37" t="str">
        <f>IFERROR(__xludf.DUMMYFUNCTION("""COMPUTED_VALUE"""),"AICHMA02105022")</f>
        <v>AICHMA02105022</v>
      </c>
      <c r="K109" s="37" t="str">
        <f>IFERROR(__xludf.DUMMYFUNCTION("""COMPUTED_VALUE"""),"Macbook Air")</f>
        <v>Macbook Air</v>
      </c>
      <c r="L109" s="37" t="str">
        <f>IFERROR(__xludf.DUMMYFUNCTION("""COMPUTED_VALUE"""),"FVFFP2EEQ6L7")</f>
        <v>FVFFP2EEQ6L7</v>
      </c>
      <c r="M109" s="37" t="str">
        <f>IFERROR(__xludf.DUMMYFUNCTION("""COMPUTED_VALUE"""),"張藝瀚")</f>
        <v>張藝瀚</v>
      </c>
      <c r="N109" s="44">
        <f>IFERROR(__xludf.DUMMYFUNCTION("""COMPUTED_VALUE"""),44341.0)</f>
        <v>44341</v>
      </c>
      <c r="O109" s="40">
        <f>IFERROR(__xludf.DUMMYFUNCTION("""COMPUTED_VALUE"""),27075.0)</f>
        <v>27075</v>
      </c>
      <c r="P109" s="37" t="str">
        <f>IFERROR(__xludf.DUMMYFUNCTION("""COMPUTED_VALUE"""),"資訊裝置")</f>
        <v>資訊裝置</v>
      </c>
      <c r="Q109" s="37">
        <f>IFERROR(__xludf.DUMMYFUNCTION("""COMPUTED_VALUE"""),36.0)</f>
        <v>36</v>
      </c>
      <c r="R109" s="37">
        <f>IFERROR(__xludf.DUMMYFUNCTION("""COMPUTED_VALUE"""),36.0)</f>
        <v>36</v>
      </c>
      <c r="S109" s="37" t="str">
        <f>IFERROR(__xludf.DUMMYFUNCTION("""COMPUTED_VALUE"""),"NT$27,075")</f>
        <v>NT$27,075</v>
      </c>
      <c r="T109" s="37" t="str">
        <f>IFERROR(__xludf.DUMMYFUNCTION("""COMPUTED_VALUE"""),"MBA M1/8GBRAM/256GBSSD")</f>
        <v>MBA M1/8GBRAM/256GBSSD</v>
      </c>
      <c r="U109" s="37"/>
      <c r="V109" s="37"/>
      <c r="W109" s="37"/>
      <c r="X109" s="40" t="str">
        <f>IFERROR(__xludf.DUMMYFUNCTION("""COMPUTED_VALUE"""),"")</f>
        <v/>
      </c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</row>
    <row r="110">
      <c r="B110" s="37"/>
      <c r="C110" s="37" t="str">
        <f>IFERROR(__xludf.DUMMYFUNCTION("""COMPUTED_VALUE"""),"滿三年更換")</f>
        <v>滿三年更換</v>
      </c>
      <c r="D110" s="37" t="str">
        <f>IFERROR(__xludf.DUMMYFUNCTION("""COMPUTED_VALUE"""),"TW")</f>
        <v>TW</v>
      </c>
      <c r="E110" s="37"/>
      <c r="F110" s="37"/>
      <c r="G110" s="37"/>
      <c r="H110" s="37" t="str">
        <f>IFERROR(__xludf.DUMMYFUNCTION("""COMPUTED_VALUE"""),"策略資料中心:數據管理部")</f>
        <v>策略資料中心:數據管理部</v>
      </c>
      <c r="I110" s="37" t="str">
        <f>IFERROR(__xludf.DUMMYFUNCTION("""COMPUTED_VALUE"""),"資訊裝置")</f>
        <v>資訊裝置</v>
      </c>
      <c r="J110" s="37" t="str">
        <f>IFERROR(__xludf.DUMMYFUNCTION("""COMPUTED_VALUE"""),"AICHMA02106027")</f>
        <v>AICHMA02106027</v>
      </c>
      <c r="K110" s="37" t="str">
        <f>IFERROR(__xludf.DUMMYFUNCTION("""COMPUTED_VALUE"""),"Macbook Air")</f>
        <v>Macbook Air</v>
      </c>
      <c r="L110" s="37" t="str">
        <f>IFERROR(__xludf.DUMMYFUNCTION("""COMPUTED_VALUE"""),"FVFFV33LQ6LC")</f>
        <v>FVFFV33LQ6LC</v>
      </c>
      <c r="M110" s="37" t="str">
        <f>IFERROR(__xludf.DUMMYFUNCTION("""COMPUTED_VALUE"""),"張藝瀚")</f>
        <v>張藝瀚</v>
      </c>
      <c r="N110" s="44">
        <f>IFERROR(__xludf.DUMMYFUNCTION("""COMPUTED_VALUE"""),44375.0)</f>
        <v>44375</v>
      </c>
      <c r="O110" s="40">
        <f>IFERROR(__xludf.DUMMYFUNCTION("""COMPUTED_VALUE"""),27075.0)</f>
        <v>27075</v>
      </c>
      <c r="P110" s="37" t="str">
        <f>IFERROR(__xludf.DUMMYFUNCTION("""COMPUTED_VALUE"""),"資訊裝置")</f>
        <v>資訊裝置</v>
      </c>
      <c r="Q110" s="37">
        <f>IFERROR(__xludf.DUMMYFUNCTION("""COMPUTED_VALUE"""),36.0)</f>
        <v>36</v>
      </c>
      <c r="R110" s="37">
        <f>IFERROR(__xludf.DUMMYFUNCTION("""COMPUTED_VALUE"""),36.0)</f>
        <v>36</v>
      </c>
      <c r="S110" s="37" t="str">
        <f>IFERROR(__xludf.DUMMYFUNCTION("""COMPUTED_VALUE"""),"NT$27,075")</f>
        <v>NT$27,075</v>
      </c>
      <c r="T110" s="37" t="str">
        <f>IFERROR(__xludf.DUMMYFUNCTION("""COMPUTED_VALUE"""),"MBA M1/8GBRAM/256GBSSD")</f>
        <v>MBA M1/8GBRAM/256GBSSD</v>
      </c>
      <c r="U110" s="37"/>
      <c r="V110" s="37"/>
      <c r="W110" s="37"/>
      <c r="X110" s="40" t="str">
        <f>IFERROR(__xludf.DUMMYFUNCTION("""COMPUTED_VALUE"""),"")</f>
        <v/>
      </c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</row>
    <row r="111">
      <c r="B111" s="37"/>
      <c r="C111" s="37" t="str">
        <f>IFERROR(__xludf.DUMMYFUNCTION("""COMPUTED_VALUE"""),"滿三年更換")</f>
        <v>滿三年更換</v>
      </c>
      <c r="D111" s="37" t="str">
        <f>IFERROR(__xludf.DUMMYFUNCTION("""COMPUTED_VALUE"""),"TW")</f>
        <v>TW</v>
      </c>
      <c r="E111" s="37"/>
      <c r="F111" s="37"/>
      <c r="G111" s="37"/>
      <c r="H111" s="37" t="str">
        <f>IFERROR(__xludf.DUMMYFUNCTION("""COMPUTED_VALUE"""),"策略資料中心:數據管理部")</f>
        <v>策略資料中心:數據管理部</v>
      </c>
      <c r="I111" s="37" t="str">
        <f>IFERROR(__xludf.DUMMYFUNCTION("""COMPUTED_VALUE"""),"資訊裝置")</f>
        <v>資訊裝置</v>
      </c>
      <c r="J111" s="37" t="str">
        <f>IFERROR(__xludf.DUMMYFUNCTION("""COMPUTED_VALUE"""),"AICHMP01907003")</f>
        <v>AICHMP01907003</v>
      </c>
      <c r="K111" s="37" t="str">
        <f>IFERROR(__xludf.DUMMYFUNCTION("""COMPUTED_VALUE"""),"Macbook Pro")</f>
        <v>Macbook Pro</v>
      </c>
      <c r="L111" s="37" t="str">
        <f>IFERROR(__xludf.DUMMYFUNCTION("""COMPUTED_VALUE"""),"C02YW2SVLVCF")</f>
        <v>C02YW2SVLVCF</v>
      </c>
      <c r="M111" s="37" t="str">
        <f>IFERROR(__xludf.DUMMYFUNCTION("""COMPUTED_VALUE"""),"張藝瀚")</f>
        <v>張藝瀚</v>
      </c>
      <c r="N111" s="44">
        <f>IFERROR(__xludf.DUMMYFUNCTION("""COMPUTED_VALUE"""),43658.0)</f>
        <v>43658</v>
      </c>
      <c r="O111" s="40">
        <f>IFERROR(__xludf.DUMMYFUNCTION("""COMPUTED_VALUE"""),69739.0)</f>
        <v>69739</v>
      </c>
      <c r="P111" s="37" t="str">
        <f>IFERROR(__xludf.DUMMYFUNCTION("""COMPUTED_VALUE"""),"資訊裝置")</f>
        <v>資訊裝置</v>
      </c>
      <c r="Q111" s="37">
        <f>IFERROR(__xludf.DUMMYFUNCTION("""COMPUTED_VALUE"""),36.0)</f>
        <v>36</v>
      </c>
      <c r="R111" s="37">
        <f>IFERROR(__xludf.DUMMYFUNCTION("""COMPUTED_VALUE"""),36.0)</f>
        <v>36</v>
      </c>
      <c r="S111" s="37" t="str">
        <f>IFERROR(__xludf.DUMMYFUNCTION("""COMPUTED_VALUE"""),"NT$69,739")</f>
        <v>NT$69,739</v>
      </c>
      <c r="T111" s="37" t="str">
        <f>IFERROR(__xludf.DUMMYFUNCTION("""COMPUTED_VALUE"""),"A1990 MBP15 (2018) I7/16GBRAM/256GBSSD")</f>
        <v>A1990 MBP15 (2018) I7/16GBRAM/256GBSSD</v>
      </c>
      <c r="U111" s="37"/>
      <c r="V111" s="37"/>
      <c r="W111" s="37"/>
      <c r="X111" s="40" t="str">
        <f>IFERROR(__xludf.DUMMYFUNCTION("""COMPUTED_VALUE"""),"")</f>
        <v/>
      </c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</row>
    <row r="112">
      <c r="B112" s="37"/>
      <c r="C112" s="37" t="str">
        <f>IFERROR(__xludf.DUMMYFUNCTION("""COMPUTED_VALUE"""),"滿三年更換")</f>
        <v>滿三年更換</v>
      </c>
      <c r="D112" s="37" t="str">
        <f>IFERROR(__xludf.DUMMYFUNCTION("""COMPUTED_VALUE"""),"TW")</f>
        <v>TW</v>
      </c>
      <c r="E112" s="37"/>
      <c r="F112" s="37"/>
      <c r="G112" s="37"/>
      <c r="H112" s="37" t="str">
        <f>IFERROR(__xludf.DUMMYFUNCTION("""COMPUTED_VALUE"""),"策略資料中心:數據管理部")</f>
        <v>策略資料中心:數據管理部</v>
      </c>
      <c r="I112" s="37" t="str">
        <f>IFERROR(__xludf.DUMMYFUNCTION("""COMPUTED_VALUE"""),"資訊裝置")</f>
        <v>資訊裝置</v>
      </c>
      <c r="J112" s="37" t="str">
        <f>IFERROR(__xludf.DUMMYFUNCTION("""COMPUTED_VALUE"""),"AICHMP01912005")</f>
        <v>AICHMP01912005</v>
      </c>
      <c r="K112" s="37" t="str">
        <f>IFERROR(__xludf.DUMMYFUNCTION("""COMPUTED_VALUE"""),"Macbook Pro")</f>
        <v>Macbook Pro</v>
      </c>
      <c r="L112" s="37" t="str">
        <f>IFERROR(__xludf.DUMMYFUNCTION("""COMPUTED_VALUE"""),"FVFZQ2S5L414")</f>
        <v>FVFZQ2S5L414</v>
      </c>
      <c r="M112" s="37" t="str">
        <f>IFERROR(__xludf.DUMMYFUNCTION("""COMPUTED_VALUE"""),"張藝瀚")</f>
        <v>張藝瀚</v>
      </c>
      <c r="N112" s="44">
        <f>IFERROR(__xludf.DUMMYFUNCTION("""COMPUTED_VALUE"""),43803.0)</f>
        <v>43803</v>
      </c>
      <c r="O112" s="40">
        <f>IFERROR(__xludf.DUMMYFUNCTION("""COMPUTED_VALUE"""),58990.0)</f>
        <v>58990</v>
      </c>
      <c r="P112" s="37" t="str">
        <f>IFERROR(__xludf.DUMMYFUNCTION("""COMPUTED_VALUE"""),"資訊裝置")</f>
        <v>資訊裝置</v>
      </c>
      <c r="Q112" s="37">
        <f>IFERROR(__xludf.DUMMYFUNCTION("""COMPUTED_VALUE"""),36.0)</f>
        <v>36</v>
      </c>
      <c r="R112" s="37">
        <f>IFERROR(__xludf.DUMMYFUNCTION("""COMPUTED_VALUE"""),36.0)</f>
        <v>36</v>
      </c>
      <c r="S112" s="37" t="str">
        <f>IFERROR(__xludf.DUMMYFUNCTION("""COMPUTED_VALUE"""),"NT$58,990")</f>
        <v>NT$58,990</v>
      </c>
      <c r="T112" s="37" t="str">
        <f>IFERROR(__xludf.DUMMYFUNCTION("""COMPUTED_VALUE"""),"MBP13 (2019,TWO thunderbolt 3 port)  I7 /16GB 2133 MHz LPDDR3 / 256GB SSD / 電池正常418 /無配件")</f>
        <v>MBP13 (2019,TWO thunderbolt 3 port)  I7 /16GB 2133 MHz LPDDR3 / 256GB SSD / 電池正常418 /無配件</v>
      </c>
      <c r="U112" s="37"/>
      <c r="V112" s="37"/>
      <c r="W112" s="37"/>
      <c r="X112" s="40" t="str">
        <f>IFERROR(__xludf.DUMMYFUNCTION("""COMPUTED_VALUE"""),"")</f>
        <v/>
      </c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</row>
    <row r="113">
      <c r="B113" s="37"/>
      <c r="C113" s="37" t="str">
        <f>IFERROR(__xludf.DUMMYFUNCTION("""COMPUTED_VALUE"""),"滿三年更換")</f>
        <v>滿三年更換</v>
      </c>
      <c r="D113" s="37" t="str">
        <f>IFERROR(__xludf.DUMMYFUNCTION("""COMPUTED_VALUE"""),"TW")</f>
        <v>TW</v>
      </c>
      <c r="E113" s="37"/>
      <c r="F113" s="37"/>
      <c r="G113" s="37"/>
      <c r="H113" s="37" t="str">
        <f>IFERROR(__xludf.DUMMYFUNCTION("""COMPUTED_VALUE"""),"策略資料中心:數據管理部")</f>
        <v>策略資料中心:數據管理部</v>
      </c>
      <c r="I113" s="37" t="str">
        <f>IFERROR(__xludf.DUMMYFUNCTION("""COMPUTED_VALUE"""),"資訊裝置")</f>
        <v>資訊裝置</v>
      </c>
      <c r="J113" s="37" t="str">
        <f>IFERROR(__xludf.DUMMYFUNCTION("""COMPUTED_VALUE"""),"AICHMP01912007")</f>
        <v>AICHMP01912007</v>
      </c>
      <c r="K113" s="37" t="str">
        <f>IFERROR(__xludf.DUMMYFUNCTION("""COMPUTED_VALUE"""),"Macbook Pro")</f>
        <v>Macbook Pro</v>
      </c>
      <c r="L113" s="37" t="str">
        <f>IFERROR(__xludf.DUMMYFUNCTION("""COMPUTED_VALUE"""),"FVFZL33ZL414")</f>
        <v>FVFZL33ZL414</v>
      </c>
      <c r="M113" s="37" t="str">
        <f>IFERROR(__xludf.DUMMYFUNCTION("""COMPUTED_VALUE"""),"張藝瀚")</f>
        <v>張藝瀚</v>
      </c>
      <c r="N113" s="44">
        <f>IFERROR(__xludf.DUMMYFUNCTION("""COMPUTED_VALUE"""),43799.0)</f>
        <v>43799</v>
      </c>
      <c r="O113" s="40">
        <f>IFERROR(__xludf.DUMMYFUNCTION("""COMPUTED_VALUE"""),58990.0)</f>
        <v>58990</v>
      </c>
      <c r="P113" s="37" t="str">
        <f>IFERROR(__xludf.DUMMYFUNCTION("""COMPUTED_VALUE"""),"資訊裝置")</f>
        <v>資訊裝置</v>
      </c>
      <c r="Q113" s="37">
        <f>IFERROR(__xludf.DUMMYFUNCTION("""COMPUTED_VALUE"""),36.0)</f>
        <v>36</v>
      </c>
      <c r="R113" s="37">
        <f>IFERROR(__xludf.DUMMYFUNCTION("""COMPUTED_VALUE"""),36.0)</f>
        <v>36</v>
      </c>
      <c r="S113" s="37" t="str">
        <f>IFERROR(__xludf.DUMMYFUNCTION("""COMPUTED_VALUE"""),"NT$58,990")</f>
        <v>NT$58,990</v>
      </c>
      <c r="T113" s="37" t="str">
        <f>IFERROR(__xludf.DUMMYFUNCTION("""COMPUTED_VALUE"""),"A2159 MBP13 (2019)  I7/16GBRAM/256GBSSD")</f>
        <v>A2159 MBP13 (2019)  I7/16GBRAM/256GBSSD</v>
      </c>
      <c r="U113" s="37"/>
      <c r="V113" s="37"/>
      <c r="W113" s="37"/>
      <c r="X113" s="40" t="str">
        <f>IFERROR(__xludf.DUMMYFUNCTION("""COMPUTED_VALUE"""),"")</f>
        <v/>
      </c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</row>
    <row r="114">
      <c r="B114" s="37"/>
      <c r="C114" s="37" t="str">
        <f>IFERROR(__xludf.DUMMYFUNCTION("""COMPUTED_VALUE"""),"滿三年更換")</f>
        <v>滿三年更換</v>
      </c>
      <c r="D114" s="37" t="str">
        <f>IFERROR(__xludf.DUMMYFUNCTION("""COMPUTED_VALUE"""),"TW")</f>
        <v>TW</v>
      </c>
      <c r="E114" s="37"/>
      <c r="F114" s="37"/>
      <c r="G114" s="37"/>
      <c r="H114" s="37" t="str">
        <f>IFERROR(__xludf.DUMMYFUNCTION("""COMPUTED_VALUE"""),"策略資料中心:數據管理部")</f>
        <v>策略資料中心:數據管理部</v>
      </c>
      <c r="I114" s="37" t="str">
        <f>IFERROR(__xludf.DUMMYFUNCTION("""COMPUTED_VALUE"""),"資訊裝置")</f>
        <v>資訊裝置</v>
      </c>
      <c r="J114" s="37" t="str">
        <f>IFERROR(__xludf.DUMMYFUNCTION("""COMPUTED_VALUE"""),"AICHMP02002008")</f>
        <v>AICHMP02002008</v>
      </c>
      <c r="K114" s="37" t="str">
        <f>IFERROR(__xludf.DUMMYFUNCTION("""COMPUTED_VALUE"""),"Macbook Pro")</f>
        <v>Macbook Pro</v>
      </c>
      <c r="L114" s="37" t="str">
        <f>IFERROR(__xludf.DUMMYFUNCTION("""COMPUTED_VALUE"""),"FVFC611EL414")</f>
        <v>FVFC611EL414</v>
      </c>
      <c r="M114" s="37" t="str">
        <f>IFERROR(__xludf.DUMMYFUNCTION("""COMPUTED_VALUE"""),"張藝瀚")</f>
        <v>張藝瀚</v>
      </c>
      <c r="N114" s="44">
        <f>IFERROR(__xludf.DUMMYFUNCTION("""COMPUTED_VALUE"""),43888.0)</f>
        <v>43888</v>
      </c>
      <c r="O114" s="40">
        <f>IFERROR(__xludf.DUMMYFUNCTION("""COMPUTED_VALUE"""),48558.0)</f>
        <v>48558</v>
      </c>
      <c r="P114" s="37" t="str">
        <f>IFERROR(__xludf.DUMMYFUNCTION("""COMPUTED_VALUE"""),"資訊裝置")</f>
        <v>資訊裝置</v>
      </c>
      <c r="Q114" s="37">
        <f>IFERROR(__xludf.DUMMYFUNCTION("""COMPUTED_VALUE"""),36.0)</f>
        <v>36</v>
      </c>
      <c r="R114" s="37">
        <f>IFERROR(__xludf.DUMMYFUNCTION("""COMPUTED_VALUE"""),36.0)</f>
        <v>36</v>
      </c>
      <c r="S114" s="37" t="str">
        <f>IFERROR(__xludf.DUMMYFUNCTION("""COMPUTED_VALUE"""),"NT$48,558")</f>
        <v>NT$48,558</v>
      </c>
      <c r="T114" s="37" t="str">
        <f>IFERROR(__xludf.DUMMYFUNCTION("""COMPUTED_VALUE"""),"A2179 MBP13 (2019, Two Thunderbolt 3 ports) I5/16GBRAM/256GBSSD")</f>
        <v>A2179 MBP13 (2019, Two Thunderbolt 3 ports) I5/16GBRAM/256GBSSD</v>
      </c>
      <c r="U114" s="37"/>
      <c r="V114" s="37"/>
      <c r="W114" s="37"/>
      <c r="X114" s="40" t="str">
        <f>IFERROR(__xludf.DUMMYFUNCTION("""COMPUTED_VALUE"""),"")</f>
        <v/>
      </c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</row>
    <row r="115">
      <c r="B115" s="37"/>
      <c r="C115" s="37" t="str">
        <f>IFERROR(__xludf.DUMMYFUNCTION("""COMPUTED_VALUE"""),"滿三年更換")</f>
        <v>滿三年更換</v>
      </c>
      <c r="D115" s="37" t="str">
        <f>IFERROR(__xludf.DUMMYFUNCTION("""COMPUTED_VALUE"""),"TW")</f>
        <v>TW</v>
      </c>
      <c r="E115" s="37"/>
      <c r="F115" s="37"/>
      <c r="G115" s="37"/>
      <c r="H115" s="37" t="str">
        <f>IFERROR(__xludf.DUMMYFUNCTION("""COMPUTED_VALUE"""),"策略資料中心:數據管理部")</f>
        <v>策略資料中心:數據管理部</v>
      </c>
      <c r="I115" s="37" t="str">
        <f>IFERROR(__xludf.DUMMYFUNCTION("""COMPUTED_VALUE"""),"資訊裝置")</f>
        <v>資訊裝置</v>
      </c>
      <c r="J115" s="37" t="str">
        <f>IFERROR(__xludf.DUMMYFUNCTION("""COMPUTED_VALUE"""),"AICHMP02002009")</f>
        <v>AICHMP02002009</v>
      </c>
      <c r="K115" s="37" t="str">
        <f>IFERROR(__xludf.DUMMYFUNCTION("""COMPUTED_VALUE"""),"Macbook Pro")</f>
        <v>Macbook Pro</v>
      </c>
      <c r="L115" s="37" t="str">
        <f>IFERROR(__xludf.DUMMYFUNCTION("""COMPUTED_VALUE"""),"FVFC611ML414")</f>
        <v>FVFC611ML414</v>
      </c>
      <c r="M115" s="37" t="str">
        <f>IFERROR(__xludf.DUMMYFUNCTION("""COMPUTED_VALUE"""),"張藝瀚")</f>
        <v>張藝瀚</v>
      </c>
      <c r="N115" s="44">
        <f>IFERROR(__xludf.DUMMYFUNCTION("""COMPUTED_VALUE"""),43888.0)</f>
        <v>43888</v>
      </c>
      <c r="O115" s="40">
        <f>IFERROR(__xludf.DUMMYFUNCTION("""COMPUTED_VALUE"""),48559.0)</f>
        <v>48559</v>
      </c>
      <c r="P115" s="37" t="str">
        <f>IFERROR(__xludf.DUMMYFUNCTION("""COMPUTED_VALUE"""),"資訊裝置")</f>
        <v>資訊裝置</v>
      </c>
      <c r="Q115" s="37">
        <f>IFERROR(__xludf.DUMMYFUNCTION("""COMPUTED_VALUE"""),36.0)</f>
        <v>36</v>
      </c>
      <c r="R115" s="37">
        <f>IFERROR(__xludf.DUMMYFUNCTION("""COMPUTED_VALUE"""),36.0)</f>
        <v>36</v>
      </c>
      <c r="S115" s="37" t="str">
        <f>IFERROR(__xludf.DUMMYFUNCTION("""COMPUTED_VALUE"""),"NT$48,559")</f>
        <v>NT$48,559</v>
      </c>
      <c r="T115" s="37"/>
      <c r="U115" s="37"/>
      <c r="V115" s="37"/>
      <c r="W115" s="37"/>
      <c r="X115" s="40" t="str">
        <f>IFERROR(__xludf.DUMMYFUNCTION("""COMPUTED_VALUE"""),"")</f>
        <v/>
      </c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</row>
    <row r="116">
      <c r="B116" s="37"/>
      <c r="C116" s="37" t="str">
        <f>IFERROR(__xludf.DUMMYFUNCTION("""COMPUTED_VALUE"""),"滿三年更換")</f>
        <v>滿三年更換</v>
      </c>
      <c r="D116" s="37" t="str">
        <f>IFERROR(__xludf.DUMMYFUNCTION("""COMPUTED_VALUE"""),"TW")</f>
        <v>TW</v>
      </c>
      <c r="E116" s="37"/>
      <c r="F116" s="37"/>
      <c r="G116" s="37"/>
      <c r="H116" s="37" t="str">
        <f>IFERROR(__xludf.DUMMYFUNCTION("""COMPUTED_VALUE"""),"策略資料中心:數據管理部")</f>
        <v>策略資料中心:數據管理部</v>
      </c>
      <c r="I116" s="37" t="str">
        <f>IFERROR(__xludf.DUMMYFUNCTION("""COMPUTED_VALUE"""),"資訊裝置")</f>
        <v>資訊裝置</v>
      </c>
      <c r="J116" s="37" t="str">
        <f>IFERROR(__xludf.DUMMYFUNCTION("""COMPUTED_VALUE"""),"AICHMP02002010")</f>
        <v>AICHMP02002010</v>
      </c>
      <c r="K116" s="37" t="str">
        <f>IFERROR(__xludf.DUMMYFUNCTION("""COMPUTED_VALUE"""),"Macbook Pro")</f>
        <v>Macbook Pro</v>
      </c>
      <c r="L116" s="37" t="str">
        <f>IFERROR(__xludf.DUMMYFUNCTION("""COMPUTED_VALUE"""),"C02ZWB9XMD6N")</f>
        <v>C02ZWB9XMD6N</v>
      </c>
      <c r="M116" s="37" t="str">
        <f>IFERROR(__xludf.DUMMYFUNCTION("""COMPUTED_VALUE"""),"張藝瀚")</f>
        <v>張藝瀚</v>
      </c>
      <c r="N116" s="44">
        <f>IFERROR(__xludf.DUMMYFUNCTION("""COMPUTED_VALUE"""),43894.0)</f>
        <v>43894</v>
      </c>
      <c r="O116" s="40">
        <f>IFERROR(__xludf.DUMMYFUNCTION("""COMPUTED_VALUE"""),80482.0)</f>
        <v>80482</v>
      </c>
      <c r="P116" s="37" t="str">
        <f>IFERROR(__xludf.DUMMYFUNCTION("""COMPUTED_VALUE"""),"資訊裝置")</f>
        <v>資訊裝置</v>
      </c>
      <c r="Q116" s="37">
        <f>IFERROR(__xludf.DUMMYFUNCTION("""COMPUTED_VALUE"""),36.0)</f>
        <v>36</v>
      </c>
      <c r="R116" s="37">
        <f>IFERROR(__xludf.DUMMYFUNCTION("""COMPUTED_VALUE"""),36.0)</f>
        <v>36</v>
      </c>
      <c r="S116" s="37" t="str">
        <f>IFERROR(__xludf.DUMMYFUNCTION("""COMPUTED_VALUE"""),"NT$80,482")</f>
        <v>NT$80,482</v>
      </c>
      <c r="T116" s="37"/>
      <c r="U116" s="37"/>
      <c r="V116" s="37"/>
      <c r="W116" s="37"/>
      <c r="X116" s="40" t="str">
        <f>IFERROR(__xludf.DUMMYFUNCTION("""COMPUTED_VALUE"""),"")</f>
        <v/>
      </c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</row>
    <row r="117">
      <c r="B117" s="37"/>
      <c r="C117" s="37" t="str">
        <f>IFERROR(__xludf.DUMMYFUNCTION("""COMPUTED_VALUE"""),"滿三年更換")</f>
        <v>滿三年更換</v>
      </c>
      <c r="D117" s="37" t="str">
        <f>IFERROR(__xludf.DUMMYFUNCTION("""COMPUTED_VALUE"""),"TW")</f>
        <v>TW</v>
      </c>
      <c r="E117" s="37"/>
      <c r="F117" s="37"/>
      <c r="G117" s="37"/>
      <c r="H117" s="37" t="str">
        <f>IFERROR(__xludf.DUMMYFUNCTION("""COMPUTED_VALUE"""),"策略資料中心:數據管理部")</f>
        <v>策略資料中心:數據管理部</v>
      </c>
      <c r="I117" s="37" t="str">
        <f>IFERROR(__xludf.DUMMYFUNCTION("""COMPUTED_VALUE"""),"資訊裝置")</f>
        <v>資訊裝置</v>
      </c>
      <c r="J117" s="37" t="str">
        <f>IFERROR(__xludf.DUMMYFUNCTION("""COMPUTED_VALUE"""),"AICHMP02003011")</f>
        <v>AICHMP02003011</v>
      </c>
      <c r="K117" s="37" t="str">
        <f>IFERROR(__xludf.DUMMYFUNCTION("""COMPUTED_VALUE"""),"Macbook Pro")</f>
        <v>Macbook Pro</v>
      </c>
      <c r="L117" s="37" t="str">
        <f>IFERROR(__xludf.DUMMYFUNCTION("""COMPUTED_VALUE"""),"C02CC74YMD6M")</f>
        <v>C02CC74YMD6M</v>
      </c>
      <c r="M117" s="37" t="str">
        <f>IFERROR(__xludf.DUMMYFUNCTION("""COMPUTED_VALUE"""),"張藝瀚")</f>
        <v>張藝瀚</v>
      </c>
      <c r="N117" s="44">
        <f>IFERROR(__xludf.DUMMYFUNCTION("""COMPUTED_VALUE"""),43903.0)</f>
        <v>43903</v>
      </c>
      <c r="O117" s="40">
        <f>IFERROR(__xludf.DUMMYFUNCTION("""COMPUTED_VALUE"""),69739.0)</f>
        <v>69739</v>
      </c>
      <c r="P117" s="37" t="str">
        <f>IFERROR(__xludf.DUMMYFUNCTION("""COMPUTED_VALUE"""),"資訊裝置")</f>
        <v>資訊裝置</v>
      </c>
      <c r="Q117" s="37">
        <f>IFERROR(__xludf.DUMMYFUNCTION("""COMPUTED_VALUE"""),36.0)</f>
        <v>36</v>
      </c>
      <c r="R117" s="37">
        <f>IFERROR(__xludf.DUMMYFUNCTION("""COMPUTED_VALUE"""),36.0)</f>
        <v>36</v>
      </c>
      <c r="S117" s="37" t="str">
        <f>IFERROR(__xludf.DUMMYFUNCTION("""COMPUTED_VALUE"""),"NT$69,739")</f>
        <v>NT$69,739</v>
      </c>
      <c r="T117" s="37"/>
      <c r="U117" s="37"/>
      <c r="V117" s="37"/>
      <c r="W117" s="37"/>
      <c r="X117" s="40" t="str">
        <f>IFERROR(__xludf.DUMMYFUNCTION("""COMPUTED_VALUE"""),"")</f>
        <v/>
      </c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</row>
    <row r="118">
      <c r="B118" s="37"/>
      <c r="C118" s="37" t="str">
        <f>IFERROR(__xludf.DUMMYFUNCTION("""COMPUTED_VALUE"""),"滿三年更換")</f>
        <v>滿三年更換</v>
      </c>
      <c r="D118" s="37" t="str">
        <f>IFERROR(__xludf.DUMMYFUNCTION("""COMPUTED_VALUE"""),"TW")</f>
        <v>TW</v>
      </c>
      <c r="E118" s="37"/>
      <c r="F118" s="37"/>
      <c r="G118" s="37"/>
      <c r="H118" s="37" t="str">
        <f>IFERROR(__xludf.DUMMYFUNCTION("""COMPUTED_VALUE"""),"策略資料中心:數據管理部")</f>
        <v>策略資料中心:數據管理部</v>
      </c>
      <c r="I118" s="37" t="str">
        <f>IFERROR(__xludf.DUMMYFUNCTION("""COMPUTED_VALUE"""),"資訊裝置")</f>
        <v>資訊裝置</v>
      </c>
      <c r="J118" s="37" t="str">
        <f>IFERROR(__xludf.DUMMYFUNCTION("""COMPUTED_VALUE"""),"AICHMP02008015")</f>
        <v>AICHMP02008015</v>
      </c>
      <c r="K118" s="37" t="str">
        <f>IFERROR(__xludf.DUMMYFUNCTION("""COMPUTED_VALUE"""),"Macbook Pro")</f>
        <v>Macbook Pro</v>
      </c>
      <c r="L118" s="37" t="str">
        <f>IFERROR(__xludf.DUMMYFUNCTION("""COMPUTED_VALUE"""),"FVFD51AKP3YV")</f>
        <v>FVFD51AKP3YV</v>
      </c>
      <c r="M118" s="37" t="str">
        <f>IFERROR(__xludf.DUMMYFUNCTION("""COMPUTED_VALUE"""),"張藝瀚")</f>
        <v>張藝瀚</v>
      </c>
      <c r="N118" s="44">
        <f>IFERROR(__xludf.DUMMYFUNCTION("""COMPUTED_VALUE"""),44074.0)</f>
        <v>44074</v>
      </c>
      <c r="O118" s="40">
        <f>IFERROR(__xludf.DUMMYFUNCTION("""COMPUTED_VALUE"""),51481.0)</f>
        <v>51481</v>
      </c>
      <c r="P118" s="37" t="str">
        <f>IFERROR(__xludf.DUMMYFUNCTION("""COMPUTED_VALUE"""),"資訊裝置")</f>
        <v>資訊裝置</v>
      </c>
      <c r="Q118" s="37">
        <f>IFERROR(__xludf.DUMMYFUNCTION("""COMPUTED_VALUE"""),36.0)</f>
        <v>36</v>
      </c>
      <c r="R118" s="37">
        <f>IFERROR(__xludf.DUMMYFUNCTION("""COMPUTED_VALUE"""),36.0)</f>
        <v>36</v>
      </c>
      <c r="S118" s="37" t="str">
        <f>IFERROR(__xludf.DUMMYFUNCTION("""COMPUTED_VALUE"""),"NT$51,481")</f>
        <v>NT$51,481</v>
      </c>
      <c r="T118" s="37" t="str">
        <f>IFERROR(__xludf.DUMMYFUNCTION("""COMPUTED_VALUE"""),"MBP I7/16GBRAM/1TBSSD")</f>
        <v>MBP I7/16GBRAM/1TBSSD</v>
      </c>
      <c r="U118" s="37"/>
      <c r="V118" s="37"/>
      <c r="W118" s="37"/>
      <c r="X118" s="40" t="str">
        <f>IFERROR(__xludf.DUMMYFUNCTION("""COMPUTED_VALUE"""),"")</f>
        <v/>
      </c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</row>
    <row r="119">
      <c r="B119" s="37"/>
      <c r="C119" s="37" t="str">
        <f>IFERROR(__xludf.DUMMYFUNCTION("""COMPUTED_VALUE"""),"滿三年更換")</f>
        <v>滿三年更換</v>
      </c>
      <c r="D119" s="37" t="str">
        <f>IFERROR(__xludf.DUMMYFUNCTION("""COMPUTED_VALUE"""),"TW")</f>
        <v>TW</v>
      </c>
      <c r="E119" s="37"/>
      <c r="F119" s="37"/>
      <c r="G119" s="37"/>
      <c r="H119" s="37" t="str">
        <f>IFERROR(__xludf.DUMMYFUNCTION("""COMPUTED_VALUE"""),"策略資料中心:數據管理部")</f>
        <v>策略資料中心:數據管理部</v>
      </c>
      <c r="I119" s="37" t="str">
        <f>IFERROR(__xludf.DUMMYFUNCTION("""COMPUTED_VALUE"""),"資訊裝置")</f>
        <v>資訊裝置</v>
      </c>
      <c r="J119" s="37" t="str">
        <f>IFERROR(__xludf.DUMMYFUNCTION("""COMPUTED_VALUE"""),"AICHMP02009016")</f>
        <v>AICHMP02009016</v>
      </c>
      <c r="K119" s="37" t="str">
        <f>IFERROR(__xludf.DUMMYFUNCTION("""COMPUTED_VALUE"""),"Macbook Pro")</f>
        <v>Macbook Pro</v>
      </c>
      <c r="L119" s="37" t="str">
        <f>IFERROR(__xludf.DUMMYFUNCTION("""COMPUTED_VALUE"""),"C02D42B7MD6P")</f>
        <v>C02D42B7MD6P</v>
      </c>
      <c r="M119" s="37" t="str">
        <f>IFERROR(__xludf.DUMMYFUNCTION("""COMPUTED_VALUE"""),"張藝瀚")</f>
        <v>張藝瀚</v>
      </c>
      <c r="N119" s="44">
        <f>IFERROR(__xludf.DUMMYFUNCTION("""COMPUTED_VALUE"""),44084.0)</f>
        <v>44084</v>
      </c>
      <c r="O119" s="40">
        <f>IFERROR(__xludf.DUMMYFUNCTION("""COMPUTED_VALUE"""),69739.0)</f>
        <v>69739</v>
      </c>
      <c r="P119" s="37" t="str">
        <f>IFERROR(__xludf.DUMMYFUNCTION("""COMPUTED_VALUE"""),"資訊裝置")</f>
        <v>資訊裝置</v>
      </c>
      <c r="Q119" s="37">
        <f>IFERROR(__xludf.DUMMYFUNCTION("""COMPUTED_VALUE"""),36.0)</f>
        <v>36</v>
      </c>
      <c r="R119" s="37">
        <f>IFERROR(__xludf.DUMMYFUNCTION("""COMPUTED_VALUE"""),36.0)</f>
        <v>36</v>
      </c>
      <c r="S119" s="37" t="str">
        <f>IFERROR(__xludf.DUMMYFUNCTION("""COMPUTED_VALUE"""),"NT$69,739")</f>
        <v>NT$69,739</v>
      </c>
      <c r="T119" s="37"/>
      <c r="U119" s="37"/>
      <c r="V119" s="37"/>
      <c r="W119" s="37"/>
      <c r="X119" s="40" t="str">
        <f>IFERROR(__xludf.DUMMYFUNCTION("""COMPUTED_VALUE"""),"")</f>
        <v/>
      </c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</row>
    <row r="120">
      <c r="B120" s="37"/>
      <c r="C120" s="37" t="str">
        <f>IFERROR(__xludf.DUMMYFUNCTION("""COMPUTED_VALUE"""),"滿三年更換")</f>
        <v>滿三年更換</v>
      </c>
      <c r="D120" s="37" t="str">
        <f>IFERROR(__xludf.DUMMYFUNCTION("""COMPUTED_VALUE"""),"TW")</f>
        <v>TW</v>
      </c>
      <c r="E120" s="37"/>
      <c r="F120" s="37"/>
      <c r="G120" s="37"/>
      <c r="H120" s="37" t="str">
        <f>IFERROR(__xludf.DUMMYFUNCTION("""COMPUTED_VALUE"""),"策略資料中心:數據管理部")</f>
        <v>策略資料中心:數據管理部</v>
      </c>
      <c r="I120" s="37" t="str">
        <f>IFERROR(__xludf.DUMMYFUNCTION("""COMPUTED_VALUE"""),"資訊裝置")</f>
        <v>資訊裝置</v>
      </c>
      <c r="J120" s="37" t="str">
        <f>IFERROR(__xludf.DUMMYFUNCTION("""COMPUTED_VALUE"""),"AICHMP02011019")</f>
        <v>AICHMP02011019</v>
      </c>
      <c r="K120" s="37" t="str">
        <f>IFERROR(__xludf.DUMMYFUNCTION("""COMPUTED_VALUE"""),"Macbook Pro")</f>
        <v>Macbook Pro</v>
      </c>
      <c r="L120" s="37" t="str">
        <f>IFERROR(__xludf.DUMMYFUNCTION("""COMPUTED_VALUE"""),"C02DN43ZML85")</f>
        <v>C02DN43ZML85</v>
      </c>
      <c r="M120" s="37" t="str">
        <f>IFERROR(__xludf.DUMMYFUNCTION("""COMPUTED_VALUE"""),"張藝瀚")</f>
        <v>張藝瀚</v>
      </c>
      <c r="N120" s="44">
        <f>IFERROR(__xludf.DUMMYFUNCTION("""COMPUTED_VALUE"""),44151.0)</f>
        <v>44151</v>
      </c>
      <c r="O120" s="40">
        <f>IFERROR(__xludf.DUMMYFUNCTION("""COMPUTED_VALUE"""),68671.0)</f>
        <v>68671</v>
      </c>
      <c r="P120" s="37" t="str">
        <f>IFERROR(__xludf.DUMMYFUNCTION("""COMPUTED_VALUE"""),"資訊裝置")</f>
        <v>資訊裝置</v>
      </c>
      <c r="Q120" s="37">
        <f>IFERROR(__xludf.DUMMYFUNCTION("""COMPUTED_VALUE"""),36.0)</f>
        <v>36</v>
      </c>
      <c r="R120" s="37">
        <f>IFERROR(__xludf.DUMMYFUNCTION("""COMPUTED_VALUE"""),36.0)</f>
        <v>36</v>
      </c>
      <c r="S120" s="37" t="str">
        <f>IFERROR(__xludf.DUMMYFUNCTION("""COMPUTED_VALUE"""),"NT$68,671")</f>
        <v>NT$68,671</v>
      </c>
      <c r="T120" s="37" t="str">
        <f>IFERROR(__xludf.DUMMYFUNCTION("""COMPUTED_VALUE"""),"MBP13 (2020, Four Thunderbolt 3 ports) I7/32GBRAM/512GBSSD")</f>
        <v>MBP13 (2020, Four Thunderbolt 3 ports) I7/32GBRAM/512GBSSD</v>
      </c>
      <c r="U120" s="37"/>
      <c r="V120" s="37"/>
      <c r="W120" s="37"/>
      <c r="X120" s="40" t="str">
        <f>IFERROR(__xludf.DUMMYFUNCTION("""COMPUTED_VALUE"""),"")</f>
        <v/>
      </c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</row>
    <row r="121">
      <c r="B121" s="37"/>
      <c r="C121" s="37" t="str">
        <f>IFERROR(__xludf.DUMMYFUNCTION("""COMPUTED_VALUE"""),"滿三年更換")</f>
        <v>滿三年更換</v>
      </c>
      <c r="D121" s="37" t="str">
        <f>IFERROR(__xludf.DUMMYFUNCTION("""COMPUTED_VALUE"""),"TW")</f>
        <v>TW</v>
      </c>
      <c r="E121" s="37"/>
      <c r="F121" s="37"/>
      <c r="G121" s="37"/>
      <c r="H121" s="37" t="str">
        <f>IFERROR(__xludf.DUMMYFUNCTION("""COMPUTED_VALUE"""),"策略資料中心:數據管理部")</f>
        <v>策略資料中心:數據管理部</v>
      </c>
      <c r="I121" s="37" t="str">
        <f>IFERROR(__xludf.DUMMYFUNCTION("""COMPUTED_VALUE"""),"資訊裝置")</f>
        <v>資訊裝置</v>
      </c>
      <c r="J121" s="37" t="str">
        <f>IFERROR(__xludf.DUMMYFUNCTION("""COMPUTED_VALUE"""),"AICHMP02101021")</f>
        <v>AICHMP02101021</v>
      </c>
      <c r="K121" s="37" t="str">
        <f>IFERROR(__xludf.DUMMYFUNCTION("""COMPUTED_VALUE"""),"Macbook Pro")</f>
        <v>Macbook Pro</v>
      </c>
      <c r="L121" s="37" t="str">
        <f>IFERROR(__xludf.DUMMYFUNCTION("""COMPUTED_VALUE"""),"C02DX2BEML7H")</f>
        <v>C02DX2BEML7H</v>
      </c>
      <c r="M121" s="37" t="str">
        <f>IFERROR(__xludf.DUMMYFUNCTION("""COMPUTED_VALUE"""),"張藝瀚")</f>
        <v>張藝瀚</v>
      </c>
      <c r="N121" s="44">
        <f>IFERROR(__xludf.DUMMYFUNCTION("""COMPUTED_VALUE"""),44215.0)</f>
        <v>44215</v>
      </c>
      <c r="O121" s="40">
        <f>IFERROR(__xludf.DUMMYFUNCTION("""COMPUTED_VALUE"""),66510.0)</f>
        <v>66510</v>
      </c>
      <c r="P121" s="37" t="str">
        <f>IFERROR(__xludf.DUMMYFUNCTION("""COMPUTED_VALUE"""),"資訊裝置")</f>
        <v>資訊裝置</v>
      </c>
      <c r="Q121" s="37">
        <f>IFERROR(__xludf.DUMMYFUNCTION("""COMPUTED_VALUE"""),36.0)</f>
        <v>36</v>
      </c>
      <c r="R121" s="37">
        <f>IFERROR(__xludf.DUMMYFUNCTION("""COMPUTED_VALUE"""),36.0)</f>
        <v>36</v>
      </c>
      <c r="S121" s="37" t="str">
        <f>IFERROR(__xludf.DUMMYFUNCTION("""COMPUTED_VALUE"""),"NT$66,510")</f>
        <v>NT$66,510</v>
      </c>
      <c r="T121" s="37" t="str">
        <f>IFERROR(__xludf.DUMMYFUNCTION("""COMPUTED_VALUE"""),"MBP13 (2020, Four Thunderbolt 3 ports) I5/16GBRAM/512GBSSD")</f>
        <v>MBP13 (2020, Four Thunderbolt 3 ports) I5/16GBRAM/512GBSSD</v>
      </c>
      <c r="U121" s="37"/>
      <c r="V121" s="37"/>
      <c r="W121" s="37"/>
      <c r="X121" s="40" t="str">
        <f>IFERROR(__xludf.DUMMYFUNCTION("""COMPUTED_VALUE"""),"")</f>
        <v/>
      </c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</row>
    <row r="122">
      <c r="B122" s="37"/>
      <c r="C122" s="37" t="str">
        <f>IFERROR(__xludf.DUMMYFUNCTION("""COMPUTED_VALUE"""),"滿三年更換")</f>
        <v>滿三年更換</v>
      </c>
      <c r="D122" s="37" t="str">
        <f>IFERROR(__xludf.DUMMYFUNCTION("""COMPUTED_VALUE"""),"TW")</f>
        <v>TW</v>
      </c>
      <c r="E122" s="37"/>
      <c r="F122" s="37"/>
      <c r="G122" s="37"/>
      <c r="H122" s="37" t="str">
        <f>IFERROR(__xludf.DUMMYFUNCTION("""COMPUTED_VALUE"""),"策略資料中心:數據管理部")</f>
        <v>策略資料中心:數據管理部</v>
      </c>
      <c r="I122" s="37" t="str">
        <f>IFERROR(__xludf.DUMMYFUNCTION("""COMPUTED_VALUE"""),"資訊裝置")</f>
        <v>資訊裝置</v>
      </c>
      <c r="J122" s="37" t="str">
        <f>IFERROR(__xludf.DUMMYFUNCTION("""COMPUTED_VALUE"""),"AICHMP02106031")</f>
        <v>AICHMP02106031</v>
      </c>
      <c r="K122" s="37" t="str">
        <f>IFERROR(__xludf.DUMMYFUNCTION("""COMPUTED_VALUE"""),"Macbook Pro")</f>
        <v>Macbook Pro</v>
      </c>
      <c r="L122" s="37" t="str">
        <f>IFERROR(__xludf.DUMMYFUNCTION("""COMPUTED_VALUE"""),"C02FT4ZRMD6M")</f>
        <v>C02FT4ZRMD6M</v>
      </c>
      <c r="M122" s="37" t="str">
        <f>IFERROR(__xludf.DUMMYFUNCTION("""COMPUTED_VALUE"""),"張藝瀚")</f>
        <v>張藝瀚</v>
      </c>
      <c r="N122" s="44">
        <f>IFERROR(__xludf.DUMMYFUNCTION("""COMPUTED_VALUE"""),44378.0)</f>
        <v>44378</v>
      </c>
      <c r="O122" s="40">
        <f>IFERROR(__xludf.DUMMYFUNCTION("""COMPUTED_VALUE"""),68710.0)</f>
        <v>68710</v>
      </c>
      <c r="P122" s="37" t="str">
        <f>IFERROR(__xludf.DUMMYFUNCTION("""COMPUTED_VALUE"""),"資訊裝置")</f>
        <v>資訊裝置</v>
      </c>
      <c r="Q122" s="37">
        <f>IFERROR(__xludf.DUMMYFUNCTION("""COMPUTED_VALUE"""),36.0)</f>
        <v>36</v>
      </c>
      <c r="R122" s="37">
        <f>IFERROR(__xludf.DUMMYFUNCTION("""COMPUTED_VALUE"""),36.0)</f>
        <v>36</v>
      </c>
      <c r="S122" s="37" t="str">
        <f>IFERROR(__xludf.DUMMYFUNCTION("""COMPUTED_VALUE"""),"NT$68,710")</f>
        <v>NT$68,710</v>
      </c>
      <c r="T122" s="37"/>
      <c r="U122" s="37"/>
      <c r="V122" s="37"/>
      <c r="W122" s="37"/>
      <c r="X122" s="40" t="str">
        <f>IFERROR(__xludf.DUMMYFUNCTION("""COMPUTED_VALUE"""),"")</f>
        <v/>
      </c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</row>
    <row r="123">
      <c r="B123" s="37"/>
      <c r="C123" s="37" t="str">
        <f>IFERROR(__xludf.DUMMYFUNCTION("""COMPUTED_VALUE"""),"滿三年更換")</f>
        <v>滿三年更換</v>
      </c>
      <c r="D123" s="37" t="str">
        <f>IFERROR(__xludf.DUMMYFUNCTION("""COMPUTED_VALUE"""),"TW")</f>
        <v>TW</v>
      </c>
      <c r="E123" s="37"/>
      <c r="F123" s="37"/>
      <c r="G123" s="37"/>
      <c r="H123" s="37" t="str">
        <f>IFERROR(__xludf.DUMMYFUNCTION("""COMPUTED_VALUE"""),"財務中心:會計部")</f>
        <v>財務中心:會計部</v>
      </c>
      <c r="I123" s="37" t="str">
        <f>IFERROR(__xludf.DUMMYFUNCTION("""COMPUTED_VALUE"""),"資訊裝置")</f>
        <v>資訊裝置</v>
      </c>
      <c r="J123" s="37" t="str">
        <f>IFERROR(__xludf.DUMMYFUNCTION("""COMPUTED_VALUE"""),"AICHMN01604004")</f>
        <v>AICHMN01604004</v>
      </c>
      <c r="K123" s="37" t="str">
        <f>IFERROR(__xludf.DUMMYFUNCTION("""COMPUTED_VALUE"""),"螢幕")</f>
        <v>螢幕</v>
      </c>
      <c r="L123" s="37" t="str">
        <f>IFERROR(__xludf.DUMMYFUNCTION("""COMPUTED_VALUE"""),"CN-0MTYGK-64180-5CA-04CS-A02")</f>
        <v>CN-0MTYGK-64180-5CA-04CS-A02</v>
      </c>
      <c r="M123" s="37" t="str">
        <f>IFERROR(__xludf.DUMMYFUNCTION("""COMPUTED_VALUE"""),"曹昀暐")</f>
        <v>曹昀暐</v>
      </c>
      <c r="N123" s="44">
        <f>IFERROR(__xludf.DUMMYFUNCTION("""COMPUTED_VALUE"""),42468.0)</f>
        <v>42468</v>
      </c>
      <c r="O123" s="37"/>
      <c r="P123" s="37" t="str">
        <f>IFERROR(__xludf.DUMMYFUNCTION("""COMPUTED_VALUE"""),"資訊裝置")</f>
        <v>資訊裝置</v>
      </c>
      <c r="Q123" s="37">
        <f>IFERROR(__xludf.DUMMYFUNCTION("""COMPUTED_VALUE"""),36.0)</f>
        <v>36</v>
      </c>
      <c r="R123" s="37">
        <f>IFERROR(__xludf.DUMMYFUNCTION("""COMPUTED_VALUE"""),36.0)</f>
        <v>36</v>
      </c>
      <c r="S123" s="37" t="str">
        <f>IFERROR(__xludf.DUMMYFUNCTION("""COMPUTED_VALUE"""),"NT$0")</f>
        <v>NT$0</v>
      </c>
      <c r="T123" s="37" t="str">
        <f>IFERROR(__xludf.DUMMYFUNCTION("""COMPUTED_VALUE"""),"Dell 24吋 U2412Mc")</f>
        <v>Dell 24吋 U2412Mc</v>
      </c>
      <c r="U123" s="37"/>
      <c r="V123" s="37"/>
      <c r="W123" s="37"/>
      <c r="X123" s="40" t="str">
        <f>IFERROR(__xludf.DUMMYFUNCTION("""COMPUTED_VALUE"""),"")</f>
        <v/>
      </c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</row>
    <row r="124">
      <c r="B124" s="37"/>
      <c r="C124" s="37" t="str">
        <f>IFERROR(__xludf.DUMMYFUNCTION("""COMPUTED_VALUE"""),"滿三年更換")</f>
        <v>滿三年更換</v>
      </c>
      <c r="D124" s="37" t="str">
        <f>IFERROR(__xludf.DUMMYFUNCTION("""COMPUTED_VALUE"""),"TW")</f>
        <v>TW</v>
      </c>
      <c r="E124" s="37"/>
      <c r="F124" s="37"/>
      <c r="G124" s="37"/>
      <c r="H124" s="37" t="str">
        <f>IFERROR(__xludf.DUMMYFUNCTION("""COMPUTED_VALUE"""),"客戶價值中心")</f>
        <v>客戶價值中心</v>
      </c>
      <c r="I124" s="37" t="str">
        <f>IFERROR(__xludf.DUMMYFUNCTION("""COMPUTED_VALUE"""),"資訊裝置")</f>
        <v>資訊裝置</v>
      </c>
      <c r="J124" s="37" t="str">
        <f>IFERROR(__xludf.DUMMYFUNCTION("""COMPUTED_VALUE"""),"AICHMP01912006")</f>
        <v>AICHMP01912006</v>
      </c>
      <c r="K124" s="37" t="str">
        <f>IFERROR(__xludf.DUMMYFUNCTION("""COMPUTED_VALUE"""),"Macbook Pro")</f>
        <v>Macbook Pro</v>
      </c>
      <c r="L124" s="37" t="str">
        <f>IFERROR(__xludf.DUMMYFUNCTION("""COMPUTED_VALUE"""),"FVFZT3ULL413")</f>
        <v>FVFZT3ULL413</v>
      </c>
      <c r="M124" s="37" t="str">
        <f>IFERROR(__xludf.DUMMYFUNCTION("""COMPUTED_VALUE"""),"梁方瑜")</f>
        <v>梁方瑜</v>
      </c>
      <c r="N124" s="45">
        <f>IFERROR(__xludf.DUMMYFUNCTION("""COMPUTED_VALUE"""),43824.0)</f>
        <v>43824</v>
      </c>
      <c r="O124" s="40">
        <f>IFERROR(__xludf.DUMMYFUNCTION("""COMPUTED_VALUE"""),44713.0)</f>
        <v>44713</v>
      </c>
      <c r="P124" s="37" t="str">
        <f>IFERROR(__xludf.DUMMYFUNCTION("""COMPUTED_VALUE"""),"資訊裝置")</f>
        <v>資訊裝置</v>
      </c>
      <c r="Q124" s="37">
        <f>IFERROR(__xludf.DUMMYFUNCTION("""COMPUTED_VALUE"""),36.0)</f>
        <v>36</v>
      </c>
      <c r="R124" s="37">
        <f>IFERROR(__xludf.DUMMYFUNCTION("""COMPUTED_VALUE"""),36.0)</f>
        <v>36</v>
      </c>
      <c r="S124" s="37" t="str">
        <f>IFERROR(__xludf.DUMMYFUNCTION("""COMPUTED_VALUE"""),"NT$44,713")</f>
        <v>NT$44,713</v>
      </c>
      <c r="T124" s="37" t="str">
        <f>IFERROR(__xludf.DUMMYFUNCTION("""COMPUTED_VALUE"""),"MBP13 (2019,Two Thunderbolt 3 ports) i5/16GBRAM")</f>
        <v>MBP13 (2019,Two Thunderbolt 3 ports) i5/16GBRAM</v>
      </c>
      <c r="U124" s="37"/>
      <c r="V124" s="37"/>
      <c r="W124" s="37"/>
      <c r="X124" s="40" t="str">
        <f>IFERROR(__xludf.DUMMYFUNCTION("""COMPUTED_VALUE"""),"")</f>
        <v/>
      </c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</row>
    <row r="125">
      <c r="B125" s="37"/>
      <c r="C125" s="37" t="str">
        <f>IFERROR(__xludf.DUMMYFUNCTION("""COMPUTED_VALUE"""),"滿三年更換")</f>
        <v>滿三年更換</v>
      </c>
      <c r="D125" s="37" t="str">
        <f>IFERROR(__xludf.DUMMYFUNCTION("""COMPUTED_VALUE"""),"TW")</f>
        <v>TW</v>
      </c>
      <c r="E125" s="37"/>
      <c r="F125" s="37"/>
      <c r="G125" s="37"/>
      <c r="H125" s="37" t="str">
        <f>IFERROR(__xludf.DUMMYFUNCTION("""COMPUTED_VALUE"""),"客戶價值中心")</f>
        <v>客戶價值中心</v>
      </c>
      <c r="I125" s="37" t="str">
        <f>IFERROR(__xludf.DUMMYFUNCTION("""COMPUTED_VALUE"""),"資訊裝置")</f>
        <v>資訊裝置</v>
      </c>
      <c r="J125" s="37" t="str">
        <f>IFERROR(__xludf.DUMMYFUNCTION("""COMPUTED_VALUE"""),"AICHMP02212056")</f>
        <v>AICHMP02212056</v>
      </c>
      <c r="K125" s="37" t="str">
        <f>IFERROR(__xludf.DUMMYFUNCTION("""COMPUTED_VALUE"""),"Macbook Pro")</f>
        <v>Macbook Pro</v>
      </c>
      <c r="L125" s="37" t="str">
        <f>IFERROR(__xludf.DUMMYFUNCTION("""COMPUTED_VALUE"""),"T0Y927VF2P")</f>
        <v>T0Y927VF2P</v>
      </c>
      <c r="M125" s="37" t="str">
        <f>IFERROR(__xludf.DUMMYFUNCTION("""COMPUTED_VALUE"""),"梁方瑜")</f>
        <v>梁方瑜</v>
      </c>
      <c r="N125" s="44">
        <f>IFERROR(__xludf.DUMMYFUNCTION("""COMPUTED_VALUE"""),44924.0)</f>
        <v>44924</v>
      </c>
      <c r="O125" s="40">
        <f>IFERROR(__xludf.DUMMYFUNCTION("""COMPUTED_VALUE"""),76200.0)</f>
        <v>76200</v>
      </c>
      <c r="P125" s="37" t="str">
        <f>IFERROR(__xludf.DUMMYFUNCTION("""COMPUTED_VALUE"""),"資訊裝置")</f>
        <v>資訊裝置</v>
      </c>
      <c r="Q125" s="37">
        <f>IFERROR(__xludf.DUMMYFUNCTION("""COMPUTED_VALUE"""),36.0)</f>
        <v>36</v>
      </c>
      <c r="R125" s="37">
        <f>IFERROR(__xludf.DUMMYFUNCTION("""COMPUTED_VALUE"""),34.0)</f>
        <v>34</v>
      </c>
      <c r="S125" s="37" t="str">
        <f>IFERROR(__xludf.DUMMYFUNCTION("""COMPUTED_VALUE"""),"NT$71,966")</f>
        <v>NT$71,966</v>
      </c>
      <c r="T125" s="37" t="str">
        <f>IFERROR(__xludf.DUMMYFUNCTION("""COMPUTED_VALUE"""),"A2442 MBP14(2021) M1Pro/32GBRAM/")</f>
        <v>A2442 MBP14(2021) M1Pro/32GBRAM/</v>
      </c>
      <c r="U125" s="37"/>
      <c r="V125" s="37"/>
      <c r="W125" s="37"/>
      <c r="X125" s="40" t="str">
        <f>IFERROR(__xludf.DUMMYFUNCTION("""COMPUTED_VALUE"""),"")</f>
        <v/>
      </c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</row>
    <row r="126">
      <c r="B126" s="37"/>
      <c r="C126" s="37" t="str">
        <f>IFERROR(__xludf.DUMMYFUNCTION("""COMPUTED_VALUE"""),"滿三年更換")</f>
        <v>滿三年更換</v>
      </c>
      <c r="D126" s="37" t="str">
        <f>IFERROR(__xludf.DUMMYFUNCTION("""COMPUTED_VALUE"""),"TW")</f>
        <v>TW</v>
      </c>
      <c r="E126" s="37"/>
      <c r="F126" s="37"/>
      <c r="G126" s="37"/>
      <c r="H126" s="37" t="str">
        <f>IFERROR(__xludf.DUMMYFUNCTION("""COMPUTED_VALUE"""),"客戶價值中心")</f>
        <v>客戶價值中心</v>
      </c>
      <c r="I126" s="37" t="str">
        <f>IFERROR(__xludf.DUMMYFUNCTION("""COMPUTED_VALUE"""),"資訊裝置")</f>
        <v>資訊裝置</v>
      </c>
      <c r="J126" s="37" t="str">
        <f>IFERROR(__xludf.DUMMYFUNCTION("""COMPUTED_VALUE"""),"AICHIP01901007")</f>
        <v>AICHIP01901007</v>
      </c>
      <c r="K126" s="37" t="str">
        <f>IFERROR(__xludf.DUMMYFUNCTION("""COMPUTED_VALUE"""),"iPad")</f>
        <v>iPad</v>
      </c>
      <c r="L126" s="37" t="str">
        <f>IFERROR(__xludf.DUMMYFUNCTION("""COMPUTED_VALUE"""),"DMPX978NJMVR")</f>
        <v>DMPX978NJMVR</v>
      </c>
      <c r="M126" s="37" t="str">
        <f>IFERROR(__xludf.DUMMYFUNCTION("""COMPUTED_VALUE"""),"梁方瑜")</f>
        <v>梁方瑜</v>
      </c>
      <c r="N126" s="44">
        <f>IFERROR(__xludf.DUMMYFUNCTION("""COMPUTED_VALUE"""),43490.0)</f>
        <v>43490</v>
      </c>
      <c r="O126" s="40">
        <f>IFERROR(__xludf.DUMMYFUNCTION("""COMPUTED_VALUE"""),9573.0)</f>
        <v>9573</v>
      </c>
      <c r="P126" s="37" t="str">
        <f>IFERROR(__xludf.DUMMYFUNCTION("""COMPUTED_VALUE"""),"資訊裝置")</f>
        <v>資訊裝置</v>
      </c>
      <c r="Q126" s="37">
        <f>IFERROR(__xludf.DUMMYFUNCTION("""COMPUTED_VALUE"""),36.0)</f>
        <v>36</v>
      </c>
      <c r="R126" s="37">
        <f>IFERROR(__xludf.DUMMYFUNCTION("""COMPUTED_VALUE"""),36.0)</f>
        <v>36</v>
      </c>
      <c r="S126" s="37" t="str">
        <f>IFERROR(__xludf.DUMMYFUNCTION("""COMPUTED_VALUE"""),"NT$9,573")</f>
        <v>NT$9,573</v>
      </c>
      <c r="T126" s="37" t="str">
        <f>IFERROR(__xludf.DUMMYFUNCTION("""COMPUTED_VALUE"""),"iPad (第六代) Wi-Fi 32GB(MRJN2TA/A)")</f>
        <v>iPad (第六代) Wi-Fi 32GB(MRJN2TA/A)</v>
      </c>
      <c r="U126" s="37"/>
      <c r="V126" s="37"/>
      <c r="W126" s="37"/>
      <c r="X126" s="40" t="str">
        <f>IFERROR(__xludf.DUMMYFUNCTION("""COMPUTED_VALUE"""),"")</f>
        <v/>
      </c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</row>
    <row r="127">
      <c r="B127" s="37"/>
      <c r="C127" s="37" t="str">
        <f>IFERROR(__xludf.DUMMYFUNCTION("""COMPUTED_VALUE"""),"滿三年更換")</f>
        <v>滿三年更換</v>
      </c>
      <c r="D127" s="37" t="str">
        <f>IFERROR(__xludf.DUMMYFUNCTION("""COMPUTED_VALUE"""),"TW")</f>
        <v>TW</v>
      </c>
      <c r="E127" s="37"/>
      <c r="F127" s="37"/>
      <c r="G127" s="37"/>
      <c r="H127" s="37" t="str">
        <f>IFERROR(__xludf.DUMMYFUNCTION("""COMPUTED_VALUE"""),"客戶價值中心")</f>
        <v>客戶價值中心</v>
      </c>
      <c r="I127" s="37" t="str">
        <f>IFERROR(__xludf.DUMMYFUNCTION("""COMPUTED_VALUE"""),"資訊裝置")</f>
        <v>資訊裝置</v>
      </c>
      <c r="J127" s="37" t="str">
        <f>IFERROR(__xludf.DUMMYFUNCTION("""COMPUTED_VALUE"""),"AICHMN02003066")</f>
        <v>AICHMN02003066</v>
      </c>
      <c r="K127" s="37" t="str">
        <f>IFERROR(__xludf.DUMMYFUNCTION("""COMPUTED_VALUE"""),"螢幕")</f>
        <v>螢幕</v>
      </c>
      <c r="L127" s="37" t="str">
        <f>IFERROR(__xludf.DUMMYFUNCTION("""COMPUTED_VALUE"""),"CN-07N2FG-TV100-98P-010L-A10")</f>
        <v>CN-07N2FG-TV100-98P-010L-A10</v>
      </c>
      <c r="M127" s="37" t="str">
        <f>IFERROR(__xludf.DUMMYFUNCTION("""COMPUTED_VALUE"""),"梁方瑜")</f>
        <v>梁方瑜</v>
      </c>
      <c r="N127" s="44">
        <f>IFERROR(__xludf.DUMMYFUNCTION("""COMPUTED_VALUE"""),43888.0)</f>
        <v>43888</v>
      </c>
      <c r="O127" s="37"/>
      <c r="P127" s="37" t="str">
        <f>IFERROR(__xludf.DUMMYFUNCTION("""COMPUTED_VALUE"""),"資訊裝置")</f>
        <v>資訊裝置</v>
      </c>
      <c r="Q127" s="37">
        <f>IFERROR(__xludf.DUMMYFUNCTION("""COMPUTED_VALUE"""),36.0)</f>
        <v>36</v>
      </c>
      <c r="R127" s="37">
        <f>IFERROR(__xludf.DUMMYFUNCTION("""COMPUTED_VALUE"""),36.0)</f>
        <v>36</v>
      </c>
      <c r="S127" s="37" t="str">
        <f>IFERROR(__xludf.DUMMYFUNCTION("""COMPUTED_VALUE"""),"NT$0")</f>
        <v>NT$0</v>
      </c>
      <c r="T127" s="37" t="str">
        <f>IFERROR(__xludf.DUMMYFUNCTION("""COMPUTED_VALUE"""),"Dell 24吋 U2412Mc")</f>
        <v>Dell 24吋 U2412Mc</v>
      </c>
      <c r="U127" s="37"/>
      <c r="V127" s="37"/>
      <c r="W127" s="37"/>
      <c r="X127" s="40" t="str">
        <f>IFERROR(__xludf.DUMMYFUNCTION("""COMPUTED_VALUE"""),"")</f>
        <v/>
      </c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</row>
    <row r="128">
      <c r="B128" s="37"/>
      <c r="C128" s="37" t="str">
        <f>IFERROR(__xludf.DUMMYFUNCTION("""COMPUTED_VALUE"""),"滿三年更換")</f>
        <v>滿三年更換</v>
      </c>
      <c r="D128" s="37" t="str">
        <f>IFERROR(__xludf.DUMMYFUNCTION("""COMPUTED_VALUE"""),"TW")</f>
        <v>TW</v>
      </c>
      <c r="E128" s="37"/>
      <c r="F128" s="37"/>
      <c r="G128" s="37"/>
      <c r="H128" s="37" t="str">
        <f>IFERROR(__xludf.DUMMYFUNCTION("""COMPUTED_VALUE"""),"客戶價值中心")</f>
        <v>客戶價值中心</v>
      </c>
      <c r="I128" s="37" t="str">
        <f>IFERROR(__xludf.DUMMYFUNCTION("""COMPUTED_VALUE"""),"資訊裝置")</f>
        <v>資訊裝置</v>
      </c>
      <c r="J128" s="37" t="str">
        <f>IFERROR(__xludf.DUMMYFUNCTION("""COMPUTED_VALUE"""),"AICHMN02009084")</f>
        <v>AICHMN02009084</v>
      </c>
      <c r="K128" s="37" t="str">
        <f>IFERROR(__xludf.DUMMYFUNCTION("""COMPUTED_VALUE"""),"螢幕")</f>
        <v>螢幕</v>
      </c>
      <c r="L128" s="37" t="str">
        <f>IFERROR(__xludf.DUMMYFUNCTION("""COMPUTED_VALUE"""),"CN-0Y2YF1-QDC00-06B-176L-A16")</f>
        <v>CN-0Y2YF1-QDC00-06B-176L-A16</v>
      </c>
      <c r="M128" s="37" t="str">
        <f>IFERROR(__xludf.DUMMYFUNCTION("""COMPUTED_VALUE"""),"梁方瑜")</f>
        <v>梁方瑜</v>
      </c>
      <c r="N128" s="44">
        <f>IFERROR(__xludf.DUMMYFUNCTION("""COMPUTED_VALUE"""),44081.0)</f>
        <v>44081</v>
      </c>
      <c r="O128" s="40">
        <f>IFERROR(__xludf.DUMMYFUNCTION("""COMPUTED_VALUE"""),9549.0)</f>
        <v>9549</v>
      </c>
      <c r="P128" s="37" t="str">
        <f>IFERROR(__xludf.DUMMYFUNCTION("""COMPUTED_VALUE"""),"資訊裝置")</f>
        <v>資訊裝置</v>
      </c>
      <c r="Q128" s="37">
        <f>IFERROR(__xludf.DUMMYFUNCTION("""COMPUTED_VALUE"""),36.0)</f>
        <v>36</v>
      </c>
      <c r="R128" s="37">
        <f>IFERROR(__xludf.DUMMYFUNCTION("""COMPUTED_VALUE"""),36.0)</f>
        <v>36</v>
      </c>
      <c r="S128" s="37" t="str">
        <f>IFERROR(__xludf.DUMMYFUNCTION("""COMPUTED_VALUE"""),"NT$9,549")</f>
        <v>NT$9,549</v>
      </c>
      <c r="T128" s="37" t="str">
        <f>IFERROR(__xludf.DUMMYFUNCTION("""COMPUTED_VALUE"""),"Dell 24吋 U2415")</f>
        <v>Dell 24吋 U2415</v>
      </c>
      <c r="U128" s="37"/>
      <c r="V128" s="37"/>
      <c r="W128" s="37"/>
      <c r="X128" s="40" t="str">
        <f>IFERROR(__xludf.DUMMYFUNCTION("""COMPUTED_VALUE"""),"")</f>
        <v/>
      </c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</row>
    <row r="129">
      <c r="B129" s="37"/>
      <c r="C129" s="37" t="str">
        <f>IFERROR(__xludf.DUMMYFUNCTION("""COMPUTED_VALUE"""),"滿三年更換")</f>
        <v>滿三年更換</v>
      </c>
      <c r="D129" s="37" t="str">
        <f>IFERROR(__xludf.DUMMYFUNCTION("""COMPUTED_VALUE"""),"TW")</f>
        <v>TW</v>
      </c>
      <c r="E129" s="37"/>
      <c r="F129" s="37"/>
      <c r="G129" s="37"/>
      <c r="H129" s="44" t="str">
        <f>IFERROR(__xludf.DUMMYFUNCTION("""COMPUTED_VALUE"""),"行銷營運中心:銷售營運部:銷售顧問團隊")</f>
        <v>行銷營運中心:銷售營運部:銷售顧問團隊</v>
      </c>
      <c r="I129" s="37" t="str">
        <f>IFERROR(__xludf.DUMMYFUNCTION("""COMPUTED_VALUE"""),"資訊裝置")</f>
        <v>資訊裝置</v>
      </c>
      <c r="J129" s="37" t="str">
        <f>IFERROR(__xludf.DUMMYFUNCTION("""COMPUTED_VALUE"""),"AICHMA02108040")</f>
        <v>AICHMA02108040</v>
      </c>
      <c r="K129" s="37" t="str">
        <f>IFERROR(__xludf.DUMMYFUNCTION("""COMPUTED_VALUE"""),"Macbook Air")</f>
        <v>Macbook Air</v>
      </c>
      <c r="L129" s="37" t="str">
        <f>IFERROR(__xludf.DUMMYFUNCTION("""COMPUTED_VALUE"""),"FVFG349CQ6L4")</f>
        <v>FVFG349CQ6L4</v>
      </c>
      <c r="M129" s="37" t="str">
        <f>IFERROR(__xludf.DUMMYFUNCTION("""COMPUTED_VALUE"""),"梁明凱")</f>
        <v>梁明凱</v>
      </c>
      <c r="N129" s="44">
        <f>IFERROR(__xludf.DUMMYFUNCTION("""COMPUTED_VALUE"""),44411.0)</f>
        <v>44411</v>
      </c>
      <c r="O129" s="40">
        <f>IFERROR(__xludf.DUMMYFUNCTION("""COMPUTED_VALUE"""),27663.0)</f>
        <v>27663</v>
      </c>
      <c r="P129" s="37" t="str">
        <f>IFERROR(__xludf.DUMMYFUNCTION("""COMPUTED_VALUE"""),"資訊裝置")</f>
        <v>資訊裝置</v>
      </c>
      <c r="Q129" s="37">
        <f>IFERROR(__xludf.DUMMYFUNCTION("""COMPUTED_VALUE"""),36.0)</f>
        <v>36</v>
      </c>
      <c r="R129" s="37">
        <f>IFERROR(__xludf.DUMMYFUNCTION("""COMPUTED_VALUE"""),36.0)</f>
        <v>36</v>
      </c>
      <c r="S129" s="37" t="str">
        <f>IFERROR(__xludf.DUMMYFUNCTION("""COMPUTED_VALUE"""),"NT$27,663")</f>
        <v>NT$27,663</v>
      </c>
      <c r="T129" s="37" t="str">
        <f>IFERROR(__xludf.DUMMYFUNCTION("""COMPUTED_VALUE"""),"MBA13 (2020) M1/8GBRAM/256GBSSD")</f>
        <v>MBA13 (2020) M1/8GBRAM/256GBSSD</v>
      </c>
      <c r="U129" s="37"/>
      <c r="V129" s="37"/>
      <c r="W129" s="37"/>
      <c r="X129" s="40" t="str">
        <f>IFERROR(__xludf.DUMMYFUNCTION("""COMPUTED_VALUE"""),"")</f>
        <v/>
      </c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</row>
    <row r="130">
      <c r="B130" s="37"/>
      <c r="C130" s="37" t="str">
        <f>IFERROR(__xludf.DUMMYFUNCTION("""COMPUTED_VALUE"""),"滿三年更換")</f>
        <v>滿三年更換</v>
      </c>
      <c r="D130" s="37" t="str">
        <f>IFERROR(__xludf.DUMMYFUNCTION("""COMPUTED_VALUE"""),"TW")</f>
        <v>TW</v>
      </c>
      <c r="E130" s="37"/>
      <c r="F130" s="37"/>
      <c r="G130" s="37"/>
      <c r="H130" s="44" t="str">
        <f>IFERROR(__xludf.DUMMYFUNCTION("""COMPUTED_VALUE"""),"行銷營運中心:銷售營運部:銷售顧問團隊")</f>
        <v>行銷營運中心:銷售營運部:銷售顧問團隊</v>
      </c>
      <c r="I130" s="37" t="str">
        <f>IFERROR(__xludf.DUMMYFUNCTION("""COMPUTED_VALUE"""),"資訊裝置")</f>
        <v>資訊裝置</v>
      </c>
      <c r="J130" s="37" t="str">
        <f>IFERROR(__xludf.DUMMYFUNCTION("""COMPUTED_VALUE"""),"AICHIP02107071")</f>
        <v>AICHIP02107071</v>
      </c>
      <c r="K130" s="37" t="str">
        <f>IFERROR(__xludf.DUMMYFUNCTION("""COMPUTED_VALUE"""),"iPad")</f>
        <v>iPad</v>
      </c>
      <c r="L130" s="37" t="str">
        <f>IFERROR(__xludf.DUMMYFUNCTION("""COMPUTED_VALUE"""),"F9FFVHGZQ1GF")</f>
        <v>F9FFVHGZQ1GF</v>
      </c>
      <c r="M130" s="37" t="str">
        <f>IFERROR(__xludf.DUMMYFUNCTION("""COMPUTED_VALUE"""),"梁明凱")</f>
        <v>梁明凱</v>
      </c>
      <c r="N130" s="44">
        <f>IFERROR(__xludf.DUMMYFUNCTION("""COMPUTED_VALUE"""),44400.0)</f>
        <v>44400</v>
      </c>
      <c r="O130" s="40">
        <f>IFERROR(__xludf.DUMMYFUNCTION("""COMPUTED_VALUE"""),9450.0)</f>
        <v>9450</v>
      </c>
      <c r="P130" s="37" t="str">
        <f>IFERROR(__xludf.DUMMYFUNCTION("""COMPUTED_VALUE"""),"資訊裝置")</f>
        <v>資訊裝置</v>
      </c>
      <c r="Q130" s="37">
        <f>IFERROR(__xludf.DUMMYFUNCTION("""COMPUTED_VALUE"""),36.0)</f>
        <v>36</v>
      </c>
      <c r="R130" s="37">
        <f>IFERROR(__xludf.DUMMYFUNCTION("""COMPUTED_VALUE"""),36.0)</f>
        <v>36</v>
      </c>
      <c r="S130" s="37" t="str">
        <f>IFERROR(__xludf.DUMMYFUNCTION("""COMPUTED_VALUE"""),"NT$9,450")</f>
        <v>NT$9,450</v>
      </c>
      <c r="T130" s="37" t="str">
        <f>IFERROR(__xludf.DUMMYFUNCTION("""COMPUTED_VALUE"""),"iPad (第八代) 32GB WIFI(MYLC2TA/A)")</f>
        <v>iPad (第八代) 32GB WIFI(MYLC2TA/A)</v>
      </c>
      <c r="U130" s="37"/>
      <c r="V130" s="37"/>
      <c r="W130" s="37"/>
      <c r="X130" s="40" t="str">
        <f>IFERROR(__xludf.DUMMYFUNCTION("""COMPUTED_VALUE"""),"")</f>
        <v/>
      </c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</row>
    <row r="131">
      <c r="B131" s="37"/>
      <c r="C131" s="37" t="str">
        <f>IFERROR(__xludf.DUMMYFUNCTION("""COMPUTED_VALUE"""),"滿三年更換")</f>
        <v>滿三年更換</v>
      </c>
      <c r="D131" s="37" t="str">
        <f>IFERROR(__xludf.DUMMYFUNCTION("""COMPUTED_VALUE"""),"TW")</f>
        <v>TW</v>
      </c>
      <c r="E131" s="37"/>
      <c r="F131" s="37"/>
      <c r="G131" s="37"/>
      <c r="H131" s="44" t="str">
        <f>IFERROR(__xludf.DUMMYFUNCTION("""COMPUTED_VALUE"""),"行銷營運中心:社群關係部:餐廳社群團隊")</f>
        <v>行銷營運中心:社群關係部:餐廳社群團隊</v>
      </c>
      <c r="I131" s="37" t="str">
        <f>IFERROR(__xludf.DUMMYFUNCTION("""COMPUTED_VALUE"""),"資訊裝置")</f>
        <v>資訊裝置</v>
      </c>
      <c r="J131" s="37" t="str">
        <f>IFERROR(__xludf.DUMMYFUNCTION("""COMPUTED_VALUE"""),"AICHMN02102096")</f>
        <v>AICHMN02102096</v>
      </c>
      <c r="K131" s="37" t="str">
        <f>IFERROR(__xludf.DUMMYFUNCTION("""COMPUTED_VALUE"""),"螢幕")</f>
        <v>螢幕</v>
      </c>
      <c r="L131" s="37" t="str">
        <f>IFERROR(__xludf.DUMMYFUNCTION("""COMPUTED_VALUE"""),"CN-0941GG-QDC00-0CL-5Z1B-A13")</f>
        <v>CN-0941GG-QDC00-0CL-5Z1B-A13</v>
      </c>
      <c r="M131" s="37" t="str">
        <f>IFERROR(__xludf.DUMMYFUNCTION("""COMPUTED_VALUE"""),"梁嘉穎")</f>
        <v>梁嘉穎</v>
      </c>
      <c r="N131" s="44">
        <f>IFERROR(__xludf.DUMMYFUNCTION("""COMPUTED_VALUE"""),44229.0)</f>
        <v>44229</v>
      </c>
      <c r="O131" s="37"/>
      <c r="P131" s="37" t="str">
        <f>IFERROR(__xludf.DUMMYFUNCTION("""COMPUTED_VALUE"""),"資訊裝置")</f>
        <v>資訊裝置</v>
      </c>
      <c r="Q131" s="37">
        <f>IFERROR(__xludf.DUMMYFUNCTION("""COMPUTED_VALUE"""),36.0)</f>
        <v>36</v>
      </c>
      <c r="R131" s="37">
        <f>IFERROR(__xludf.DUMMYFUNCTION("""COMPUTED_VALUE"""),36.0)</f>
        <v>36</v>
      </c>
      <c r="S131" s="37" t="str">
        <f>IFERROR(__xludf.DUMMYFUNCTION("""COMPUTED_VALUE"""),"NT$0")</f>
        <v>NT$0</v>
      </c>
      <c r="T131" s="37" t="str">
        <f>IFERROR(__xludf.DUMMYFUNCTION("""COMPUTED_VALUE"""),"Dell 24吋 P2419H")</f>
        <v>Dell 24吋 P2419H</v>
      </c>
      <c r="U131" s="37"/>
      <c r="V131" s="37"/>
      <c r="W131" s="37"/>
      <c r="X131" s="40" t="str">
        <f>IFERROR(__xludf.DUMMYFUNCTION("""COMPUTED_VALUE"""),"")</f>
        <v/>
      </c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</row>
    <row r="132">
      <c r="B132" s="37"/>
      <c r="C132" s="37" t="str">
        <f>IFERROR(__xludf.DUMMYFUNCTION("""COMPUTED_VALUE"""),"滿三年更換")</f>
        <v>滿三年更換</v>
      </c>
      <c r="D132" s="37" t="str">
        <f>IFERROR(__xludf.DUMMYFUNCTION("""COMPUTED_VALUE"""),"TW")</f>
        <v>TW</v>
      </c>
      <c r="E132" s="37"/>
      <c r="F132" s="37"/>
      <c r="G132" s="37"/>
      <c r="H132" s="44" t="str">
        <f>IFERROR(__xludf.DUMMYFUNCTION("""COMPUTED_VALUE"""),"研發中心:軟體工程部:IOS團隊")</f>
        <v>研發中心:軟體工程部:IOS團隊</v>
      </c>
      <c r="I132" s="37" t="str">
        <f>IFERROR(__xludf.DUMMYFUNCTION("""COMPUTED_VALUE"""),"資訊裝置")</f>
        <v>資訊裝置</v>
      </c>
      <c r="J132" s="37" t="str">
        <f>IFERROR(__xludf.DUMMYFUNCTION("""COMPUTED_VALUE"""),"AICHIP02008035")</f>
        <v>AICHIP02008035</v>
      </c>
      <c r="K132" s="37" t="str">
        <f>IFERROR(__xludf.DUMMYFUNCTION("""COMPUTED_VALUE"""),"iPad")</f>
        <v>iPad</v>
      </c>
      <c r="L132" s="37" t="str">
        <f>IFERROR(__xludf.DUMMYFUNCTION("""COMPUTED_VALUE"""),"DMPD3L03MF3P")</f>
        <v>DMPD3L03MF3P</v>
      </c>
      <c r="M132" s="37" t="str">
        <f>IFERROR(__xludf.DUMMYFUNCTION("""COMPUTED_VALUE"""),"莊承霖")</f>
        <v>莊承霖</v>
      </c>
      <c r="N132" s="44">
        <f>IFERROR(__xludf.DUMMYFUNCTION("""COMPUTED_VALUE"""),44074.0)</f>
        <v>44074</v>
      </c>
      <c r="O132" s="40">
        <f>IFERROR(__xludf.DUMMYFUNCTION("""COMPUTED_VALUE"""),9818.0)</f>
        <v>9818</v>
      </c>
      <c r="P132" s="37" t="str">
        <f>IFERROR(__xludf.DUMMYFUNCTION("""COMPUTED_VALUE"""),"資訊裝置")</f>
        <v>資訊裝置</v>
      </c>
      <c r="Q132" s="37">
        <f>IFERROR(__xludf.DUMMYFUNCTION("""COMPUTED_VALUE"""),36.0)</f>
        <v>36</v>
      </c>
      <c r="R132" s="37">
        <f>IFERROR(__xludf.DUMMYFUNCTION("""COMPUTED_VALUE"""),36.0)</f>
        <v>36</v>
      </c>
      <c r="S132" s="37" t="str">
        <f>IFERROR(__xludf.DUMMYFUNCTION("""COMPUTED_VALUE"""),"NT$9,818")</f>
        <v>NT$9,818</v>
      </c>
      <c r="T132" s="37" t="str">
        <f>IFERROR(__xludf.DUMMYFUNCTION("""COMPUTED_VALUE"""),"iPad (第七代) 32GB WIFI (MW762TA/A)")</f>
        <v>iPad (第七代) 32GB WIFI (MW762TA/A)</v>
      </c>
      <c r="U132" s="37"/>
      <c r="V132" s="37"/>
      <c r="W132" s="37"/>
      <c r="X132" s="40" t="str">
        <f>IFERROR(__xludf.DUMMYFUNCTION("""COMPUTED_VALUE"""),"")</f>
        <v/>
      </c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</row>
    <row r="133">
      <c r="B133" s="37"/>
      <c r="C133" s="37" t="str">
        <f>IFERROR(__xludf.DUMMYFUNCTION("""COMPUTED_VALUE"""),"滿三年更換")</f>
        <v>滿三年更換</v>
      </c>
      <c r="D133" s="37" t="str">
        <f>IFERROR(__xludf.DUMMYFUNCTION("""COMPUTED_VALUE"""),"TW")</f>
        <v>TW</v>
      </c>
      <c r="E133" s="37"/>
      <c r="F133" s="37"/>
      <c r="G133" s="37"/>
      <c r="H133" s="44" t="str">
        <f>IFERROR(__xludf.DUMMYFUNCTION("""COMPUTED_VALUE"""),"研發中心:軟體工程部:IOS團隊")</f>
        <v>研發中心:軟體工程部:IOS團隊</v>
      </c>
      <c r="I133" s="37" t="str">
        <f>IFERROR(__xludf.DUMMYFUNCTION("""COMPUTED_VALUE"""),"資訊裝置")</f>
        <v>資訊裝置</v>
      </c>
      <c r="J133" s="37" t="str">
        <f>IFERROR(__xludf.DUMMYFUNCTION("""COMPUTED_VALUE"""),"AICHMN01604025")</f>
        <v>AICHMN01604025</v>
      </c>
      <c r="K133" s="37" t="str">
        <f>IFERROR(__xludf.DUMMYFUNCTION("""COMPUTED_VALUE"""),"螢幕")</f>
        <v>螢幕</v>
      </c>
      <c r="L133" s="37" t="str">
        <f>IFERROR(__xludf.DUMMYFUNCTION("""COMPUTED_VALUE"""),"CN-0YR48V-74261-26O-1LDL")</f>
        <v>CN-0YR48V-74261-26O-1LDL</v>
      </c>
      <c r="M133" s="37" t="str">
        <f>IFERROR(__xludf.DUMMYFUNCTION("""COMPUTED_VALUE"""),"莊承霖")</f>
        <v>莊承霖</v>
      </c>
      <c r="N133" s="44">
        <f>IFERROR(__xludf.DUMMYFUNCTION("""COMPUTED_VALUE"""),42468.0)</f>
        <v>42468</v>
      </c>
      <c r="O133" s="37"/>
      <c r="P133" s="37" t="str">
        <f>IFERROR(__xludf.DUMMYFUNCTION("""COMPUTED_VALUE"""),"資訊裝置")</f>
        <v>資訊裝置</v>
      </c>
      <c r="Q133" s="37">
        <f>IFERROR(__xludf.DUMMYFUNCTION("""COMPUTED_VALUE"""),36.0)</f>
        <v>36</v>
      </c>
      <c r="R133" s="37">
        <f>IFERROR(__xludf.DUMMYFUNCTION("""COMPUTED_VALUE"""),36.0)</f>
        <v>36</v>
      </c>
      <c r="S133" s="37" t="str">
        <f>IFERROR(__xludf.DUMMYFUNCTION("""COMPUTED_VALUE"""),"NT$0")</f>
        <v>NT$0</v>
      </c>
      <c r="T133" s="37" t="str">
        <f>IFERROR(__xludf.DUMMYFUNCTION("""COMPUTED_VALUE"""),"Dell 24吋 U2412Mb")</f>
        <v>Dell 24吋 U2412Mb</v>
      </c>
      <c r="U133" s="37"/>
      <c r="V133" s="37"/>
      <c r="W133" s="37"/>
      <c r="X133" s="40" t="str">
        <f>IFERROR(__xludf.DUMMYFUNCTION("""COMPUTED_VALUE"""),"")</f>
        <v/>
      </c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</row>
    <row r="134">
      <c r="B134" s="37"/>
      <c r="C134" s="37" t="str">
        <f>IFERROR(__xludf.DUMMYFUNCTION("""COMPUTED_VALUE"""),"滿三年更換")</f>
        <v>滿三年更換</v>
      </c>
      <c r="D134" s="37" t="str">
        <f>IFERROR(__xludf.DUMMYFUNCTION("""COMPUTED_VALUE"""),"TW")</f>
        <v>TW</v>
      </c>
      <c r="E134" s="37"/>
      <c r="F134" s="37"/>
      <c r="G134" s="37"/>
      <c r="H134" s="44" t="str">
        <f>IFERROR(__xludf.DUMMYFUNCTION("""COMPUTED_VALUE"""),"研發中心:軟體工程部:IOS團隊")</f>
        <v>研發中心:軟體工程部:IOS團隊</v>
      </c>
      <c r="I134" s="37" t="str">
        <f>IFERROR(__xludf.DUMMYFUNCTION("""COMPUTED_VALUE"""),"資訊裝置")</f>
        <v>資訊裝置</v>
      </c>
      <c r="J134" s="37" t="str">
        <f>IFERROR(__xludf.DUMMYFUNCTION("""COMPUTED_VALUE"""),"AICHMN02009080")</f>
        <v>AICHMN02009080</v>
      </c>
      <c r="K134" s="37" t="str">
        <f>IFERROR(__xludf.DUMMYFUNCTION("""COMPUTED_VALUE"""),"螢幕")</f>
        <v>螢幕</v>
      </c>
      <c r="L134" s="37" t="str">
        <f>IFERROR(__xludf.DUMMYFUNCTION("""COMPUTED_VALUE"""),"CN-0Y2YF1-QDC00-06L-1G6U-A16")</f>
        <v>CN-0Y2YF1-QDC00-06L-1G6U-A16</v>
      </c>
      <c r="M134" s="37" t="str">
        <f>IFERROR(__xludf.DUMMYFUNCTION("""COMPUTED_VALUE"""),"莊承霖")</f>
        <v>莊承霖</v>
      </c>
      <c r="N134" s="44">
        <f>IFERROR(__xludf.DUMMYFUNCTION("""COMPUTED_VALUE"""),44081.0)</f>
        <v>44081</v>
      </c>
      <c r="O134" s="37"/>
      <c r="P134" s="37" t="str">
        <f>IFERROR(__xludf.DUMMYFUNCTION("""COMPUTED_VALUE"""),"資訊裝置")</f>
        <v>資訊裝置</v>
      </c>
      <c r="Q134" s="37">
        <f>IFERROR(__xludf.DUMMYFUNCTION("""COMPUTED_VALUE"""),36.0)</f>
        <v>36</v>
      </c>
      <c r="R134" s="37">
        <f>IFERROR(__xludf.DUMMYFUNCTION("""COMPUTED_VALUE"""),36.0)</f>
        <v>36</v>
      </c>
      <c r="S134" s="37" t="str">
        <f>IFERROR(__xludf.DUMMYFUNCTION("""COMPUTED_VALUE"""),"NT$0")</f>
        <v>NT$0</v>
      </c>
      <c r="T134" s="37" t="str">
        <f>IFERROR(__xludf.DUMMYFUNCTION("""COMPUTED_VALUE"""),"Dell 24吋 U2415")</f>
        <v>Dell 24吋 U2415</v>
      </c>
      <c r="U134" s="37"/>
      <c r="V134" s="37"/>
      <c r="W134" s="37"/>
      <c r="X134" s="40" t="str">
        <f>IFERROR(__xludf.DUMMYFUNCTION("""COMPUTED_VALUE"""),"")</f>
        <v/>
      </c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</row>
    <row r="135">
      <c r="B135" s="37"/>
      <c r="C135" s="37" t="str">
        <f>IFERROR(__xludf.DUMMYFUNCTION("""COMPUTED_VALUE"""),"滿三年更換")</f>
        <v>滿三年更換</v>
      </c>
      <c r="D135" s="37" t="str">
        <f>IFERROR(__xludf.DUMMYFUNCTION("""COMPUTED_VALUE"""),"TW")</f>
        <v>TW</v>
      </c>
      <c r="E135" s="37"/>
      <c r="F135" s="37"/>
      <c r="G135" s="37"/>
      <c r="H135" s="44" t="str">
        <f>IFERROR(__xludf.DUMMYFUNCTION("""COMPUTED_VALUE"""),"客戶價值中心:客戶關係管理部:續約管理團隊")</f>
        <v>客戶價值中心:客戶關係管理部:續約管理團隊</v>
      </c>
      <c r="I135" s="37" t="str">
        <f>IFERROR(__xludf.DUMMYFUNCTION("""COMPUTED_VALUE"""),"資訊裝置")</f>
        <v>資訊裝置</v>
      </c>
      <c r="J135" s="37" t="str">
        <f>IFERROR(__xludf.DUMMYFUNCTION("""COMPUTED_VALUE"""),"AICHMN01604001")</f>
        <v>AICHMN01604001</v>
      </c>
      <c r="K135" s="37" t="str">
        <f>IFERROR(__xludf.DUMMYFUNCTION("""COMPUTED_VALUE"""),"螢幕")</f>
        <v>螢幕</v>
      </c>
      <c r="L135" s="37" t="str">
        <f>IFERROR(__xludf.DUMMYFUNCTION("""COMPUTED_VALUE"""),"CN-03W9XD-74261-472-346L")</f>
        <v>CN-03W9XD-74261-472-346L</v>
      </c>
      <c r="M135" s="37" t="str">
        <f>IFERROR(__xludf.DUMMYFUNCTION("""COMPUTED_VALUE"""),"莊媁晨")</f>
        <v>莊媁晨</v>
      </c>
      <c r="N135" s="44">
        <f>IFERROR(__xludf.DUMMYFUNCTION("""COMPUTED_VALUE"""),42468.0)</f>
        <v>42468</v>
      </c>
      <c r="O135" s="37"/>
      <c r="P135" s="37" t="str">
        <f>IFERROR(__xludf.DUMMYFUNCTION("""COMPUTED_VALUE"""),"資訊裝置")</f>
        <v>資訊裝置</v>
      </c>
      <c r="Q135" s="37">
        <f>IFERROR(__xludf.DUMMYFUNCTION("""COMPUTED_VALUE"""),36.0)</f>
        <v>36</v>
      </c>
      <c r="R135" s="37">
        <f>IFERROR(__xludf.DUMMYFUNCTION("""COMPUTED_VALUE"""),36.0)</f>
        <v>36</v>
      </c>
      <c r="S135" s="37" t="str">
        <f>IFERROR(__xludf.DUMMYFUNCTION("""COMPUTED_VALUE"""),"NT$0")</f>
        <v>NT$0</v>
      </c>
      <c r="T135" s="37" t="str">
        <f>IFERROR(__xludf.DUMMYFUNCTION("""COMPUTED_VALUE"""),"Dell 24吋 U2412Mb")</f>
        <v>Dell 24吋 U2412Mb</v>
      </c>
      <c r="U135" s="37"/>
      <c r="V135" s="37"/>
      <c r="W135" s="37"/>
      <c r="X135" s="40" t="str">
        <f>IFERROR(__xludf.DUMMYFUNCTION("""COMPUTED_VALUE"""),"")</f>
        <v/>
      </c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</row>
    <row r="136">
      <c r="B136" s="37"/>
      <c r="C136" s="37" t="str">
        <f>IFERROR(__xludf.DUMMYFUNCTION("""COMPUTED_VALUE"""),"滿三年更換")</f>
        <v>滿三年更換</v>
      </c>
      <c r="D136" s="37" t="str">
        <f>IFERROR(__xludf.DUMMYFUNCTION("""COMPUTED_VALUE"""),"TW")</f>
        <v>TW</v>
      </c>
      <c r="E136" s="37"/>
      <c r="F136" s="37"/>
      <c r="G136" s="37"/>
      <c r="H136" s="44" t="str">
        <f>IFERROR(__xludf.DUMMYFUNCTION("""COMPUTED_VALUE"""),"研發中心:軟體工程部:後端團隊")</f>
        <v>研發中心:軟體工程部:後端團隊</v>
      </c>
      <c r="I136" s="37" t="str">
        <f>IFERROR(__xludf.DUMMYFUNCTION("""COMPUTED_VALUE"""),"資訊裝置")</f>
        <v>資訊裝置</v>
      </c>
      <c r="J136" s="37" t="str">
        <f>IFERROR(__xludf.DUMMYFUNCTION("""COMPUTED_VALUE"""),"AICHMP02201042")</f>
        <v>AICHMP02201042</v>
      </c>
      <c r="K136" s="37" t="str">
        <f>IFERROR(__xludf.DUMMYFUNCTION("""COMPUTED_VALUE"""),"Macbook Pro")</f>
        <v>Macbook Pro</v>
      </c>
      <c r="L136" s="37" t="str">
        <f>IFERROR(__xludf.DUMMYFUNCTION("""COMPUTED_VALUE"""),"YJWV3T7KV1")</f>
        <v>YJWV3T7KV1</v>
      </c>
      <c r="M136" s="37" t="str">
        <f>IFERROR(__xludf.DUMMYFUNCTION("""COMPUTED_VALUE"""),"許雲翔")</f>
        <v>許雲翔</v>
      </c>
      <c r="N136" s="44">
        <f>IFERROR(__xludf.DUMMYFUNCTION("""COMPUTED_VALUE"""),44587.0)</f>
        <v>44587</v>
      </c>
      <c r="O136" s="40">
        <f>IFERROR(__xludf.DUMMYFUNCTION("""COMPUTED_VALUE"""),81400.0)</f>
        <v>81400</v>
      </c>
      <c r="P136" s="37" t="str">
        <f>IFERROR(__xludf.DUMMYFUNCTION("""COMPUTED_VALUE"""),"資訊裝置")</f>
        <v>資訊裝置</v>
      </c>
      <c r="Q136" s="37">
        <f>IFERROR(__xludf.DUMMYFUNCTION("""COMPUTED_VALUE"""),36.0)</f>
        <v>36</v>
      </c>
      <c r="R136" s="37">
        <f>IFERROR(__xludf.DUMMYFUNCTION("""COMPUTED_VALUE"""),36.0)</f>
        <v>36</v>
      </c>
      <c r="S136" s="37" t="str">
        <f>IFERROR(__xludf.DUMMYFUNCTION("""COMPUTED_VALUE"""),"NT$81,400")</f>
        <v>NT$81,400</v>
      </c>
      <c r="T136" s="37" t="str">
        <f>IFERROR(__xludf.DUMMYFUNCTION("""COMPUTED_VALUE"""),"A2483 MBP16 (2021) M1MAX/32GBRAM/512GBSSD")</f>
        <v>A2483 MBP16 (2021) M1MAX/32GBRAM/512GBSSD</v>
      </c>
      <c r="U136" s="37"/>
      <c r="V136" s="37"/>
      <c r="W136" s="37"/>
      <c r="X136" s="40" t="str">
        <f>IFERROR(__xludf.DUMMYFUNCTION("""COMPUTED_VALUE"""),"")</f>
        <v/>
      </c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</row>
    <row r="137">
      <c r="B137" s="37"/>
      <c r="C137" s="37" t="str">
        <f>IFERROR(__xludf.DUMMYFUNCTION("""COMPUTED_VALUE"""),"滿三年更換")</f>
        <v>滿三年更換</v>
      </c>
      <c r="D137" s="37" t="str">
        <f>IFERROR(__xludf.DUMMYFUNCTION("""COMPUTED_VALUE"""),"TW")</f>
        <v>TW</v>
      </c>
      <c r="E137" s="37"/>
      <c r="F137" s="37"/>
      <c r="G137" s="37"/>
      <c r="H137" s="44" t="str">
        <f>IFERROR(__xludf.DUMMYFUNCTION("""COMPUTED_VALUE"""),"研發中心:軟體工程部:後端團隊")</f>
        <v>研發中心:軟體工程部:後端團隊</v>
      </c>
      <c r="I137" s="37" t="str">
        <f>IFERROR(__xludf.DUMMYFUNCTION("""COMPUTED_VALUE"""),"資訊裝置")</f>
        <v>資訊裝置</v>
      </c>
      <c r="J137" s="37" t="str">
        <f>IFERROR(__xludf.DUMMYFUNCTION("""COMPUTED_VALUE"""),"AICHMN02010085")</f>
        <v>AICHMN02010085</v>
      </c>
      <c r="K137" s="37" t="str">
        <f>IFERROR(__xludf.DUMMYFUNCTION("""COMPUTED_VALUE"""),"螢幕")</f>
        <v>螢幕</v>
      </c>
      <c r="L137" s="37" t="str">
        <f>IFERROR(__xludf.DUMMYFUNCTION("""COMPUTED_VALUE"""),"CN-0CYKT7-WSL00-09F-DDAW-A09")</f>
        <v>CN-0CYKT7-WSL00-09F-DDAW-A09</v>
      </c>
      <c r="M137" s="37" t="str">
        <f>IFERROR(__xludf.DUMMYFUNCTION("""COMPUTED_VALUE"""),"許雲翔")</f>
        <v>許雲翔</v>
      </c>
      <c r="N137" s="45">
        <f>IFERROR(__xludf.DUMMYFUNCTION("""COMPUTED_VALUE"""),44180.0)</f>
        <v>44180</v>
      </c>
      <c r="O137" s="40">
        <f>IFERROR(__xludf.DUMMYFUNCTION("""COMPUTED_VALUE"""),29710.0)</f>
        <v>29710</v>
      </c>
      <c r="P137" s="37" t="str">
        <f>IFERROR(__xludf.DUMMYFUNCTION("""COMPUTED_VALUE"""),"資訊裝置")</f>
        <v>資訊裝置</v>
      </c>
      <c r="Q137" s="37">
        <f>IFERROR(__xludf.DUMMYFUNCTION("""COMPUTED_VALUE"""),36.0)</f>
        <v>36</v>
      </c>
      <c r="R137" s="37">
        <f>IFERROR(__xludf.DUMMYFUNCTION("""COMPUTED_VALUE"""),36.0)</f>
        <v>36</v>
      </c>
      <c r="S137" s="37" t="str">
        <f>IFERROR(__xludf.DUMMYFUNCTION("""COMPUTED_VALUE"""),"NT$29,710")</f>
        <v>NT$29,710</v>
      </c>
      <c r="T137" s="37" t="str">
        <f>IFERROR(__xludf.DUMMYFUNCTION("""COMPUTED_VALUE"""),"Dell 24吋 U2419H")</f>
        <v>Dell 24吋 U2419H</v>
      </c>
      <c r="U137" s="37"/>
      <c r="V137" s="37"/>
      <c r="W137" s="37"/>
      <c r="X137" s="40" t="str">
        <f>IFERROR(__xludf.DUMMYFUNCTION("""COMPUTED_VALUE"""),"")</f>
        <v/>
      </c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</row>
    <row r="138">
      <c r="B138" s="37"/>
      <c r="C138" s="37" t="str">
        <f>IFERROR(__xludf.DUMMYFUNCTION("""COMPUTED_VALUE"""),"滿三年更換")</f>
        <v>滿三年更換</v>
      </c>
      <c r="D138" s="37" t="str">
        <f>IFERROR(__xludf.DUMMYFUNCTION("""COMPUTED_VALUE"""),"TW")</f>
        <v>TW</v>
      </c>
      <c r="E138" s="37"/>
      <c r="F138" s="37"/>
      <c r="G138" s="37"/>
      <c r="H138" s="37" t="str">
        <f>IFERROR(__xludf.DUMMYFUNCTION("""COMPUTED_VALUE"""),"執行長室:執行長室")</f>
        <v>執行長室:執行長室</v>
      </c>
      <c r="I138" s="37" t="str">
        <f>IFERROR(__xludf.DUMMYFUNCTION("""COMPUTED_VALUE"""),"資訊裝置")</f>
        <v>資訊裝置</v>
      </c>
      <c r="J138" s="37" t="str">
        <f>IFERROR(__xludf.DUMMYFUNCTION("""COMPUTED_VALUE"""),"AICHMN01904057")</f>
        <v>AICHMN01904057</v>
      </c>
      <c r="K138" s="37" t="str">
        <f>IFERROR(__xludf.DUMMYFUNCTION("""COMPUTED_VALUE"""),"螢幕")</f>
        <v>螢幕</v>
      </c>
      <c r="L138" s="37" t="str">
        <f>IFERROR(__xludf.DUMMYFUNCTION("""COMPUTED_VALUE"""),"CN-07N2FG-TV100-87P-018B-A07")</f>
        <v>CN-07N2FG-TV100-87P-018B-A07</v>
      </c>
      <c r="M138" s="37" t="str">
        <f>IFERROR(__xludf.DUMMYFUNCTION("""COMPUTED_VALUE"""),"郭力綸")</f>
        <v>郭力綸</v>
      </c>
      <c r="N138" s="44">
        <f>IFERROR(__xludf.DUMMYFUNCTION("""COMPUTED_VALUE"""),43523.0)</f>
        <v>43523</v>
      </c>
      <c r="O138" s="40">
        <f>IFERROR(__xludf.DUMMYFUNCTION("""COMPUTED_VALUE"""),11409.0)</f>
        <v>11409</v>
      </c>
      <c r="P138" s="37" t="str">
        <f>IFERROR(__xludf.DUMMYFUNCTION("""COMPUTED_VALUE"""),"資訊裝置")</f>
        <v>資訊裝置</v>
      </c>
      <c r="Q138" s="37">
        <f>IFERROR(__xludf.DUMMYFUNCTION("""COMPUTED_VALUE"""),36.0)</f>
        <v>36</v>
      </c>
      <c r="R138" s="37">
        <f>IFERROR(__xludf.DUMMYFUNCTION("""COMPUTED_VALUE"""),36.0)</f>
        <v>36</v>
      </c>
      <c r="S138" s="37" t="str">
        <f>IFERROR(__xludf.DUMMYFUNCTION("""COMPUTED_VALUE"""),"NT$11,409")</f>
        <v>NT$11,409</v>
      </c>
      <c r="T138" s="37" t="str">
        <f>IFERROR(__xludf.DUMMYFUNCTION("""COMPUTED_VALUE"""),"Dell 24吋 U2412Mc")</f>
        <v>Dell 24吋 U2412Mc</v>
      </c>
      <c r="U138" s="37"/>
      <c r="V138" s="37"/>
      <c r="W138" s="37"/>
      <c r="X138" s="40" t="str">
        <f>IFERROR(__xludf.DUMMYFUNCTION("""COMPUTED_VALUE"""),"")</f>
        <v/>
      </c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</row>
    <row r="139">
      <c r="B139" s="37"/>
      <c r="C139" s="37" t="str">
        <f>IFERROR(__xludf.DUMMYFUNCTION("""COMPUTED_VALUE"""),"滿三年更換")</f>
        <v>滿三年更換</v>
      </c>
      <c r="D139" s="37" t="str">
        <f>IFERROR(__xludf.DUMMYFUNCTION("""COMPUTED_VALUE"""),"TW")</f>
        <v>TW</v>
      </c>
      <c r="E139" s="37"/>
      <c r="F139" s="37"/>
      <c r="G139" s="37"/>
      <c r="H139" s="44" t="str">
        <f>IFERROR(__xludf.DUMMYFUNCTION("""COMPUTED_VALUE"""),"研發中心:軟體工程部:QE團隊")</f>
        <v>研發中心:軟體工程部:QE團隊</v>
      </c>
      <c r="I139" s="37" t="str">
        <f>IFERROR(__xludf.DUMMYFUNCTION("""COMPUTED_VALUE"""),"資訊裝置")</f>
        <v>資訊裝置</v>
      </c>
      <c r="J139" s="37" t="str">
        <f>IFERROR(__xludf.DUMMYFUNCTION("""COMPUTED_VALUE"""),"AICHMP02210052")</f>
        <v>AICHMP02210052</v>
      </c>
      <c r="K139" s="37" t="str">
        <f>IFERROR(__xludf.DUMMYFUNCTION("""COMPUTED_VALUE"""),"Macbook Pro")</f>
        <v>Macbook Pro</v>
      </c>
      <c r="L139" s="37" t="str">
        <f>IFERROR(__xludf.DUMMYFUNCTION("""COMPUTED_VALUE"""),"CW9G93FKQR")</f>
        <v>CW9G93FKQR</v>
      </c>
      <c r="M139" s="37" t="str">
        <f>IFERROR(__xludf.DUMMYFUNCTION("""COMPUTED_VALUE"""),"郭哲宇")</f>
        <v>郭哲宇</v>
      </c>
      <c r="N139" s="44">
        <f>IFERROR(__xludf.DUMMYFUNCTION("""COMPUTED_VALUE"""),44859.0)</f>
        <v>44859</v>
      </c>
      <c r="O139" s="40">
        <f>IFERROR(__xludf.DUMMYFUNCTION("""COMPUTED_VALUE"""),81450.0)</f>
        <v>81450</v>
      </c>
      <c r="P139" s="37" t="str">
        <f>IFERROR(__xludf.DUMMYFUNCTION("""COMPUTED_VALUE"""),"資訊裝置")</f>
        <v>資訊裝置</v>
      </c>
      <c r="Q139" s="37">
        <f>IFERROR(__xludf.DUMMYFUNCTION("""COMPUTED_VALUE"""),36.0)</f>
        <v>36</v>
      </c>
      <c r="R139" s="37">
        <f>IFERROR(__xludf.DUMMYFUNCTION("""COMPUTED_VALUE"""),36.0)</f>
        <v>36</v>
      </c>
      <c r="S139" s="37" t="str">
        <f>IFERROR(__xludf.DUMMYFUNCTION("""COMPUTED_VALUE"""),"NT$81,450")</f>
        <v>NT$81,450</v>
      </c>
      <c r="T139" s="37" t="str">
        <f>IFERROR(__xludf.DUMMYFUNCTION("""COMPUTED_VALUE"""),"MBP14 (2021)  M1Max/32GB/1TBSSD")</f>
        <v>MBP14 (2021)  M1Max/32GB/1TBSSD</v>
      </c>
      <c r="U139" s="37"/>
      <c r="V139" s="37"/>
      <c r="W139" s="37"/>
      <c r="X139" s="40" t="str">
        <f>IFERROR(__xludf.DUMMYFUNCTION("""COMPUTED_VALUE"""),"")</f>
        <v/>
      </c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</row>
    <row r="140">
      <c r="B140" s="37"/>
      <c r="C140" s="37" t="str">
        <f>IFERROR(__xludf.DUMMYFUNCTION("""COMPUTED_VALUE"""),"滿三年更換")</f>
        <v>滿三年更換</v>
      </c>
      <c r="D140" s="37" t="str">
        <f>IFERROR(__xludf.DUMMYFUNCTION("""COMPUTED_VALUE"""),"TW")</f>
        <v>TW</v>
      </c>
      <c r="E140" s="37"/>
      <c r="F140" s="37"/>
      <c r="G140" s="37"/>
      <c r="H140" s="44" t="str">
        <f>IFERROR(__xludf.DUMMYFUNCTION("""COMPUTED_VALUE"""),"研發中心:軟體工程部:QE團隊")</f>
        <v>研發中心:軟體工程部:QE團隊</v>
      </c>
      <c r="I140" s="37" t="str">
        <f>IFERROR(__xludf.DUMMYFUNCTION("""COMPUTED_VALUE"""),"資訊裝置")</f>
        <v>資訊裝置</v>
      </c>
      <c r="J140" s="37" t="str">
        <f>IFERROR(__xludf.DUMMYFUNCTION("""COMPUTED_VALUE"""),"AICHIP02101045")</f>
        <v>AICHIP02101045</v>
      </c>
      <c r="K140" s="37" t="str">
        <f>IFERROR(__xludf.DUMMYFUNCTION("""COMPUTED_VALUE"""),"iPad mini")</f>
        <v>iPad mini</v>
      </c>
      <c r="L140" s="37" t="str">
        <f>IFERROR(__xludf.DUMMYFUNCTION("""COMPUTED_VALUE"""),"DMPDXGDALM93")</f>
        <v>DMPDXGDALM93</v>
      </c>
      <c r="M140" s="37" t="str">
        <f>IFERROR(__xludf.DUMMYFUNCTION("""COMPUTED_VALUE"""),"郭哲宇")</f>
        <v>郭哲宇</v>
      </c>
      <c r="N140" s="44">
        <f>IFERROR(__xludf.DUMMYFUNCTION("""COMPUTED_VALUE"""),44215.0)</f>
        <v>44215</v>
      </c>
      <c r="O140" s="40">
        <f>IFERROR(__xludf.DUMMYFUNCTION("""COMPUTED_VALUE"""),40300.0)</f>
        <v>40300</v>
      </c>
      <c r="P140" s="37" t="str">
        <f>IFERROR(__xludf.DUMMYFUNCTION("""COMPUTED_VALUE"""),"資訊裝置")</f>
        <v>資訊裝置</v>
      </c>
      <c r="Q140" s="37">
        <f>IFERROR(__xludf.DUMMYFUNCTION("""COMPUTED_VALUE"""),36.0)</f>
        <v>36</v>
      </c>
      <c r="R140" s="37">
        <f>IFERROR(__xludf.DUMMYFUNCTION("""COMPUTED_VALUE"""),36.0)</f>
        <v>36</v>
      </c>
      <c r="S140" s="37" t="str">
        <f>IFERROR(__xludf.DUMMYFUNCTION("""COMPUTED_VALUE"""),"NT$40,300")</f>
        <v>NT$40,300</v>
      </c>
      <c r="T140" s="37" t="str">
        <f>IFERROR(__xludf.DUMMYFUNCTION("""COMPUTED_VALUE"""),"iPad (第五代) 64GB (MUQW2A/A)")</f>
        <v>iPad (第五代) 64GB (MUQW2A/A)</v>
      </c>
      <c r="U140" s="37"/>
      <c r="V140" s="37"/>
      <c r="W140" s="37"/>
      <c r="X140" s="40" t="str">
        <f>IFERROR(__xludf.DUMMYFUNCTION("""COMPUTED_VALUE"""),"")</f>
        <v/>
      </c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</row>
    <row r="141">
      <c r="B141" s="37"/>
      <c r="C141" s="37" t="str">
        <f>IFERROR(__xludf.DUMMYFUNCTION("""COMPUTED_VALUE"""),"滿三年更換")</f>
        <v>滿三年更換</v>
      </c>
      <c r="D141" s="37" t="str">
        <f>IFERROR(__xludf.DUMMYFUNCTION("""COMPUTED_VALUE"""),"TW")</f>
        <v>TW</v>
      </c>
      <c r="E141" s="37"/>
      <c r="F141" s="37"/>
      <c r="G141" s="37"/>
      <c r="H141" s="44" t="str">
        <f>IFERROR(__xludf.DUMMYFUNCTION("""COMPUTED_VALUE"""),"研發中心:軟體工程部:QE團隊")</f>
        <v>研發中心:軟體工程部:QE團隊</v>
      </c>
      <c r="I141" s="37" t="str">
        <f>IFERROR(__xludf.DUMMYFUNCTION("""COMPUTED_VALUE"""),"資訊裝置")</f>
        <v>資訊裝置</v>
      </c>
      <c r="J141" s="37" t="str">
        <f>IFERROR(__xludf.DUMMYFUNCTION("""COMPUTED_VALUE"""),"AICHIP02302088")</f>
        <v>AICHIP02302088</v>
      </c>
      <c r="K141" s="37" t="str">
        <f>IFERROR(__xludf.DUMMYFUNCTION("""COMPUTED_VALUE"""),"iPad 10")</f>
        <v>iPad 10</v>
      </c>
      <c r="L141" s="37" t="str">
        <f>IFERROR(__xludf.DUMMYFUNCTION("""COMPUTED_VALUE"""),"DQYGVK7FJY")</f>
        <v>DQYGVK7FJY</v>
      </c>
      <c r="M141" s="37" t="str">
        <f>IFERROR(__xludf.DUMMYFUNCTION("""COMPUTED_VALUE"""),"郭哲宇")</f>
        <v>郭哲宇</v>
      </c>
      <c r="N141" s="44">
        <f>IFERROR(__xludf.DUMMYFUNCTION("""COMPUTED_VALUE"""),44959.0)</f>
        <v>44959</v>
      </c>
      <c r="O141" s="40">
        <f>IFERROR(__xludf.DUMMYFUNCTION("""COMPUTED_VALUE"""),13190.0)</f>
        <v>13190</v>
      </c>
      <c r="P141" s="37" t="str">
        <f>IFERROR(__xludf.DUMMYFUNCTION("""COMPUTED_VALUE"""),"資訊裝置")</f>
        <v>資訊裝置</v>
      </c>
      <c r="Q141" s="37">
        <f>IFERROR(__xludf.DUMMYFUNCTION("""COMPUTED_VALUE"""),36.0)</f>
        <v>36</v>
      </c>
      <c r="R141" s="37">
        <f>IFERROR(__xludf.DUMMYFUNCTION("""COMPUTED_VALUE"""),33.0)</f>
        <v>33</v>
      </c>
      <c r="S141" s="37" t="str">
        <f>IFERROR(__xludf.DUMMYFUNCTION("""COMPUTED_VALUE"""),"NT$12,092")</f>
        <v>NT$12,092</v>
      </c>
      <c r="T141" s="37" t="str">
        <f>IFERROR(__xludf.DUMMYFUNCTION("""COMPUTED_VALUE"""),"IPad (第10代) 64GB WIFI(MPQ03TA/A)")</f>
        <v>IPad (第10代) 64GB WIFI(MPQ03TA/A)</v>
      </c>
      <c r="U141" s="37"/>
      <c r="V141" s="37"/>
      <c r="W141" s="37"/>
      <c r="X141" s="40" t="str">
        <f>IFERROR(__xludf.DUMMYFUNCTION("""COMPUTED_VALUE"""),"")</f>
        <v/>
      </c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</row>
    <row r="142">
      <c r="B142" s="37"/>
      <c r="C142" s="37" t="str">
        <f>IFERROR(__xludf.DUMMYFUNCTION("""COMPUTED_VALUE"""),"滿三年更換")</f>
        <v>滿三年更換</v>
      </c>
      <c r="D142" s="37" t="str">
        <f>IFERROR(__xludf.DUMMYFUNCTION("""COMPUTED_VALUE"""),"TW")</f>
        <v>TW</v>
      </c>
      <c r="E142" s="37"/>
      <c r="F142" s="37"/>
      <c r="G142" s="37"/>
      <c r="H142" s="44" t="str">
        <f>IFERROR(__xludf.DUMMYFUNCTION("""COMPUTED_VALUE"""),"研發中心:軟體工程部:QE團隊")</f>
        <v>研發中心:軟體工程部:QE團隊</v>
      </c>
      <c r="I142" s="37" t="str">
        <f>IFERROR(__xludf.DUMMYFUNCTION("""COMPUTED_VALUE"""),"資訊裝置")</f>
        <v>資訊裝置</v>
      </c>
      <c r="J142" s="37" t="str">
        <f>IFERROR(__xludf.DUMMYFUNCTION("""COMPUTED_VALUE"""),"AICHMN01606034")</f>
        <v>AICHMN01606034</v>
      </c>
      <c r="K142" s="37" t="str">
        <f>IFERROR(__xludf.DUMMYFUNCTION("""COMPUTED_VALUE"""),"螢幕")</f>
        <v>螢幕</v>
      </c>
      <c r="L142" s="37" t="str">
        <f>IFERROR(__xludf.DUMMYFUNCTION("""COMPUTED_VALUE"""),"CN-0MTYGK-64180-64F-078S-A02")</f>
        <v>CN-0MTYGK-64180-64F-078S-A02</v>
      </c>
      <c r="M142" s="37" t="str">
        <f>IFERROR(__xludf.DUMMYFUNCTION("""COMPUTED_VALUE"""),"郭哲宇")</f>
        <v>郭哲宇</v>
      </c>
      <c r="N142" s="44">
        <f>IFERROR(__xludf.DUMMYFUNCTION("""COMPUTED_VALUE"""),42523.0)</f>
        <v>42523</v>
      </c>
      <c r="O142" s="37"/>
      <c r="P142" s="37" t="str">
        <f>IFERROR(__xludf.DUMMYFUNCTION("""COMPUTED_VALUE"""),"資訊裝置")</f>
        <v>資訊裝置</v>
      </c>
      <c r="Q142" s="37">
        <f>IFERROR(__xludf.DUMMYFUNCTION("""COMPUTED_VALUE"""),36.0)</f>
        <v>36</v>
      </c>
      <c r="R142" s="37">
        <f>IFERROR(__xludf.DUMMYFUNCTION("""COMPUTED_VALUE"""),36.0)</f>
        <v>36</v>
      </c>
      <c r="S142" s="37" t="str">
        <f>IFERROR(__xludf.DUMMYFUNCTION("""COMPUTED_VALUE"""),"NT$0")</f>
        <v>NT$0</v>
      </c>
      <c r="T142" s="37" t="str">
        <f>IFERROR(__xludf.DUMMYFUNCTION("""COMPUTED_VALUE"""),"Dell 24吋 U2412Mc")</f>
        <v>Dell 24吋 U2412Mc</v>
      </c>
      <c r="U142" s="37"/>
      <c r="V142" s="37"/>
      <c r="W142" s="37"/>
      <c r="X142" s="40" t="str">
        <f>IFERROR(__xludf.DUMMYFUNCTION("""COMPUTED_VALUE"""),"")</f>
        <v/>
      </c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</row>
    <row r="143">
      <c r="B143" s="37"/>
      <c r="C143" s="37" t="str">
        <f>IFERROR(__xludf.DUMMYFUNCTION("""COMPUTED_VALUE"""),"滿三年更換")</f>
        <v>滿三年更換</v>
      </c>
      <c r="D143" s="37" t="str">
        <f>IFERROR(__xludf.DUMMYFUNCTION("""COMPUTED_VALUE"""),"TW")</f>
        <v>TW</v>
      </c>
      <c r="E143" s="37"/>
      <c r="F143" s="37"/>
      <c r="G143" s="37"/>
      <c r="H143" s="44" t="str">
        <f>IFERROR(__xludf.DUMMYFUNCTION("""COMPUTED_VALUE"""),"研發中心:軟體工程部:QE團隊")</f>
        <v>研發中心:軟體工程部:QE團隊</v>
      </c>
      <c r="I143" s="37" t="str">
        <f>IFERROR(__xludf.DUMMYFUNCTION("""COMPUTED_VALUE"""),"資訊裝置")</f>
        <v>資訊裝置</v>
      </c>
      <c r="J143" s="37" t="str">
        <f>IFERROR(__xludf.DUMMYFUNCTION("""COMPUTED_VALUE"""),"AICHMN01904058")</f>
        <v>AICHMN01904058</v>
      </c>
      <c r="K143" s="37" t="str">
        <f>IFERROR(__xludf.DUMMYFUNCTION("""COMPUTED_VALUE"""),"螢幕")</f>
        <v>螢幕</v>
      </c>
      <c r="L143" s="37" t="str">
        <f>IFERROR(__xludf.DUMMYFUNCTION("""COMPUTED_VALUE"""),"CN-0RWTY8-64180-68T-0GLL-A03")</f>
        <v>CN-0RWTY8-64180-68T-0GLL-A03</v>
      </c>
      <c r="M143" s="37" t="str">
        <f>IFERROR(__xludf.DUMMYFUNCTION("""COMPUTED_VALUE"""),"郭哲宇")</f>
        <v>郭哲宇</v>
      </c>
      <c r="N143" s="44">
        <f>IFERROR(__xludf.DUMMYFUNCTION("""COMPUTED_VALUE"""),43523.0)</f>
        <v>43523</v>
      </c>
      <c r="O143" s="40">
        <f>IFERROR(__xludf.DUMMYFUNCTION("""COMPUTED_VALUE"""),5512.0)</f>
        <v>5512</v>
      </c>
      <c r="P143" s="37" t="str">
        <f>IFERROR(__xludf.DUMMYFUNCTION("""COMPUTED_VALUE"""),"資訊裝置")</f>
        <v>資訊裝置</v>
      </c>
      <c r="Q143" s="37">
        <f>IFERROR(__xludf.DUMMYFUNCTION("""COMPUTED_VALUE"""),36.0)</f>
        <v>36</v>
      </c>
      <c r="R143" s="37">
        <f>IFERROR(__xludf.DUMMYFUNCTION("""COMPUTED_VALUE"""),36.0)</f>
        <v>36</v>
      </c>
      <c r="S143" s="37" t="str">
        <f>IFERROR(__xludf.DUMMYFUNCTION("""COMPUTED_VALUE"""),"NT$5,512")</f>
        <v>NT$5,512</v>
      </c>
      <c r="T143" s="37" t="str">
        <f>IFERROR(__xludf.DUMMYFUNCTION("""COMPUTED_VALUE"""),"Dell 24吋 U2412Mc")</f>
        <v>Dell 24吋 U2412Mc</v>
      </c>
      <c r="U143" s="37"/>
      <c r="V143" s="37"/>
      <c r="W143" s="37"/>
      <c r="X143" s="40" t="str">
        <f>IFERROR(__xludf.DUMMYFUNCTION("""COMPUTED_VALUE"""),"")</f>
        <v/>
      </c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</row>
    <row r="144">
      <c r="B144" s="37"/>
      <c r="C144" s="37" t="str">
        <f>IFERROR(__xludf.DUMMYFUNCTION("""COMPUTED_VALUE"""),"滿三年更換")</f>
        <v>滿三年更換</v>
      </c>
      <c r="D144" s="37" t="str">
        <f>IFERROR(__xludf.DUMMYFUNCTION("""COMPUTED_VALUE"""),"TW")</f>
        <v>TW</v>
      </c>
      <c r="E144" s="37"/>
      <c r="F144" s="37"/>
      <c r="G144" s="37"/>
      <c r="H144" s="44" t="str">
        <f>IFERROR(__xludf.DUMMYFUNCTION("""COMPUTED_VALUE"""),"研發中心:軟體工程部:前端團隊")</f>
        <v>研發中心:軟體工程部:前端團隊</v>
      </c>
      <c r="I144" s="37" t="str">
        <f>IFERROR(__xludf.DUMMYFUNCTION("""COMPUTED_VALUE"""),"資訊裝置")</f>
        <v>資訊裝置</v>
      </c>
      <c r="J144" s="37" t="str">
        <f>IFERROR(__xludf.DUMMYFUNCTION("""COMPUTED_VALUE"""),"AICHMP02108037")</f>
        <v>AICHMP02108037</v>
      </c>
      <c r="K144" s="37" t="str">
        <f>IFERROR(__xludf.DUMMYFUNCTION("""COMPUTED_VALUE"""),"Macbook Pro")</f>
        <v>Macbook Pro</v>
      </c>
      <c r="L144" s="37" t="str">
        <f>IFERROR(__xludf.DUMMYFUNCTION("""COMPUTED_VALUE"""),"C02G44CGQ05N")</f>
        <v>C02G44CGQ05N</v>
      </c>
      <c r="M144" s="37" t="str">
        <f>IFERROR(__xludf.DUMMYFUNCTION("""COMPUTED_VALUE"""),"陳乙山")</f>
        <v>陳乙山</v>
      </c>
      <c r="N144" s="44">
        <f>IFERROR(__xludf.DUMMYFUNCTION("""COMPUTED_VALUE"""),44414.0)</f>
        <v>44414</v>
      </c>
      <c r="O144" s="40">
        <f>IFERROR(__xludf.DUMMYFUNCTION("""COMPUTED_VALUE"""),4750.0)</f>
        <v>4750</v>
      </c>
      <c r="P144" s="37" t="str">
        <f>IFERROR(__xludf.DUMMYFUNCTION("""COMPUTED_VALUE"""),"資訊裝置")</f>
        <v>資訊裝置</v>
      </c>
      <c r="Q144" s="37">
        <f>IFERROR(__xludf.DUMMYFUNCTION("""COMPUTED_VALUE"""),36.0)</f>
        <v>36</v>
      </c>
      <c r="R144" s="37">
        <f>IFERROR(__xludf.DUMMYFUNCTION("""COMPUTED_VALUE"""),36.0)</f>
        <v>36</v>
      </c>
      <c r="S144" s="37" t="str">
        <f>IFERROR(__xludf.DUMMYFUNCTION("""COMPUTED_VALUE"""),"NT$4,750")</f>
        <v>NT$4,750</v>
      </c>
      <c r="T144" s="37" t="str">
        <f>IFERROR(__xludf.DUMMYFUNCTION("""COMPUTED_VALUE"""),"A2338 MBP13 (2020) M1/16GBRAM/256GBSSD")</f>
        <v>A2338 MBP13 (2020) M1/16GBRAM/256GBSSD</v>
      </c>
      <c r="U144" s="37"/>
      <c r="V144" s="37"/>
      <c r="W144" s="37"/>
      <c r="X144" s="40" t="str">
        <f>IFERROR(__xludf.DUMMYFUNCTION("""COMPUTED_VALUE"""),"")</f>
        <v/>
      </c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</row>
    <row r="145">
      <c r="B145" s="37"/>
      <c r="C145" s="37" t="str">
        <f>IFERROR(__xludf.DUMMYFUNCTION("""COMPUTED_VALUE"""),"滿三年更換")</f>
        <v>滿三年更換</v>
      </c>
      <c r="D145" s="37" t="str">
        <f>IFERROR(__xludf.DUMMYFUNCTION("""COMPUTED_VALUE"""),"TW")</f>
        <v>TW</v>
      </c>
      <c r="E145" s="37"/>
      <c r="F145" s="37"/>
      <c r="G145" s="37"/>
      <c r="H145" s="44" t="str">
        <f>IFERROR(__xludf.DUMMYFUNCTION("""COMPUTED_VALUE"""),"研發中心:軟體工程部:前端團隊")</f>
        <v>研發中心:軟體工程部:前端團隊</v>
      </c>
      <c r="I145" s="37" t="str">
        <f>IFERROR(__xludf.DUMMYFUNCTION("""COMPUTED_VALUE"""),"資訊裝置")</f>
        <v>資訊裝置</v>
      </c>
      <c r="J145" s="37" t="str">
        <f>IFERROR(__xludf.DUMMYFUNCTION("""COMPUTED_VALUE"""),"AICHIP01902012")</f>
        <v>AICHIP01902012</v>
      </c>
      <c r="K145" s="37" t="str">
        <f>IFERROR(__xludf.DUMMYFUNCTION("""COMPUTED_VALUE"""),"iPad")</f>
        <v>iPad</v>
      </c>
      <c r="L145" s="37" t="str">
        <f>IFERROR(__xludf.DUMMYFUNCTION("""COMPUTED_VALUE"""),"DMPXPRTSJMVR")</f>
        <v>DMPXPRTSJMVR</v>
      </c>
      <c r="M145" s="37" t="str">
        <f>IFERROR(__xludf.DUMMYFUNCTION("""COMPUTED_VALUE"""),"陳乙山")</f>
        <v>陳乙山</v>
      </c>
      <c r="N145" s="44">
        <f>IFERROR(__xludf.DUMMYFUNCTION("""COMPUTED_VALUE"""),43523.0)</f>
        <v>43523</v>
      </c>
      <c r="O145" s="40">
        <f>IFERROR(__xludf.DUMMYFUNCTION("""COMPUTED_VALUE"""),9567.0)</f>
        <v>9567</v>
      </c>
      <c r="P145" s="37" t="str">
        <f>IFERROR(__xludf.DUMMYFUNCTION("""COMPUTED_VALUE"""),"資訊裝置")</f>
        <v>資訊裝置</v>
      </c>
      <c r="Q145" s="37">
        <f>IFERROR(__xludf.DUMMYFUNCTION("""COMPUTED_VALUE"""),36.0)</f>
        <v>36</v>
      </c>
      <c r="R145" s="37">
        <f>IFERROR(__xludf.DUMMYFUNCTION("""COMPUTED_VALUE"""),36.0)</f>
        <v>36</v>
      </c>
      <c r="S145" s="37" t="str">
        <f>IFERROR(__xludf.DUMMYFUNCTION("""COMPUTED_VALUE"""),"NT$9,567")</f>
        <v>NT$9,567</v>
      </c>
      <c r="T145" s="37" t="str">
        <f>IFERROR(__xludf.DUMMYFUNCTION("""COMPUTED_VALUE"""),"iPad (第六代) 32GB WIFI(A1893)")</f>
        <v>iPad (第六代) 32GB WIFI(A1893)</v>
      </c>
      <c r="U145" s="37"/>
      <c r="V145" s="37"/>
      <c r="W145" s="37"/>
      <c r="X145" s="40" t="str">
        <f>IFERROR(__xludf.DUMMYFUNCTION("""COMPUTED_VALUE"""),"")</f>
        <v/>
      </c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</row>
    <row r="146">
      <c r="B146" s="37"/>
      <c r="C146" s="37" t="str">
        <f>IFERROR(__xludf.DUMMYFUNCTION("""COMPUTED_VALUE"""),"滿三年更換")</f>
        <v>滿三年更換</v>
      </c>
      <c r="D146" s="37" t="str">
        <f>IFERROR(__xludf.DUMMYFUNCTION("""COMPUTED_VALUE"""),"TW")</f>
        <v>TW</v>
      </c>
      <c r="E146" s="37"/>
      <c r="F146" s="37"/>
      <c r="G146" s="37"/>
      <c r="H146" s="44" t="str">
        <f>IFERROR(__xludf.DUMMYFUNCTION("""COMPUTED_VALUE"""),"研發中心:軟體工程部:前端團隊")</f>
        <v>研發中心:軟體工程部:前端團隊</v>
      </c>
      <c r="I146" s="37" t="str">
        <f>IFERROR(__xludf.DUMMYFUNCTION("""COMPUTED_VALUE"""),"資訊裝置")</f>
        <v>資訊裝置</v>
      </c>
      <c r="J146" s="37" t="str">
        <f>IFERROR(__xludf.DUMMYFUNCTION("""COMPUTED_VALUE"""),"AICHMN01705041")</f>
        <v>AICHMN01705041</v>
      </c>
      <c r="K146" s="37" t="str">
        <f>IFERROR(__xludf.DUMMYFUNCTION("""COMPUTED_VALUE"""),"螢幕")</f>
        <v>螢幕</v>
      </c>
      <c r="L146" s="37" t="str">
        <f>IFERROR(__xludf.DUMMYFUNCTION("""COMPUTED_VALUE"""),"CN-07N2FG-TV100-83M-005S-A07")</f>
        <v>CN-07N2FG-TV100-83M-005S-A07</v>
      </c>
      <c r="M146" s="37" t="str">
        <f>IFERROR(__xludf.DUMMYFUNCTION("""COMPUTED_VALUE"""),"陳乙山")</f>
        <v>陳乙山</v>
      </c>
      <c r="N146" s="44">
        <f>IFERROR(__xludf.DUMMYFUNCTION("""COMPUTED_VALUE"""),43245.0)</f>
        <v>43245</v>
      </c>
      <c r="O146" s="37"/>
      <c r="P146" s="37" t="str">
        <f>IFERROR(__xludf.DUMMYFUNCTION("""COMPUTED_VALUE"""),"資訊裝置")</f>
        <v>資訊裝置</v>
      </c>
      <c r="Q146" s="37">
        <f>IFERROR(__xludf.DUMMYFUNCTION("""COMPUTED_VALUE"""),36.0)</f>
        <v>36</v>
      </c>
      <c r="R146" s="37">
        <f>IFERROR(__xludf.DUMMYFUNCTION("""COMPUTED_VALUE"""),36.0)</f>
        <v>36</v>
      </c>
      <c r="S146" s="37" t="str">
        <f>IFERROR(__xludf.DUMMYFUNCTION("""COMPUTED_VALUE"""),"NT$0")</f>
        <v>NT$0</v>
      </c>
      <c r="T146" s="37" t="str">
        <f>IFERROR(__xludf.DUMMYFUNCTION("""COMPUTED_VALUE"""),"Dell 24吋 U2412Mc")</f>
        <v>Dell 24吋 U2412Mc</v>
      </c>
      <c r="U146" s="37"/>
      <c r="V146" s="37"/>
      <c r="W146" s="37"/>
      <c r="X146" s="40" t="str">
        <f>IFERROR(__xludf.DUMMYFUNCTION("""COMPUTED_VALUE"""),"")</f>
        <v/>
      </c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</row>
    <row r="147">
      <c r="B147" s="37"/>
      <c r="C147" s="37" t="str">
        <f>IFERROR(__xludf.DUMMYFUNCTION("""COMPUTED_VALUE"""),"滿三年更換")</f>
        <v>滿三年更換</v>
      </c>
      <c r="D147" s="37" t="str">
        <f>IFERROR(__xludf.DUMMYFUNCTION("""COMPUTED_VALUE"""),"TW")</f>
        <v>TW</v>
      </c>
      <c r="E147" s="37"/>
      <c r="F147" s="37"/>
      <c r="G147" s="37"/>
      <c r="H147" s="44" t="str">
        <f>IFERROR(__xludf.DUMMYFUNCTION("""COMPUTED_VALUE"""),"研發中心:軟體工程部:QE團隊")</f>
        <v>研發中心:軟體工程部:QE團隊</v>
      </c>
      <c r="I147" s="37" t="str">
        <f>IFERROR(__xludf.DUMMYFUNCTION("""COMPUTED_VALUE"""),"資訊裝置")</f>
        <v>資訊裝置</v>
      </c>
      <c r="J147" s="37" t="str">
        <f>IFERROR(__xludf.DUMMYFUNCTION("""COMPUTED_VALUE"""),"AICHMP02106030")</f>
        <v>AICHMP02106030</v>
      </c>
      <c r="K147" s="37" t="str">
        <f>IFERROR(__xludf.DUMMYFUNCTION("""COMPUTED_VALUE"""),"Macbook Pro")</f>
        <v>Macbook Pro</v>
      </c>
      <c r="L147" s="37" t="str">
        <f>IFERROR(__xludf.DUMMYFUNCTION("""COMPUTED_VALUE"""),"C02FVBMCQ05N")</f>
        <v>C02FVBMCQ05N</v>
      </c>
      <c r="M147" s="37" t="str">
        <f>IFERROR(__xludf.DUMMYFUNCTION("""COMPUTED_VALUE"""),"陳又嘉")</f>
        <v>陳又嘉</v>
      </c>
      <c r="N147" s="44">
        <f>IFERROR(__xludf.DUMMYFUNCTION("""COMPUTED_VALUE"""),44378.0)</f>
        <v>44378</v>
      </c>
      <c r="O147" s="40">
        <f>IFERROR(__xludf.DUMMYFUNCTION("""COMPUTED_VALUE"""),40300.0)</f>
        <v>40300</v>
      </c>
      <c r="P147" s="37" t="str">
        <f>IFERROR(__xludf.DUMMYFUNCTION("""COMPUTED_VALUE"""),"資訊裝置")</f>
        <v>資訊裝置</v>
      </c>
      <c r="Q147" s="37">
        <f>IFERROR(__xludf.DUMMYFUNCTION("""COMPUTED_VALUE"""),36.0)</f>
        <v>36</v>
      </c>
      <c r="R147" s="37">
        <f>IFERROR(__xludf.DUMMYFUNCTION("""COMPUTED_VALUE"""),36.0)</f>
        <v>36</v>
      </c>
      <c r="S147" s="37" t="str">
        <f>IFERROR(__xludf.DUMMYFUNCTION("""COMPUTED_VALUE"""),"NT$40,300")</f>
        <v>NT$40,300</v>
      </c>
      <c r="T147" s="37" t="str">
        <f>IFERROR(__xludf.DUMMYFUNCTION("""COMPUTED_VALUE"""),"A2338 MBP13 (2020) M1/16GBRAM/256GBSSD")</f>
        <v>A2338 MBP13 (2020) M1/16GBRAM/256GBSSD</v>
      </c>
      <c r="U147" s="37"/>
      <c r="V147" s="37"/>
      <c r="W147" s="37"/>
      <c r="X147" s="40" t="str">
        <f>IFERROR(__xludf.DUMMYFUNCTION("""COMPUTED_VALUE"""),"")</f>
        <v/>
      </c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</row>
    <row r="148">
      <c r="B148" s="37"/>
      <c r="C148" s="37" t="str">
        <f>IFERROR(__xludf.DUMMYFUNCTION("""COMPUTED_VALUE"""),"滿三年更換")</f>
        <v>滿三年更換</v>
      </c>
      <c r="D148" s="37" t="str">
        <f>IFERROR(__xludf.DUMMYFUNCTION("""COMPUTED_VALUE"""),"TW")</f>
        <v>TW</v>
      </c>
      <c r="E148" s="37"/>
      <c r="F148" s="37"/>
      <c r="G148" s="37"/>
      <c r="H148" s="44" t="str">
        <f>IFERROR(__xludf.DUMMYFUNCTION("""COMPUTED_VALUE"""),"研發中心:軟體工程部:QE團隊")</f>
        <v>研發中心:軟體工程部:QE團隊</v>
      </c>
      <c r="I148" s="37" t="str">
        <f>IFERROR(__xludf.DUMMYFUNCTION("""COMPUTED_VALUE"""),"資訊裝置")</f>
        <v>資訊裝置</v>
      </c>
      <c r="J148" s="37" t="str">
        <f>IFERROR(__xludf.DUMMYFUNCTION("""COMPUTED_VALUE"""),"AICHIP02105060")</f>
        <v>AICHIP02105060</v>
      </c>
      <c r="K148" s="37" t="str">
        <f>IFERROR(__xludf.DUMMYFUNCTION("""COMPUTED_VALUE"""),"iPad")</f>
        <v>iPad</v>
      </c>
      <c r="L148" s="37" t="str">
        <f>IFERROR(__xludf.DUMMYFUNCTION("""COMPUTED_VALUE"""),"F9FFGBUPQ1GF")</f>
        <v>F9FFGBUPQ1GF</v>
      </c>
      <c r="M148" s="37" t="str">
        <f>IFERROR(__xludf.DUMMYFUNCTION("""COMPUTED_VALUE"""),"陳又嘉")</f>
        <v>陳又嘉</v>
      </c>
      <c r="N148" s="44">
        <f>IFERROR(__xludf.DUMMYFUNCTION("""COMPUTED_VALUE"""),44341.0)</f>
        <v>44341</v>
      </c>
      <c r="O148" s="40">
        <f>IFERROR(__xludf.DUMMYFUNCTION("""COMPUTED_VALUE"""),9450.0)</f>
        <v>9450</v>
      </c>
      <c r="P148" s="37" t="str">
        <f>IFERROR(__xludf.DUMMYFUNCTION("""COMPUTED_VALUE"""),"資訊裝置")</f>
        <v>資訊裝置</v>
      </c>
      <c r="Q148" s="37">
        <f>IFERROR(__xludf.DUMMYFUNCTION("""COMPUTED_VALUE"""),36.0)</f>
        <v>36</v>
      </c>
      <c r="R148" s="37">
        <f>IFERROR(__xludf.DUMMYFUNCTION("""COMPUTED_VALUE"""),36.0)</f>
        <v>36</v>
      </c>
      <c r="S148" s="37" t="str">
        <f>IFERROR(__xludf.DUMMYFUNCTION("""COMPUTED_VALUE"""),"NT$9,450")</f>
        <v>NT$9,450</v>
      </c>
      <c r="T148" s="37" t="str">
        <f>IFERROR(__xludf.DUMMYFUNCTION("""COMPUTED_VALUE"""),"iPad (第八代) 32GB WIFI(MYLC2TA/A)")</f>
        <v>iPad (第八代) 32GB WIFI(MYLC2TA/A)</v>
      </c>
      <c r="U148" s="37"/>
      <c r="V148" s="37"/>
      <c r="W148" s="37"/>
      <c r="X148" s="40" t="str">
        <f>IFERROR(__xludf.DUMMYFUNCTION("""COMPUTED_VALUE"""),"")</f>
        <v/>
      </c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</row>
    <row r="149">
      <c r="B149" s="37"/>
      <c r="C149" s="37" t="str">
        <f>IFERROR(__xludf.DUMMYFUNCTION("""COMPUTED_VALUE"""),"滿三年更換")</f>
        <v>滿三年更換</v>
      </c>
      <c r="D149" s="37" t="str">
        <f>IFERROR(__xludf.DUMMYFUNCTION("""COMPUTED_VALUE"""),"TW")</f>
        <v>TW</v>
      </c>
      <c r="E149" s="37"/>
      <c r="F149" s="37"/>
      <c r="G149" s="37"/>
      <c r="H149" s="44" t="str">
        <f>IFERROR(__xludf.DUMMYFUNCTION("""COMPUTED_VALUE"""),"研發中心:軟體工程部:QE團隊")</f>
        <v>研發中心:軟體工程部:QE團隊</v>
      </c>
      <c r="I149" s="37" t="str">
        <f>IFERROR(__xludf.DUMMYFUNCTION("""COMPUTED_VALUE"""),"資訊裝置")</f>
        <v>資訊裝置</v>
      </c>
      <c r="J149" s="37" t="str">
        <f>IFERROR(__xludf.DUMMYFUNCTION("""COMPUTED_VALUE"""),"AICHIP02302087")</f>
        <v>AICHIP02302087</v>
      </c>
      <c r="K149" s="37" t="str">
        <f>IFERROR(__xludf.DUMMYFUNCTION("""COMPUTED_VALUE"""),"iPad Pro")</f>
        <v>iPad Pro</v>
      </c>
      <c r="L149" s="37" t="str">
        <f>IFERROR(__xludf.DUMMYFUNCTION("""COMPUTED_VALUE"""),"JR27X0QGT9")</f>
        <v>JR27X0QGT9</v>
      </c>
      <c r="M149" s="37" t="str">
        <f>IFERROR(__xludf.DUMMYFUNCTION("""COMPUTED_VALUE"""),"陳又嘉")</f>
        <v>陳又嘉</v>
      </c>
      <c r="N149" s="44">
        <f>IFERROR(__xludf.DUMMYFUNCTION("""COMPUTED_VALUE"""),44959.0)</f>
        <v>44959</v>
      </c>
      <c r="O149" s="40">
        <f>IFERROR(__xludf.DUMMYFUNCTION("""COMPUTED_VALUE"""),33500.0)</f>
        <v>33500</v>
      </c>
      <c r="P149" s="37" t="str">
        <f>IFERROR(__xludf.DUMMYFUNCTION("""COMPUTED_VALUE"""),"資訊裝置")</f>
        <v>資訊裝置</v>
      </c>
      <c r="Q149" s="37">
        <f>IFERROR(__xludf.DUMMYFUNCTION("""COMPUTED_VALUE"""),36.0)</f>
        <v>36</v>
      </c>
      <c r="R149" s="37">
        <f>IFERROR(__xludf.DUMMYFUNCTION("""COMPUTED_VALUE"""),33.0)</f>
        <v>33</v>
      </c>
      <c r="S149" s="37" t="str">
        <f>IFERROR(__xludf.DUMMYFUNCTION("""COMPUTED_VALUE"""),"NT$30,707")</f>
        <v>NT$30,707</v>
      </c>
      <c r="T149" s="37" t="str">
        <f>IFERROR(__xludf.DUMMYFUNCTION("""COMPUTED_VALUE"""),"IPad Pro M2 (12.9吋，第六代) 128GB Wi-Fi (MNXP3TA/A)")</f>
        <v>IPad Pro M2 (12.9吋，第六代) 128GB Wi-Fi (MNXP3TA/A)</v>
      </c>
      <c r="U149" s="37"/>
      <c r="V149" s="37"/>
      <c r="W149" s="37"/>
      <c r="X149" s="40" t="str">
        <f>IFERROR(__xludf.DUMMYFUNCTION("""COMPUTED_VALUE"""),"")</f>
        <v/>
      </c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</row>
    <row r="150">
      <c r="B150" s="37"/>
      <c r="C150" s="37" t="str">
        <f>IFERROR(__xludf.DUMMYFUNCTION("""COMPUTED_VALUE"""),"滿三年更換")</f>
        <v>滿三年更換</v>
      </c>
      <c r="D150" s="37" t="str">
        <f>IFERROR(__xludf.DUMMYFUNCTION("""COMPUTED_VALUE"""),"TW")</f>
        <v>TW</v>
      </c>
      <c r="E150" s="37"/>
      <c r="F150" s="37"/>
      <c r="G150" s="37"/>
      <c r="H150" s="44" t="str">
        <f>IFERROR(__xludf.DUMMYFUNCTION("""COMPUTED_VALUE"""),"研發中心:軟體工程部:QE團隊")</f>
        <v>研發中心:軟體工程部:QE團隊</v>
      </c>
      <c r="I150" s="37" t="str">
        <f>IFERROR(__xludf.DUMMYFUNCTION("""COMPUTED_VALUE"""),"資訊裝置")</f>
        <v>資訊裝置</v>
      </c>
      <c r="J150" s="37" t="str">
        <f>IFERROR(__xludf.DUMMYFUNCTION("""COMPUTED_VALUE"""),"AICHMN02109108")</f>
        <v>AICHMN02109108</v>
      </c>
      <c r="K150" s="37" t="str">
        <f>IFERROR(__xludf.DUMMYFUNCTION("""COMPUTED_VALUE"""),"螢幕")</f>
        <v>螢幕</v>
      </c>
      <c r="L150" s="37" t="str">
        <f>IFERROR(__xludf.DUMMYFUNCTION("""COMPUTED_VALUE"""),"M5LMTF004230")</f>
        <v>M5LMTF004230</v>
      </c>
      <c r="M150" s="37" t="str">
        <f>IFERROR(__xludf.DUMMYFUNCTION("""COMPUTED_VALUE"""),"陳又嘉")</f>
        <v>陳又嘉</v>
      </c>
      <c r="N150" s="44">
        <f>IFERROR(__xludf.DUMMYFUNCTION("""COMPUTED_VALUE"""),44453.0)</f>
        <v>44453</v>
      </c>
      <c r="O150" s="40">
        <f>IFERROR(__xludf.DUMMYFUNCTION("""COMPUTED_VALUE"""),9145.0)</f>
        <v>9145</v>
      </c>
      <c r="P150" s="37" t="str">
        <f>IFERROR(__xludf.DUMMYFUNCTION("""COMPUTED_VALUE"""),"資訊裝置")</f>
        <v>資訊裝置</v>
      </c>
      <c r="Q150" s="37">
        <f>IFERROR(__xludf.DUMMYFUNCTION("""COMPUTED_VALUE"""),36.0)</f>
        <v>36</v>
      </c>
      <c r="R150" s="37">
        <f>IFERROR(__xludf.DUMMYFUNCTION("""COMPUTED_VALUE"""),36.0)</f>
        <v>36</v>
      </c>
      <c r="S150" s="37" t="str">
        <f>IFERROR(__xludf.DUMMYFUNCTION("""COMPUTED_VALUE"""),"NT$9,145")</f>
        <v>NT$9,145</v>
      </c>
      <c r="T150" s="37" t="str">
        <f>IFERROR(__xludf.DUMMYFUNCTION("""COMPUTED_VALUE"""),"ASUS 曲面32吋 VG328H1B")</f>
        <v>ASUS 曲面32吋 VG328H1B</v>
      </c>
      <c r="U150" s="37"/>
      <c r="V150" s="37"/>
      <c r="W150" s="37"/>
      <c r="X150" s="40" t="str">
        <f>IFERROR(__xludf.DUMMYFUNCTION("""COMPUTED_VALUE"""),"")</f>
        <v/>
      </c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</row>
    <row r="151">
      <c r="B151" s="37"/>
      <c r="C151" s="37" t="str">
        <f>IFERROR(__xludf.DUMMYFUNCTION("""COMPUTED_VALUE"""),"滿三年更換")</f>
        <v>滿三年更換</v>
      </c>
      <c r="D151" s="37" t="str">
        <f>IFERROR(__xludf.DUMMYFUNCTION("""COMPUTED_VALUE"""),"TW")</f>
        <v>TW</v>
      </c>
      <c r="E151" s="37"/>
      <c r="F151" s="37"/>
      <c r="G151" s="37"/>
      <c r="H151" s="44" t="str">
        <f>IFERROR(__xludf.DUMMYFUNCTION("""COMPUTED_VALUE"""),"研發中心:產品設計部:產品設計師團隊")</f>
        <v>研發中心:產品設計部:產品設計師團隊</v>
      </c>
      <c r="I151" s="37" t="str">
        <f>IFERROR(__xludf.DUMMYFUNCTION("""COMPUTED_VALUE"""),"資訊裝置")</f>
        <v>資訊裝置</v>
      </c>
      <c r="J151" s="37" t="str">
        <f>IFERROR(__xludf.DUMMYFUNCTION("""COMPUTED_VALUE"""),"AICHMP02108034")</f>
        <v>AICHMP02108034</v>
      </c>
      <c r="K151" s="37" t="str">
        <f>IFERROR(__xludf.DUMMYFUNCTION("""COMPUTED_VALUE"""),"Macbook Pro")</f>
        <v>Macbook Pro</v>
      </c>
      <c r="L151" s="37" t="str">
        <f>IFERROR(__xludf.DUMMYFUNCTION("""COMPUTED_VALUE"""),"C02G459NQ05P")</f>
        <v>C02G459NQ05P</v>
      </c>
      <c r="M151" s="37" t="str">
        <f>IFERROR(__xludf.DUMMYFUNCTION("""COMPUTED_VALUE"""),"陳圻昀")</f>
        <v>陳圻昀</v>
      </c>
      <c r="N151" s="44">
        <f>IFERROR(__xludf.DUMMYFUNCTION("""COMPUTED_VALUE"""),44414.0)</f>
        <v>44414</v>
      </c>
      <c r="O151" s="40">
        <f>IFERROR(__xludf.DUMMYFUNCTION("""COMPUTED_VALUE"""),29200.0)</f>
        <v>29200</v>
      </c>
      <c r="P151" s="37" t="str">
        <f>IFERROR(__xludf.DUMMYFUNCTION("""COMPUTED_VALUE"""),"資訊裝置")</f>
        <v>資訊裝置</v>
      </c>
      <c r="Q151" s="37">
        <f>IFERROR(__xludf.DUMMYFUNCTION("""COMPUTED_VALUE"""),36.0)</f>
        <v>36</v>
      </c>
      <c r="R151" s="37">
        <f>IFERROR(__xludf.DUMMYFUNCTION("""COMPUTED_VALUE"""),36.0)</f>
        <v>36</v>
      </c>
      <c r="S151" s="37" t="str">
        <f>IFERROR(__xludf.DUMMYFUNCTION("""COMPUTED_VALUE"""),"NT$29,200")</f>
        <v>NT$29,200</v>
      </c>
      <c r="T151" s="37" t="str">
        <f>IFERROR(__xludf.DUMMYFUNCTION("""COMPUTED_VALUE"""),"A2338 MBP13 (2020) M1/16GBRAM/512GBSSD")</f>
        <v>A2338 MBP13 (2020) M1/16GBRAM/512GBSSD</v>
      </c>
      <c r="U151" s="37"/>
      <c r="V151" s="37"/>
      <c r="W151" s="37"/>
      <c r="X151" s="40" t="str">
        <f>IFERROR(__xludf.DUMMYFUNCTION("""COMPUTED_VALUE"""),"")</f>
        <v/>
      </c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</row>
    <row r="152">
      <c r="B152" s="37"/>
      <c r="C152" s="37" t="str">
        <f>IFERROR(__xludf.DUMMYFUNCTION("""COMPUTED_VALUE"""),"滿三年更換")</f>
        <v>滿三年更換</v>
      </c>
      <c r="D152" s="37" t="str">
        <f>IFERROR(__xludf.DUMMYFUNCTION("""COMPUTED_VALUE"""),"TW")</f>
        <v>TW</v>
      </c>
      <c r="E152" s="37"/>
      <c r="F152" s="37"/>
      <c r="G152" s="37"/>
      <c r="H152" s="44" t="str">
        <f>IFERROR(__xludf.DUMMYFUNCTION("""COMPUTED_VALUE"""),"研發中心:產品設計部:產品設計師團隊")</f>
        <v>研發中心:產品設計部:產品設計師團隊</v>
      </c>
      <c r="I152" s="37" t="str">
        <f>IFERROR(__xludf.DUMMYFUNCTION("""COMPUTED_VALUE"""),"資訊裝置")</f>
        <v>資訊裝置</v>
      </c>
      <c r="J152" s="37" t="str">
        <f>IFERROR(__xludf.DUMMYFUNCTION("""COMPUTED_VALUE"""),"AICHIP02107067")</f>
        <v>AICHIP02107067</v>
      </c>
      <c r="K152" s="37" t="str">
        <f>IFERROR(__xludf.DUMMYFUNCTION("""COMPUTED_VALUE"""),"iPad")</f>
        <v>iPad</v>
      </c>
      <c r="L152" s="37" t="str">
        <f>IFERROR(__xludf.DUMMYFUNCTION("""COMPUTED_VALUE"""),"F9FFQ31LQ1GD")</f>
        <v>F9FFQ31LQ1GD</v>
      </c>
      <c r="M152" s="37" t="str">
        <f>IFERROR(__xludf.DUMMYFUNCTION("""COMPUTED_VALUE"""),"陳圻昀")</f>
        <v>陳圻昀</v>
      </c>
      <c r="N152" s="44">
        <f>IFERROR(__xludf.DUMMYFUNCTION("""COMPUTED_VALUE"""),44398.0)</f>
        <v>44398</v>
      </c>
      <c r="O152" s="40">
        <f>IFERROR(__xludf.DUMMYFUNCTION("""COMPUTED_VALUE"""),9450.0)</f>
        <v>9450</v>
      </c>
      <c r="P152" s="37" t="str">
        <f>IFERROR(__xludf.DUMMYFUNCTION("""COMPUTED_VALUE"""),"資訊裝置")</f>
        <v>資訊裝置</v>
      </c>
      <c r="Q152" s="37">
        <f>IFERROR(__xludf.DUMMYFUNCTION("""COMPUTED_VALUE"""),36.0)</f>
        <v>36</v>
      </c>
      <c r="R152" s="37">
        <f>IFERROR(__xludf.DUMMYFUNCTION("""COMPUTED_VALUE"""),36.0)</f>
        <v>36</v>
      </c>
      <c r="S152" s="37" t="str">
        <f>IFERROR(__xludf.DUMMYFUNCTION("""COMPUTED_VALUE"""),"NT$9,450")</f>
        <v>NT$9,450</v>
      </c>
      <c r="T152" s="37" t="str">
        <f>IFERROR(__xludf.DUMMYFUNCTION("""COMPUTED_VALUE"""),"iPad (第八代) WI-FI 32GB(MYLA2TA/A)")</f>
        <v>iPad (第八代) WI-FI 32GB(MYLA2TA/A)</v>
      </c>
      <c r="U152" s="37"/>
      <c r="V152" s="37"/>
      <c r="W152" s="37"/>
      <c r="X152" s="40" t="str">
        <f>IFERROR(__xludf.DUMMYFUNCTION("""COMPUTED_VALUE"""),"")</f>
        <v/>
      </c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</row>
    <row r="153">
      <c r="B153" s="37"/>
      <c r="C153" s="37" t="str">
        <f>IFERROR(__xludf.DUMMYFUNCTION("""COMPUTED_VALUE"""),"滿三年更換")</f>
        <v>滿三年更換</v>
      </c>
      <c r="D153" s="37" t="str">
        <f>IFERROR(__xludf.DUMMYFUNCTION("""COMPUTED_VALUE"""),"TW")</f>
        <v>TW</v>
      </c>
      <c r="E153" s="37"/>
      <c r="F153" s="37"/>
      <c r="G153" s="37"/>
      <c r="H153" s="44" t="str">
        <f>IFERROR(__xludf.DUMMYFUNCTION("""COMPUTED_VALUE"""),"研發中心:產品設計部:產品設計師團隊")</f>
        <v>研發中心:產品設計部:產品設計師團隊</v>
      </c>
      <c r="I153" s="37" t="str">
        <f>IFERROR(__xludf.DUMMYFUNCTION("""COMPUTED_VALUE"""),"資訊裝置")</f>
        <v>資訊裝置</v>
      </c>
      <c r="J153" s="37" t="str">
        <f>IFERROR(__xludf.DUMMYFUNCTION("""COMPUTED_VALUE"""),"AICHMN02108103")</f>
        <v>AICHMN02108103</v>
      </c>
      <c r="K153" s="37" t="str">
        <f>IFERROR(__xludf.DUMMYFUNCTION("""COMPUTED_VALUE"""),"螢幕")</f>
        <v>螢幕</v>
      </c>
      <c r="L153" s="37" t="str">
        <f>IFERROR(__xludf.DUMMYFUNCTION("""COMPUTED_VALUE"""),"CN-0458FC-WSL00-163-024B-A04")</f>
        <v>CN-0458FC-WSL00-163-024B-A04</v>
      </c>
      <c r="M153" s="37" t="str">
        <f>IFERROR(__xludf.DUMMYFUNCTION("""COMPUTED_VALUE"""),"陳圻昀")</f>
        <v>陳圻昀</v>
      </c>
      <c r="N153" s="44">
        <f>IFERROR(__xludf.DUMMYFUNCTION("""COMPUTED_VALUE"""),44418.0)</f>
        <v>44418</v>
      </c>
      <c r="O153" s="40">
        <f>IFERROR(__xludf.DUMMYFUNCTION("""COMPUTED_VALUE"""),51834.0)</f>
        <v>51834</v>
      </c>
      <c r="P153" s="37" t="str">
        <f>IFERROR(__xludf.DUMMYFUNCTION("""COMPUTED_VALUE"""),"資訊裝置")</f>
        <v>資訊裝置</v>
      </c>
      <c r="Q153" s="37">
        <f>IFERROR(__xludf.DUMMYFUNCTION("""COMPUTED_VALUE"""),36.0)</f>
        <v>36</v>
      </c>
      <c r="R153" s="37">
        <f>IFERROR(__xludf.DUMMYFUNCTION("""COMPUTED_VALUE"""),36.0)</f>
        <v>36</v>
      </c>
      <c r="S153" s="37" t="str">
        <f>IFERROR(__xludf.DUMMYFUNCTION("""COMPUTED_VALUE"""),"NT$51,834")</f>
        <v>NT$51,834</v>
      </c>
      <c r="T153" s="37" t="str">
        <f>IFERROR(__xludf.DUMMYFUNCTION("""COMPUTED_VALUE"""),"Dell 24吋 S2421HSX")</f>
        <v>Dell 24吋 S2421HSX</v>
      </c>
      <c r="U153" s="37"/>
      <c r="V153" s="37"/>
      <c r="W153" s="37"/>
      <c r="X153" s="40" t="str">
        <f>IFERROR(__xludf.DUMMYFUNCTION("""COMPUTED_VALUE"""),"")</f>
        <v/>
      </c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</row>
    <row r="154">
      <c r="B154" s="37"/>
      <c r="C154" s="37" t="str">
        <f>IFERROR(__xludf.DUMMYFUNCTION("""COMPUTED_VALUE"""),"滿三年更換")</f>
        <v>滿三年更換</v>
      </c>
      <c r="D154" s="37" t="str">
        <f>IFERROR(__xludf.DUMMYFUNCTION("""COMPUTED_VALUE"""),"TW")</f>
        <v>TW</v>
      </c>
      <c r="E154" s="37"/>
      <c r="F154" s="37"/>
      <c r="G154" s="37"/>
      <c r="H154" s="44" t="str">
        <f>IFERROR(__xludf.DUMMYFUNCTION("""COMPUTED_VALUE"""),"客戶價值中心:客戶關係管理部:客服團隊 ")</f>
        <v>客戶價值中心:客戶關係管理部:客服團隊 </v>
      </c>
      <c r="I154" s="37" t="str">
        <f>IFERROR(__xludf.DUMMYFUNCTION("""COMPUTED_VALUE"""),"資訊裝置")</f>
        <v>資訊裝置</v>
      </c>
      <c r="J154" s="37" t="str">
        <f>IFERROR(__xludf.DUMMYFUNCTION("""COMPUTED_VALUE"""),"AICHMA02106023")</f>
        <v>AICHMA02106023</v>
      </c>
      <c r="K154" s="37" t="str">
        <f>IFERROR(__xludf.DUMMYFUNCTION("""COMPUTED_VALUE"""),"Macbook Air")</f>
        <v>Macbook Air</v>
      </c>
      <c r="L154" s="37" t="str">
        <f>IFERROR(__xludf.DUMMYFUNCTION("""COMPUTED_VALUE"""),"FVFFML3NQ6L4")</f>
        <v>FVFFML3NQ6L4</v>
      </c>
      <c r="M154" s="37" t="str">
        <f>IFERROR(__xludf.DUMMYFUNCTION("""COMPUTED_VALUE"""),"陳怡婷")</f>
        <v>陳怡婷</v>
      </c>
      <c r="N154" s="44">
        <f>IFERROR(__xludf.DUMMYFUNCTION("""COMPUTED_VALUE"""),44348.0)</f>
        <v>44348</v>
      </c>
      <c r="O154" s="40">
        <f>IFERROR(__xludf.DUMMYFUNCTION("""COMPUTED_VALUE"""),9450.0)</f>
        <v>9450</v>
      </c>
      <c r="P154" s="37" t="str">
        <f>IFERROR(__xludf.DUMMYFUNCTION("""COMPUTED_VALUE"""),"資訊裝置")</f>
        <v>資訊裝置</v>
      </c>
      <c r="Q154" s="37">
        <f>IFERROR(__xludf.DUMMYFUNCTION("""COMPUTED_VALUE"""),36.0)</f>
        <v>36</v>
      </c>
      <c r="R154" s="37">
        <f>IFERROR(__xludf.DUMMYFUNCTION("""COMPUTED_VALUE"""),36.0)</f>
        <v>36</v>
      </c>
      <c r="S154" s="37" t="str">
        <f>IFERROR(__xludf.DUMMYFUNCTION("""COMPUTED_VALUE"""),"NT$9,450")</f>
        <v>NT$9,450</v>
      </c>
      <c r="T154" s="37" t="str">
        <f>IFERROR(__xludf.DUMMYFUNCTION("""COMPUTED_VALUE"""),"MBA13 (2020) M1/8GBRAM/256GBSSD")</f>
        <v>MBA13 (2020) M1/8GBRAM/256GBSSD</v>
      </c>
      <c r="U154" s="37"/>
      <c r="V154" s="37"/>
      <c r="W154" s="37"/>
      <c r="X154" s="40" t="str">
        <f>IFERROR(__xludf.DUMMYFUNCTION("""COMPUTED_VALUE"""),"")</f>
        <v/>
      </c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</row>
    <row r="155">
      <c r="B155" s="37"/>
      <c r="C155" s="37" t="str">
        <f>IFERROR(__xludf.DUMMYFUNCTION("""COMPUTED_VALUE"""),"滿三年更換")</f>
        <v>滿三年更換</v>
      </c>
      <c r="D155" s="37" t="str">
        <f>IFERROR(__xludf.DUMMYFUNCTION("""COMPUTED_VALUE"""),"TW")</f>
        <v>TW</v>
      </c>
      <c r="E155" s="37"/>
      <c r="F155" s="37"/>
      <c r="G155" s="37"/>
      <c r="H155" s="44" t="str">
        <f>IFERROR(__xludf.DUMMYFUNCTION("""COMPUTED_VALUE"""),"行銷營運中心:社群關係部:餐廳社群團隊")</f>
        <v>行銷營運中心:社群關係部:餐廳社群團隊</v>
      </c>
      <c r="I155" s="37" t="str">
        <f>IFERROR(__xludf.DUMMYFUNCTION("""COMPUTED_VALUE"""),"資訊裝置")</f>
        <v>資訊裝置</v>
      </c>
      <c r="J155" s="37" t="str">
        <f>IFERROR(__xludf.DUMMYFUNCTION("""COMPUTED_VALUE"""),"AICHIP02112082")</f>
        <v>AICHIP02112082</v>
      </c>
      <c r="K155" s="37" t="str">
        <f>IFERROR(__xludf.DUMMYFUNCTION("""COMPUTED_VALUE"""),"iPad")</f>
        <v>iPad</v>
      </c>
      <c r="L155" s="37" t="str">
        <f>IFERROR(__xludf.DUMMYFUNCTION("""COMPUTED_VALUE"""),"DMPRT42NG5VV")</f>
        <v>DMPRT42NG5VV</v>
      </c>
      <c r="M155" s="37" t="str">
        <f>IFERROR(__xludf.DUMMYFUNCTION("""COMPUTED_VALUE"""),"陳品宏")</f>
        <v>陳品宏</v>
      </c>
      <c r="N155" s="44">
        <f>IFERROR(__xludf.DUMMYFUNCTION("""COMPUTED_VALUE"""),42983.0)</f>
        <v>42983</v>
      </c>
      <c r="O155" s="37"/>
      <c r="P155" s="37" t="str">
        <f>IFERROR(__xludf.DUMMYFUNCTION("""COMPUTED_VALUE"""),"資訊裝置")</f>
        <v>資訊裝置</v>
      </c>
      <c r="Q155" s="37">
        <f>IFERROR(__xludf.DUMMYFUNCTION("""COMPUTED_VALUE"""),36.0)</f>
        <v>36</v>
      </c>
      <c r="R155" s="37">
        <f>IFERROR(__xludf.DUMMYFUNCTION("""COMPUTED_VALUE"""),36.0)</f>
        <v>36</v>
      </c>
      <c r="S155" s="37" t="str">
        <f>IFERROR(__xludf.DUMMYFUNCTION("""COMPUTED_VALUE"""),"NT$0")</f>
        <v>NT$0</v>
      </c>
      <c r="T155" s="37" t="str">
        <f>IFERROR(__xludf.DUMMYFUNCTION("""COMPUTED_VALUE"""),"iPad Air2 16GB Wifi (MH0W2TA/A)")</f>
        <v>iPad Air2 16GB Wifi (MH0W2TA/A)</v>
      </c>
      <c r="U155" s="37"/>
      <c r="V155" s="37"/>
      <c r="W155" s="37"/>
      <c r="X155" s="40" t="str">
        <f>IFERROR(__xludf.DUMMYFUNCTION("""COMPUTED_VALUE"""),"")</f>
        <v/>
      </c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</row>
    <row r="156">
      <c r="B156" s="37"/>
      <c r="C156" s="37" t="str">
        <f>IFERROR(__xludf.DUMMYFUNCTION("""COMPUTED_VALUE"""),"滿三年更換")</f>
        <v>滿三年更換</v>
      </c>
      <c r="D156" s="37" t="str">
        <f>IFERROR(__xludf.DUMMYFUNCTION("""COMPUTED_VALUE"""),"TW")</f>
        <v>TW</v>
      </c>
      <c r="E156" s="37"/>
      <c r="F156" s="37"/>
      <c r="G156" s="37"/>
      <c r="H156" s="44" t="str">
        <f>IFERROR(__xludf.DUMMYFUNCTION("""COMPUTED_VALUE"""),"研發中心:軟體工程部:QE團隊")</f>
        <v>研發中心:軟體工程部:QE團隊</v>
      </c>
      <c r="I156" s="37" t="str">
        <f>IFERROR(__xludf.DUMMYFUNCTION("""COMPUTED_VALUE"""),"資訊裝置")</f>
        <v>資訊裝置</v>
      </c>
      <c r="J156" s="37" t="str">
        <f>IFERROR(__xludf.DUMMYFUNCTION("""COMPUTED_VALUE"""),"AICHMP02206048")</f>
        <v>AICHMP02206048</v>
      </c>
      <c r="K156" s="37" t="str">
        <f>IFERROR(__xludf.DUMMYFUNCTION("""COMPUTED_VALUE"""),"Macbook Pro")</f>
        <v>Macbook Pro</v>
      </c>
      <c r="L156" s="37" t="str">
        <f>IFERROR(__xludf.DUMMYFUNCTION("""COMPUTED_VALUE"""),"XY14MWG6XW")</f>
        <v>XY14MWG6XW</v>
      </c>
      <c r="M156" s="37" t="str">
        <f>IFERROR(__xludf.DUMMYFUNCTION("""COMPUTED_VALUE"""),"陳妍臻")</f>
        <v>陳妍臻</v>
      </c>
      <c r="N156" s="44">
        <f>IFERROR(__xludf.DUMMYFUNCTION("""COMPUTED_VALUE"""),44720.0)</f>
        <v>44720</v>
      </c>
      <c r="O156" s="40">
        <f>IFERROR(__xludf.DUMMYFUNCTION("""COMPUTED_VALUE"""),81450.0)</f>
        <v>81450</v>
      </c>
      <c r="P156" s="37" t="str">
        <f>IFERROR(__xludf.DUMMYFUNCTION("""COMPUTED_VALUE"""),"資訊裝置")</f>
        <v>資訊裝置</v>
      </c>
      <c r="Q156" s="37">
        <f>IFERROR(__xludf.DUMMYFUNCTION("""COMPUTED_VALUE"""),36.0)</f>
        <v>36</v>
      </c>
      <c r="R156" s="37">
        <f>IFERROR(__xludf.DUMMYFUNCTION("""COMPUTED_VALUE"""),36.0)</f>
        <v>36</v>
      </c>
      <c r="S156" s="37" t="str">
        <f>IFERROR(__xludf.DUMMYFUNCTION("""COMPUTED_VALUE"""),"NT$81,450")</f>
        <v>NT$81,450</v>
      </c>
      <c r="T156" s="37" t="str">
        <f>IFERROR(__xludf.DUMMYFUNCTION("""COMPUTED_VALUE"""),"A2442 MBP14 (2021) M1 Max/32GBRAM/1TBSSD")</f>
        <v>A2442 MBP14 (2021) M1 Max/32GBRAM/1TBSSD</v>
      </c>
      <c r="U156" s="37"/>
      <c r="V156" s="37"/>
      <c r="W156" s="37"/>
      <c r="X156" s="40" t="str">
        <f>IFERROR(__xludf.DUMMYFUNCTION("""COMPUTED_VALUE"""),"")</f>
        <v/>
      </c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</row>
    <row r="157">
      <c r="B157" s="37"/>
      <c r="C157" s="37" t="str">
        <f>IFERROR(__xludf.DUMMYFUNCTION("""COMPUTED_VALUE"""),"滿三年更換")</f>
        <v>滿三年更換</v>
      </c>
      <c r="D157" s="37" t="str">
        <f>IFERROR(__xludf.DUMMYFUNCTION("""COMPUTED_VALUE"""),"TW")</f>
        <v>TW</v>
      </c>
      <c r="E157" s="37"/>
      <c r="F157" s="37"/>
      <c r="G157" s="37"/>
      <c r="H157" s="44" t="str">
        <f>IFERROR(__xludf.DUMMYFUNCTION("""COMPUTED_VALUE"""),"研發中心:軟體工程部:QE團隊")</f>
        <v>研發中心:軟體工程部:QE團隊</v>
      </c>
      <c r="I157" s="37" t="str">
        <f>IFERROR(__xludf.DUMMYFUNCTION("""COMPUTED_VALUE"""),"資訊裝置")</f>
        <v>資訊裝置</v>
      </c>
      <c r="J157" s="37" t="str">
        <f>IFERROR(__xludf.DUMMYFUNCTION("""COMPUTED_VALUE"""),"AICHIP02111079")</f>
        <v>AICHIP02111079</v>
      </c>
      <c r="K157" s="37" t="str">
        <f>IFERROR(__xludf.DUMMYFUNCTION("""COMPUTED_VALUE"""),"iPad 9")</f>
        <v>iPad 9</v>
      </c>
      <c r="L157" s="37" t="str">
        <f>IFERROR(__xludf.DUMMYFUNCTION("""COMPUTED_VALUE"""),"Q6KCD7GJ30")</f>
        <v>Q6KCD7GJ30</v>
      </c>
      <c r="M157" s="37" t="str">
        <f>IFERROR(__xludf.DUMMYFUNCTION("""COMPUTED_VALUE"""),"陳妍臻")</f>
        <v>陳妍臻</v>
      </c>
      <c r="N157" s="44">
        <f>IFERROR(__xludf.DUMMYFUNCTION("""COMPUTED_VALUE"""),44516.0)</f>
        <v>44516</v>
      </c>
      <c r="O157" s="40">
        <f>IFERROR(__xludf.DUMMYFUNCTION("""COMPUTED_VALUE"""),9450.0)</f>
        <v>9450</v>
      </c>
      <c r="P157" s="37" t="str">
        <f>IFERROR(__xludf.DUMMYFUNCTION("""COMPUTED_VALUE"""),"資訊裝置")</f>
        <v>資訊裝置</v>
      </c>
      <c r="Q157" s="37">
        <f>IFERROR(__xludf.DUMMYFUNCTION("""COMPUTED_VALUE"""),36.0)</f>
        <v>36</v>
      </c>
      <c r="R157" s="37">
        <f>IFERROR(__xludf.DUMMYFUNCTION("""COMPUTED_VALUE"""),36.0)</f>
        <v>36</v>
      </c>
      <c r="S157" s="37" t="str">
        <f>IFERROR(__xludf.DUMMYFUNCTION("""COMPUTED_VALUE"""),"NT$9,450")</f>
        <v>NT$9,450</v>
      </c>
      <c r="T157" s="37" t="str">
        <f>IFERROR(__xludf.DUMMYFUNCTION("""COMPUTED_VALUE"""),"iPad (第九代) 64GB WIFI (MK2L3TA/A)(A2602)")</f>
        <v>iPad (第九代) 64GB WIFI (MK2L3TA/A)(A2602)</v>
      </c>
      <c r="U157" s="37"/>
      <c r="V157" s="37"/>
      <c r="W157" s="37"/>
      <c r="X157" s="40" t="str">
        <f>IFERROR(__xludf.DUMMYFUNCTION("""COMPUTED_VALUE"""),"")</f>
        <v/>
      </c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</row>
    <row r="158">
      <c r="B158" s="37"/>
      <c r="C158" s="37" t="str">
        <f>IFERROR(__xludf.DUMMYFUNCTION("""COMPUTED_VALUE"""),"滿三年更換")</f>
        <v>滿三年更換</v>
      </c>
      <c r="D158" s="37" t="str">
        <f>IFERROR(__xludf.DUMMYFUNCTION("""COMPUTED_VALUE"""),"TW")</f>
        <v>TW</v>
      </c>
      <c r="E158" s="37"/>
      <c r="F158" s="37"/>
      <c r="G158" s="37"/>
      <c r="H158" s="44" t="str">
        <f>IFERROR(__xludf.DUMMYFUNCTION("""COMPUTED_VALUE"""),"研發中心:軟體工程部:QE團隊")</f>
        <v>研發中心:軟體工程部:QE團隊</v>
      </c>
      <c r="I158" s="37" t="str">
        <f>IFERROR(__xludf.DUMMYFUNCTION("""COMPUTED_VALUE"""),"資訊裝置")</f>
        <v>資訊裝置</v>
      </c>
      <c r="J158" s="37" t="str">
        <f>IFERROR(__xludf.DUMMYFUNCTION("""COMPUTED_VALUE"""),"AICHMN01604024")</f>
        <v>AICHMN01604024</v>
      </c>
      <c r="K158" s="37" t="str">
        <f>IFERROR(__xludf.DUMMYFUNCTION("""COMPUTED_VALUE"""),"螢幕")</f>
        <v>螢幕</v>
      </c>
      <c r="L158" s="37" t="str">
        <f>IFERROR(__xludf.DUMMYFUNCTION("""COMPUTED_VALUE"""),"CN-0MTYGK-64180-61T-04KL-A02")</f>
        <v>CN-0MTYGK-64180-61T-04KL-A02</v>
      </c>
      <c r="M158" s="37" t="str">
        <f>IFERROR(__xludf.DUMMYFUNCTION("""COMPUTED_VALUE"""),"陳妍臻")</f>
        <v>陳妍臻</v>
      </c>
      <c r="N158" s="44">
        <f>IFERROR(__xludf.DUMMYFUNCTION("""COMPUTED_VALUE"""),42468.0)</f>
        <v>42468</v>
      </c>
      <c r="O158" s="40">
        <f>IFERROR(__xludf.DUMMYFUNCTION("""COMPUTED_VALUE"""),81450.0)</f>
        <v>81450</v>
      </c>
      <c r="P158" s="37" t="str">
        <f>IFERROR(__xludf.DUMMYFUNCTION("""COMPUTED_VALUE"""),"資訊裝置")</f>
        <v>資訊裝置</v>
      </c>
      <c r="Q158" s="37">
        <f>IFERROR(__xludf.DUMMYFUNCTION("""COMPUTED_VALUE"""),36.0)</f>
        <v>36</v>
      </c>
      <c r="R158" s="37">
        <f>IFERROR(__xludf.DUMMYFUNCTION("""COMPUTED_VALUE"""),36.0)</f>
        <v>36</v>
      </c>
      <c r="S158" s="37" t="str">
        <f>IFERROR(__xludf.DUMMYFUNCTION("""COMPUTED_VALUE"""),"NT$81,450")</f>
        <v>NT$81,450</v>
      </c>
      <c r="T158" s="37" t="str">
        <f>IFERROR(__xludf.DUMMYFUNCTION("""COMPUTED_VALUE"""),"Dell 24吋 U2412Mc")</f>
        <v>Dell 24吋 U2412Mc</v>
      </c>
      <c r="U158" s="37"/>
      <c r="V158" s="37"/>
      <c r="W158" s="37"/>
      <c r="X158" s="40" t="str">
        <f>IFERROR(__xludf.DUMMYFUNCTION("""COMPUTED_VALUE"""),"")</f>
        <v/>
      </c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</row>
    <row r="159">
      <c r="B159" s="37"/>
      <c r="C159" s="37" t="str">
        <f>IFERROR(__xludf.DUMMYFUNCTION("""COMPUTED_VALUE"""),"滿三年更換")</f>
        <v>滿三年更換</v>
      </c>
      <c r="D159" s="37" t="str">
        <f>IFERROR(__xludf.DUMMYFUNCTION("""COMPUTED_VALUE"""),"TW")</f>
        <v>TW</v>
      </c>
      <c r="E159" s="37"/>
      <c r="F159" s="37"/>
      <c r="G159" s="37"/>
      <c r="H159" s="44" t="str">
        <f>IFERROR(__xludf.DUMMYFUNCTION("""COMPUTED_VALUE"""),"研發中心:軟體工程部:QE團隊")</f>
        <v>研發中心:軟體工程部:QE團隊</v>
      </c>
      <c r="I159" s="37" t="str">
        <f>IFERROR(__xludf.DUMMYFUNCTION("""COMPUTED_VALUE"""),"資訊裝置")</f>
        <v>資訊裝置</v>
      </c>
      <c r="J159" s="37" t="str">
        <f>IFERROR(__xludf.DUMMYFUNCTION("""COMPUTED_VALUE"""),"AICHMN02209118")</f>
        <v>AICHMN02209118</v>
      </c>
      <c r="K159" s="37" t="str">
        <f>IFERROR(__xludf.DUMMYFUNCTION("""COMPUTED_VALUE"""),"螢幕")</f>
        <v>螢幕</v>
      </c>
      <c r="L159" s="37" t="str">
        <f>IFERROR(__xludf.DUMMYFUNCTION("""COMPUTED_VALUE"""),"N6LMTF092419")</f>
        <v>N6LMTF092419</v>
      </c>
      <c r="M159" s="37" t="str">
        <f>IFERROR(__xludf.DUMMYFUNCTION("""COMPUTED_VALUE"""),"陳妍臻")</f>
        <v>陳妍臻</v>
      </c>
      <c r="N159" s="44">
        <f>IFERROR(__xludf.DUMMYFUNCTION("""COMPUTED_VALUE"""),44818.0)</f>
        <v>44818</v>
      </c>
      <c r="O159" s="40">
        <f>IFERROR(__xludf.DUMMYFUNCTION("""COMPUTED_VALUE"""),13190.0)</f>
        <v>13190</v>
      </c>
      <c r="P159" s="37" t="str">
        <f>IFERROR(__xludf.DUMMYFUNCTION("""COMPUTED_VALUE"""),"資訊裝置")</f>
        <v>資訊裝置</v>
      </c>
      <c r="Q159" s="37">
        <f>IFERROR(__xludf.DUMMYFUNCTION("""COMPUTED_VALUE"""),36.0)</f>
        <v>36</v>
      </c>
      <c r="R159" s="37">
        <f>IFERROR(__xludf.DUMMYFUNCTION("""COMPUTED_VALUE"""),37.0)</f>
        <v>37</v>
      </c>
      <c r="S159" s="37" t="str">
        <f>IFERROR(__xludf.DUMMYFUNCTION("""COMPUTED_VALUE"""),"NT$13,556")</f>
        <v>NT$13,556</v>
      </c>
      <c r="T159" s="37" t="str">
        <f>IFERROR(__xludf.DUMMYFUNCTION("""COMPUTED_VALUE"""),"ASUS 27吋 VG277")</f>
        <v>ASUS 27吋 VG277</v>
      </c>
      <c r="U159" s="37"/>
      <c r="V159" s="37"/>
      <c r="W159" s="37"/>
      <c r="X159" s="40" t="str">
        <f>IFERROR(__xludf.DUMMYFUNCTION("""COMPUTED_VALUE"""),"")</f>
        <v/>
      </c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</row>
    <row r="160">
      <c r="B160" s="37"/>
      <c r="C160" s="37" t="str">
        <f>IFERROR(__xludf.DUMMYFUNCTION("""COMPUTED_VALUE"""),"滿三年更換")</f>
        <v>滿三年更換</v>
      </c>
      <c r="D160" s="37" t="str">
        <f>IFERROR(__xludf.DUMMYFUNCTION("""COMPUTED_VALUE"""),"TW")</f>
        <v>TW</v>
      </c>
      <c r="E160" s="37"/>
      <c r="F160" s="37"/>
      <c r="G160" s="37"/>
      <c r="H160" s="44" t="str">
        <f>IFERROR(__xludf.DUMMYFUNCTION("""COMPUTED_VALUE"""),"研發中心:產品設計部:產品經理團隊")</f>
        <v>研發中心:產品設計部:產品經理團隊</v>
      </c>
      <c r="I160" s="37" t="str">
        <f>IFERROR(__xludf.DUMMYFUNCTION("""COMPUTED_VALUE"""),"資訊裝置")</f>
        <v>資訊裝置</v>
      </c>
      <c r="J160" s="37" t="str">
        <f>IFERROR(__xludf.DUMMYFUNCTION("""COMPUTED_VALUE"""),"AICHMC01605004")</f>
        <v>AICHMC01605004</v>
      </c>
      <c r="K160" s="37" t="str">
        <f>IFERROR(__xludf.DUMMYFUNCTION("""COMPUTED_VALUE"""),"Mac mini")</f>
        <v>Mac mini</v>
      </c>
      <c r="L160" s="37" t="str">
        <f>IFERROR(__xludf.DUMMYFUNCTION("""COMPUTED_VALUE"""),"C07RJ0WKG1J2")</f>
        <v>C07RJ0WKG1J2</v>
      </c>
      <c r="M160" s="37" t="str">
        <f>IFERROR(__xludf.DUMMYFUNCTION("""COMPUTED_VALUE"""),"陳彥廷")</f>
        <v>陳彥廷</v>
      </c>
      <c r="N160" s="44">
        <f>IFERROR(__xludf.DUMMYFUNCTION("""COMPUTED_VALUE"""),42509.0)</f>
        <v>42509</v>
      </c>
      <c r="O160" s="40">
        <f>IFERROR(__xludf.DUMMYFUNCTION("""COMPUTED_VALUE"""),52500.0)</f>
        <v>52500</v>
      </c>
      <c r="P160" s="37" t="str">
        <f>IFERROR(__xludf.DUMMYFUNCTION("""COMPUTED_VALUE"""),"資訊裝置")</f>
        <v>資訊裝置</v>
      </c>
      <c r="Q160" s="37">
        <f>IFERROR(__xludf.DUMMYFUNCTION("""COMPUTED_VALUE"""),36.0)</f>
        <v>36</v>
      </c>
      <c r="R160" s="37">
        <f>IFERROR(__xludf.DUMMYFUNCTION("""COMPUTED_VALUE"""),36.0)</f>
        <v>36</v>
      </c>
      <c r="S160" s="37" t="str">
        <f>IFERROR(__xludf.DUMMYFUNCTION("""COMPUTED_VALUE"""),"NT$52,500")</f>
        <v>NT$52,500</v>
      </c>
      <c r="T160" s="37" t="str">
        <f>IFERROR(__xludf.DUMMYFUNCTION("""COMPUTED_VALUE"""),"等保管人回報設備規格")</f>
        <v>等保管人回報設備規格</v>
      </c>
      <c r="U160" s="37"/>
      <c r="V160" s="37"/>
      <c r="W160" s="37"/>
      <c r="X160" s="40" t="str">
        <f>IFERROR(__xludf.DUMMYFUNCTION("""COMPUTED_VALUE"""),"")</f>
        <v/>
      </c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</row>
    <row r="161">
      <c r="B161" s="37"/>
      <c r="C161" s="37" t="str">
        <f>IFERROR(__xludf.DUMMYFUNCTION("""COMPUTED_VALUE"""),"滿三年更換")</f>
        <v>滿三年更換</v>
      </c>
      <c r="D161" s="37" t="str">
        <f>IFERROR(__xludf.DUMMYFUNCTION("""COMPUTED_VALUE"""),"TW")</f>
        <v>TW</v>
      </c>
      <c r="E161" s="37"/>
      <c r="F161" s="37"/>
      <c r="G161" s="37"/>
      <c r="H161" s="44" t="str">
        <f>IFERROR(__xludf.DUMMYFUNCTION("""COMPUTED_VALUE"""),"研發中心:產品設計部:產品經理團隊")</f>
        <v>研發中心:產品設計部:產品經理團隊</v>
      </c>
      <c r="I161" s="37" t="str">
        <f>IFERROR(__xludf.DUMMYFUNCTION("""COMPUTED_VALUE"""),"資訊裝置")</f>
        <v>資訊裝置</v>
      </c>
      <c r="J161" s="37" t="str">
        <f>IFERROR(__xludf.DUMMYFUNCTION("""COMPUTED_VALUE"""),"AICHMP02302057")</f>
        <v>AICHMP02302057</v>
      </c>
      <c r="K161" s="37" t="str">
        <f>IFERROR(__xludf.DUMMYFUNCTION("""COMPUTED_VALUE"""),"Macbook Pro")</f>
        <v>Macbook Pro</v>
      </c>
      <c r="L161" s="37" t="str">
        <f>IFERROR(__xludf.DUMMYFUNCTION("""COMPUTED_VALUE"""),"JJ3CX1TFMP")</f>
        <v>JJ3CX1TFMP</v>
      </c>
      <c r="M161" s="37" t="str">
        <f>IFERROR(__xludf.DUMMYFUNCTION("""COMPUTED_VALUE"""),"陳彥廷")</f>
        <v>陳彥廷</v>
      </c>
      <c r="N161" s="44">
        <f>IFERROR(__xludf.DUMMYFUNCTION("""COMPUTED_VALUE"""),44959.0)</f>
        <v>44959</v>
      </c>
      <c r="O161" s="40">
        <f>IFERROR(__xludf.DUMMYFUNCTION("""COMPUTED_VALUE"""),76200.0)</f>
        <v>76200</v>
      </c>
      <c r="P161" s="37" t="str">
        <f>IFERROR(__xludf.DUMMYFUNCTION("""COMPUTED_VALUE"""),"資訊裝置")</f>
        <v>資訊裝置</v>
      </c>
      <c r="Q161" s="37">
        <f>IFERROR(__xludf.DUMMYFUNCTION("""COMPUTED_VALUE"""),36.0)</f>
        <v>36</v>
      </c>
      <c r="R161" s="37">
        <f>IFERROR(__xludf.DUMMYFUNCTION("""COMPUTED_VALUE"""),33.0)</f>
        <v>33</v>
      </c>
      <c r="S161" s="37" t="str">
        <f>IFERROR(__xludf.DUMMYFUNCTION("""COMPUTED_VALUE"""),"NT$69,849")</f>
        <v>NT$69,849</v>
      </c>
      <c r="T161" s="37" t="str">
        <f>IFERROR(__xludf.DUMMYFUNCTION("""COMPUTED_VALUE"""),"MBP14 (2021) M1Max/32GBRAM/512GBSSD")</f>
        <v>MBP14 (2021) M1Max/32GBRAM/512GBSSD</v>
      </c>
      <c r="U161" s="37"/>
      <c r="V161" s="37"/>
      <c r="W161" s="37"/>
      <c r="X161" s="40" t="str">
        <f>IFERROR(__xludf.DUMMYFUNCTION("""COMPUTED_VALUE"""),"")</f>
        <v/>
      </c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</row>
    <row r="162">
      <c r="B162" s="37"/>
      <c r="C162" s="37" t="str">
        <f>IFERROR(__xludf.DUMMYFUNCTION("""COMPUTED_VALUE"""),"滿三年更換")</f>
        <v>滿三年更換</v>
      </c>
      <c r="D162" s="37" t="str">
        <f>IFERROR(__xludf.DUMMYFUNCTION("""COMPUTED_VALUE"""),"TW")</f>
        <v>TW</v>
      </c>
      <c r="E162" s="37"/>
      <c r="F162" s="37"/>
      <c r="G162" s="37"/>
      <c r="H162" s="44" t="str">
        <f>IFERROR(__xludf.DUMMYFUNCTION("""COMPUTED_VALUE"""),"研發中心:產品設計部:產品經理團隊")</f>
        <v>研發中心:產品設計部:產品經理團隊</v>
      </c>
      <c r="I162" s="37" t="str">
        <f>IFERROR(__xludf.DUMMYFUNCTION("""COMPUTED_VALUE"""),"資訊裝置")</f>
        <v>資訊裝置</v>
      </c>
      <c r="J162" s="37" t="str">
        <f>IFERROR(__xludf.DUMMYFUNCTION("""COMPUTED_VALUE"""),"AICHIP01907014")</f>
        <v>AICHIP01907014</v>
      </c>
      <c r="K162" s="37" t="str">
        <f>IFERROR(__xludf.DUMMYFUNCTION("""COMPUTED_VALUE"""),"iPad Air")</f>
        <v>iPad Air</v>
      </c>
      <c r="L162" s="37" t="str">
        <f>IFERROR(__xludf.DUMMYFUNCTION("""COMPUTED_VALUE"""),"DMPXVW7RJMVR")</f>
        <v>DMPXVW7RJMVR</v>
      </c>
      <c r="M162" s="37" t="str">
        <f>IFERROR(__xludf.DUMMYFUNCTION("""COMPUTED_VALUE"""),"陳彥廷")</f>
        <v>陳彥廷</v>
      </c>
      <c r="N162" s="44">
        <f>IFERROR(__xludf.DUMMYFUNCTION("""COMPUTED_VALUE"""),43646.0)</f>
        <v>43646</v>
      </c>
      <c r="O162" s="40">
        <f>IFERROR(__xludf.DUMMYFUNCTION("""COMPUTED_VALUE"""),9446.0)</f>
        <v>9446</v>
      </c>
      <c r="P162" s="37" t="str">
        <f>IFERROR(__xludf.DUMMYFUNCTION("""COMPUTED_VALUE"""),"資訊裝置")</f>
        <v>資訊裝置</v>
      </c>
      <c r="Q162" s="37">
        <f>IFERROR(__xludf.DUMMYFUNCTION("""COMPUTED_VALUE"""),36.0)</f>
        <v>36</v>
      </c>
      <c r="R162" s="37">
        <f>IFERROR(__xludf.DUMMYFUNCTION("""COMPUTED_VALUE"""),36.0)</f>
        <v>36</v>
      </c>
      <c r="S162" s="37" t="str">
        <f>IFERROR(__xludf.DUMMYFUNCTION("""COMPUTED_VALUE"""),"NT$9,446")</f>
        <v>NT$9,446</v>
      </c>
      <c r="T162" s="37" t="str">
        <f>IFERROR(__xludf.DUMMYFUNCTION("""COMPUTED_VALUE"""),"iPad (第六代) WI-FI 32GB(MRJN2TA/A)")</f>
        <v>iPad (第六代) WI-FI 32GB(MRJN2TA/A)</v>
      </c>
      <c r="U162" s="37"/>
      <c r="V162" s="37"/>
      <c r="W162" s="37"/>
      <c r="X162" s="40" t="str">
        <f>IFERROR(__xludf.DUMMYFUNCTION("""COMPUTED_VALUE"""),"")</f>
        <v/>
      </c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</row>
    <row r="163">
      <c r="B163" s="37"/>
      <c r="C163" s="37" t="str">
        <f>IFERROR(__xludf.DUMMYFUNCTION("""COMPUTED_VALUE"""),"滿三年更換")</f>
        <v>滿三年更換</v>
      </c>
      <c r="D163" s="37" t="str">
        <f>IFERROR(__xludf.DUMMYFUNCTION("""COMPUTED_VALUE"""),"TW")</f>
        <v>TW</v>
      </c>
      <c r="E163" s="37"/>
      <c r="F163" s="37"/>
      <c r="G163" s="37"/>
      <c r="H163" s="44" t="str">
        <f>IFERROR(__xludf.DUMMYFUNCTION("""COMPUTED_VALUE"""),"研發中心:產品設計部:產品經理團隊")</f>
        <v>研發中心:產品設計部:產品經理團隊</v>
      </c>
      <c r="I163" s="37" t="str">
        <f>IFERROR(__xludf.DUMMYFUNCTION("""COMPUTED_VALUE"""),"資訊裝置")</f>
        <v>資訊裝置</v>
      </c>
      <c r="J163" s="37" t="str">
        <f>IFERROR(__xludf.DUMMYFUNCTION("""COMPUTED_VALUE"""),"AICHMN02103097")</f>
        <v>AICHMN02103097</v>
      </c>
      <c r="K163" s="37" t="str">
        <f>IFERROR(__xludf.DUMMYFUNCTION("""COMPUTED_VALUE"""),"螢幕")</f>
        <v>螢幕</v>
      </c>
      <c r="L163" s="37" t="str">
        <f>IFERROR(__xludf.DUMMYFUNCTION("""COMPUTED_VALUE"""),"M1LMTF097085")</f>
        <v>M1LMTF097085</v>
      </c>
      <c r="M163" s="37" t="str">
        <f>IFERROR(__xludf.DUMMYFUNCTION("""COMPUTED_VALUE"""),"陳彥廷")</f>
        <v>陳彥廷</v>
      </c>
      <c r="N163" s="44">
        <f>IFERROR(__xludf.DUMMYFUNCTION("""COMPUTED_VALUE"""),44266.0)</f>
        <v>44266</v>
      </c>
      <c r="O163" s="37"/>
      <c r="P163" s="37" t="str">
        <f>IFERROR(__xludf.DUMMYFUNCTION("""COMPUTED_VALUE"""),"資訊裝置")</f>
        <v>資訊裝置</v>
      </c>
      <c r="Q163" s="37">
        <f>IFERROR(__xludf.DUMMYFUNCTION("""COMPUTED_VALUE"""),36.0)</f>
        <v>36</v>
      </c>
      <c r="R163" s="37">
        <f>IFERROR(__xludf.DUMMYFUNCTION("""COMPUTED_VALUE"""),36.0)</f>
        <v>36</v>
      </c>
      <c r="S163" s="37" t="str">
        <f>IFERROR(__xludf.DUMMYFUNCTION("""COMPUTED_VALUE"""),"NT$0")</f>
        <v>NT$0</v>
      </c>
      <c r="T163" s="37" t="str">
        <f>IFERROR(__xludf.DUMMYFUNCTION("""COMPUTED_VALUE"""),"ASUS 32吋 VQ32V")</f>
        <v>ASUS 32吋 VQ32V</v>
      </c>
      <c r="U163" s="37"/>
      <c r="V163" s="37"/>
      <c r="W163" s="37"/>
      <c r="X163" s="40" t="str">
        <f>IFERROR(__xludf.DUMMYFUNCTION("""COMPUTED_VALUE"""),"")</f>
        <v/>
      </c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</row>
    <row r="164">
      <c r="B164" s="37"/>
      <c r="C164" s="37" t="str">
        <f>IFERROR(__xludf.DUMMYFUNCTION("""COMPUTED_VALUE"""),"滿三年更換")</f>
        <v>滿三年更換</v>
      </c>
      <c r="D164" s="37" t="str">
        <f>IFERROR(__xludf.DUMMYFUNCTION("""COMPUTED_VALUE"""),"TW")</f>
        <v>TW</v>
      </c>
      <c r="E164" s="37"/>
      <c r="F164" s="37"/>
      <c r="G164" s="37"/>
      <c r="H164" s="44" t="str">
        <f>IFERROR(__xludf.DUMMYFUNCTION("""COMPUTED_VALUE"""),"研發中心:產品設計部:產品設計師團隊")</f>
        <v>研發中心:產品設計部:產品設計師團隊</v>
      </c>
      <c r="I164" s="37" t="str">
        <f>IFERROR(__xludf.DUMMYFUNCTION("""COMPUTED_VALUE"""),"資訊裝置")</f>
        <v>資訊裝置</v>
      </c>
      <c r="J164" s="37" t="str">
        <f>IFERROR(__xludf.DUMMYFUNCTION("""COMPUTED_VALUE"""),"AICHIP02002019")</f>
        <v>AICHIP02002019</v>
      </c>
      <c r="K164" s="37" t="str">
        <f>IFERROR(__xludf.DUMMYFUNCTION("""COMPUTED_VALUE"""),"iPad Air")</f>
        <v>iPad Air</v>
      </c>
      <c r="L164" s="37" t="str">
        <f>IFERROR(__xludf.DUMMYFUNCTION("""COMPUTED_VALUE"""),"DMPYW0SBJMVR")</f>
        <v>DMPYW0SBJMVR</v>
      </c>
      <c r="M164" s="37" t="str">
        <f>IFERROR(__xludf.DUMMYFUNCTION("""COMPUTED_VALUE"""),"陳彥豪")</f>
        <v>陳彥豪</v>
      </c>
      <c r="N164" s="44">
        <f>IFERROR(__xludf.DUMMYFUNCTION("""COMPUTED_VALUE"""),43888.0)</f>
        <v>43888</v>
      </c>
      <c r="O164" s="40">
        <f>IFERROR(__xludf.DUMMYFUNCTION("""COMPUTED_VALUE"""),9374.0)</f>
        <v>9374</v>
      </c>
      <c r="P164" s="37" t="str">
        <f>IFERROR(__xludf.DUMMYFUNCTION("""COMPUTED_VALUE"""),"資訊裝置")</f>
        <v>資訊裝置</v>
      </c>
      <c r="Q164" s="37">
        <f>IFERROR(__xludf.DUMMYFUNCTION("""COMPUTED_VALUE"""),36.0)</f>
        <v>36</v>
      </c>
      <c r="R164" s="37">
        <f>IFERROR(__xludf.DUMMYFUNCTION("""COMPUTED_VALUE"""),36.0)</f>
        <v>36</v>
      </c>
      <c r="S164" s="37" t="str">
        <f>IFERROR(__xludf.DUMMYFUNCTION("""COMPUTED_VALUE"""),"NT$9,374")</f>
        <v>NT$9,374</v>
      </c>
      <c r="T164" s="37" t="str">
        <f>IFERROR(__xludf.DUMMYFUNCTION("""COMPUTED_VALUE"""),"iPad (第六代) 32GB WiFi(A1893)")</f>
        <v>iPad (第六代) 32GB WiFi(A1893)</v>
      </c>
      <c r="U164" s="37"/>
      <c r="V164" s="37"/>
      <c r="W164" s="37"/>
      <c r="X164" s="40" t="str">
        <f>IFERROR(__xludf.DUMMYFUNCTION("""COMPUTED_VALUE"""),"")</f>
        <v/>
      </c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</row>
    <row r="165">
      <c r="B165" s="37"/>
      <c r="C165" s="37" t="str">
        <f>IFERROR(__xludf.DUMMYFUNCTION("""COMPUTED_VALUE"""),"滿三年更換")</f>
        <v>滿三年更換</v>
      </c>
      <c r="D165" s="37" t="str">
        <f>IFERROR(__xludf.DUMMYFUNCTION("""COMPUTED_VALUE"""),"TW")</f>
        <v>TW</v>
      </c>
      <c r="E165" s="37"/>
      <c r="F165" s="37"/>
      <c r="G165" s="37"/>
      <c r="H165" s="44" t="str">
        <f>IFERROR(__xludf.DUMMYFUNCTION("""COMPUTED_VALUE"""),"研發中心:產品設計部:產品設計師團隊")</f>
        <v>研發中心:產品設計部:產品設計師團隊</v>
      </c>
      <c r="I165" s="37" t="str">
        <f>IFERROR(__xludf.DUMMYFUNCTION("""COMPUTED_VALUE"""),"資訊裝置")</f>
        <v>資訊裝置</v>
      </c>
      <c r="J165" s="37" t="str">
        <f>IFERROR(__xludf.DUMMYFUNCTION("""COMPUTED_VALUE"""),"AICHMN01811051")</f>
        <v>AICHMN01811051</v>
      </c>
      <c r="K165" s="37" t="str">
        <f>IFERROR(__xludf.DUMMYFUNCTION("""COMPUTED_VALUE"""),"螢幕")</f>
        <v>螢幕</v>
      </c>
      <c r="L165" s="37" t="str">
        <f>IFERROR(__xludf.DUMMYFUNCTION("""COMPUTED_VALUE"""),"CN-07N2FG-TV100-85M-029U-A07")</f>
        <v>CN-07N2FG-TV100-85M-029U-A07</v>
      </c>
      <c r="M165" s="37" t="str">
        <f>IFERROR(__xludf.DUMMYFUNCTION("""COMPUTED_VALUE"""),"陳彥豪")</f>
        <v>陳彥豪</v>
      </c>
      <c r="N165" s="45">
        <f>IFERROR(__xludf.DUMMYFUNCTION("""COMPUTED_VALUE"""),43389.0)</f>
        <v>43389</v>
      </c>
      <c r="O165" s="37"/>
      <c r="P165" s="37" t="str">
        <f>IFERROR(__xludf.DUMMYFUNCTION("""COMPUTED_VALUE"""),"資訊裝置")</f>
        <v>資訊裝置</v>
      </c>
      <c r="Q165" s="37">
        <f>IFERROR(__xludf.DUMMYFUNCTION("""COMPUTED_VALUE"""),36.0)</f>
        <v>36</v>
      </c>
      <c r="R165" s="37">
        <f>IFERROR(__xludf.DUMMYFUNCTION("""COMPUTED_VALUE"""),36.0)</f>
        <v>36</v>
      </c>
      <c r="S165" s="37" t="str">
        <f>IFERROR(__xludf.DUMMYFUNCTION("""COMPUTED_VALUE"""),"NT$0")</f>
        <v>NT$0</v>
      </c>
      <c r="T165" s="37" t="str">
        <f>IFERROR(__xludf.DUMMYFUNCTION("""COMPUTED_VALUE"""),"Dell 24吋 U2412Mc")</f>
        <v>Dell 24吋 U2412Mc</v>
      </c>
      <c r="U165" s="37"/>
      <c r="V165" s="37"/>
      <c r="W165" s="37"/>
      <c r="X165" s="40" t="str">
        <f>IFERROR(__xludf.DUMMYFUNCTION("""COMPUTED_VALUE"""),"")</f>
        <v/>
      </c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</row>
    <row r="166">
      <c r="B166" s="37"/>
      <c r="C166" s="37" t="str">
        <f>IFERROR(__xludf.DUMMYFUNCTION("""COMPUTED_VALUE"""),"滿三年更換")</f>
        <v>滿三年更換</v>
      </c>
      <c r="D166" s="37" t="str">
        <f>IFERROR(__xludf.DUMMYFUNCTION("""COMPUTED_VALUE"""),"TW")</f>
        <v>TW</v>
      </c>
      <c r="E166" s="37"/>
      <c r="F166" s="37"/>
      <c r="G166" s="37"/>
      <c r="H166" s="37" t="str">
        <f>IFERROR(__xludf.DUMMYFUNCTION("""COMPUTED_VALUE"""),"管理中心:行政總務部")</f>
        <v>管理中心:行政總務部</v>
      </c>
      <c r="I166" s="37" t="str">
        <f>IFERROR(__xludf.DUMMYFUNCTION("""COMPUTED_VALUE"""),"資訊裝置")</f>
        <v>資訊裝置</v>
      </c>
      <c r="J166" s="37" t="str">
        <f>IFERROR(__xludf.DUMMYFUNCTION("""COMPUTED_VALUE"""),"AICHPC01504001")</f>
        <v>AICHPC01504001</v>
      </c>
      <c r="K166" s="37" t="str">
        <f>IFERROR(__xludf.DUMMYFUNCTION("""COMPUTED_VALUE"""),"桌上型主機")</f>
        <v>桌上型主機</v>
      </c>
      <c r="L166" s="37"/>
      <c r="M166" s="37" t="str">
        <f>IFERROR(__xludf.DUMMYFUNCTION("""COMPUTED_VALUE"""),"陳韋如")</f>
        <v>陳韋如</v>
      </c>
      <c r="N166" s="45">
        <f>IFERROR(__xludf.DUMMYFUNCTION("""COMPUTED_VALUE"""),44484.0)</f>
        <v>44484</v>
      </c>
      <c r="O166" s="40">
        <f>IFERROR(__xludf.DUMMYFUNCTION("""COMPUTED_VALUE"""),0.0)</f>
        <v>0</v>
      </c>
      <c r="P166" s="37" t="str">
        <f>IFERROR(__xludf.DUMMYFUNCTION("""COMPUTED_VALUE"""),"資訊裝置")</f>
        <v>資訊裝置</v>
      </c>
      <c r="Q166" s="37">
        <f>IFERROR(__xludf.DUMMYFUNCTION("""COMPUTED_VALUE"""),36.0)</f>
        <v>36</v>
      </c>
      <c r="R166" s="37">
        <f>IFERROR(__xludf.DUMMYFUNCTION("""COMPUTED_VALUE"""),36.0)</f>
        <v>36</v>
      </c>
      <c r="S166" s="37" t="str">
        <f>IFERROR(__xludf.DUMMYFUNCTION("""COMPUTED_VALUE"""),"NT$0")</f>
        <v>NT$0</v>
      </c>
      <c r="T166" s="37" t="str">
        <f>IFERROR(__xludf.DUMMYFUNCTION("""COMPUTED_VALUE"""),"HP ElliteDesk 800G1 SFF")</f>
        <v>HP ElliteDesk 800G1 SFF</v>
      </c>
      <c r="U166" s="37"/>
      <c r="V166" s="37"/>
      <c r="W166" s="37"/>
      <c r="X166" s="40" t="str">
        <f>IFERROR(__xludf.DUMMYFUNCTION("""COMPUTED_VALUE"""),"")</f>
        <v/>
      </c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</row>
    <row r="167">
      <c r="B167" s="37"/>
      <c r="C167" s="37" t="str">
        <f>IFERROR(__xludf.DUMMYFUNCTION("""COMPUTED_VALUE"""),"滿三年更換")</f>
        <v>滿三年更換</v>
      </c>
      <c r="D167" s="37" t="str">
        <f>IFERROR(__xludf.DUMMYFUNCTION("""COMPUTED_VALUE"""),"TW")</f>
        <v>TW</v>
      </c>
      <c r="E167" s="37"/>
      <c r="F167" s="37"/>
      <c r="G167" s="37"/>
      <c r="H167" s="44" t="str">
        <f>IFERROR(__xludf.DUMMYFUNCTION("""COMPUTED_VALUE"""),"行銷營運中心:銷售營運部:銷售顧問團隊")</f>
        <v>行銷營運中心:銷售營運部:銷售顧問團隊</v>
      </c>
      <c r="I167" s="37" t="str">
        <f>IFERROR(__xludf.DUMMYFUNCTION("""COMPUTED_VALUE"""),"資訊裝置")</f>
        <v>資訊裝置</v>
      </c>
      <c r="J167" s="37" t="str">
        <f>IFERROR(__xludf.DUMMYFUNCTION("""COMPUTED_VALUE"""),"AICHMA02104017")</f>
        <v>AICHMA02104017</v>
      </c>
      <c r="K167" s="37" t="str">
        <f>IFERROR(__xludf.DUMMYFUNCTION("""COMPUTED_VALUE"""),"Macbook Air")</f>
        <v>Macbook Air</v>
      </c>
      <c r="L167" s="37" t="str">
        <f>IFERROR(__xludf.DUMMYFUNCTION("""COMPUTED_VALUE"""),"FVFFDHFZQ6LC")</f>
        <v>FVFFDHFZQ6LC</v>
      </c>
      <c r="M167" s="37" t="str">
        <f>IFERROR(__xludf.DUMMYFUNCTION("""COMPUTED_VALUE"""),"陳晉廷")</f>
        <v>陳晉廷</v>
      </c>
      <c r="N167" s="44">
        <f>IFERROR(__xludf.DUMMYFUNCTION("""COMPUTED_VALUE"""),44294.0)</f>
        <v>44294</v>
      </c>
      <c r="O167" s="40">
        <f>IFERROR(__xludf.DUMMYFUNCTION("""COMPUTED_VALUE"""),27075.0)</f>
        <v>27075</v>
      </c>
      <c r="P167" s="37" t="str">
        <f>IFERROR(__xludf.DUMMYFUNCTION("""COMPUTED_VALUE"""),"資訊裝置")</f>
        <v>資訊裝置</v>
      </c>
      <c r="Q167" s="37">
        <f>IFERROR(__xludf.DUMMYFUNCTION("""COMPUTED_VALUE"""),36.0)</f>
        <v>36</v>
      </c>
      <c r="R167" s="37">
        <f>IFERROR(__xludf.DUMMYFUNCTION("""COMPUTED_VALUE"""),36.0)</f>
        <v>36</v>
      </c>
      <c r="S167" s="37" t="str">
        <f>IFERROR(__xludf.DUMMYFUNCTION("""COMPUTED_VALUE"""),"NT$27,075")</f>
        <v>NT$27,075</v>
      </c>
      <c r="T167" s="37" t="str">
        <f>IFERROR(__xludf.DUMMYFUNCTION("""COMPUTED_VALUE"""),"MBA13 (2020) M1/8GBRAM/256GBSSD")</f>
        <v>MBA13 (2020) M1/8GBRAM/256GBSSD</v>
      </c>
      <c r="U167" s="37"/>
      <c r="V167" s="37"/>
      <c r="W167" s="37"/>
      <c r="X167" s="40" t="str">
        <f>IFERROR(__xludf.DUMMYFUNCTION("""COMPUTED_VALUE"""),"")</f>
        <v/>
      </c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</row>
    <row r="168">
      <c r="B168" s="37"/>
      <c r="C168" s="37" t="str">
        <f>IFERROR(__xludf.DUMMYFUNCTION("""COMPUTED_VALUE"""),"滿三年更換")</f>
        <v>滿三年更換</v>
      </c>
      <c r="D168" s="37" t="str">
        <f>IFERROR(__xludf.DUMMYFUNCTION("""COMPUTED_VALUE"""),"TW")</f>
        <v>TW</v>
      </c>
      <c r="E168" s="37"/>
      <c r="F168" s="37"/>
      <c r="G168" s="37"/>
      <c r="H168" s="44" t="str">
        <f>IFERROR(__xludf.DUMMYFUNCTION("""COMPUTED_VALUE"""),"行銷營運中心:銷售營運部:銷售顧問團隊")</f>
        <v>行銷營運中心:銷售營運部:銷售顧問團隊</v>
      </c>
      <c r="I168" s="37" t="str">
        <f>IFERROR(__xludf.DUMMYFUNCTION("""COMPUTED_VALUE"""),"資訊裝置")</f>
        <v>資訊裝置</v>
      </c>
      <c r="J168" s="37" t="str">
        <f>IFERROR(__xludf.DUMMYFUNCTION("""COMPUTED_VALUE"""),"AICHIP02106061")</f>
        <v>AICHIP02106061</v>
      </c>
      <c r="K168" s="37" t="str">
        <f>IFERROR(__xludf.DUMMYFUNCTION("""COMPUTED_VALUE"""),"iPad")</f>
        <v>iPad</v>
      </c>
      <c r="L168" s="37" t="str">
        <f>IFERROR(__xludf.DUMMYFUNCTION("""COMPUTED_VALUE"""),"F9FFGFGHQ1GF")</f>
        <v>F9FFGFGHQ1GF</v>
      </c>
      <c r="M168" s="37" t="str">
        <f>IFERROR(__xludf.DUMMYFUNCTION("""COMPUTED_VALUE"""),"陳晉廷")</f>
        <v>陳晉廷</v>
      </c>
      <c r="N168" s="44">
        <f>IFERROR(__xludf.DUMMYFUNCTION("""COMPUTED_VALUE"""),44348.0)</f>
        <v>44348</v>
      </c>
      <c r="O168" s="40">
        <f>IFERROR(__xludf.DUMMYFUNCTION("""COMPUTED_VALUE"""),9450.0)</f>
        <v>9450</v>
      </c>
      <c r="P168" s="37" t="str">
        <f>IFERROR(__xludf.DUMMYFUNCTION("""COMPUTED_VALUE"""),"資訊裝置")</f>
        <v>資訊裝置</v>
      </c>
      <c r="Q168" s="37">
        <f>IFERROR(__xludf.DUMMYFUNCTION("""COMPUTED_VALUE"""),36.0)</f>
        <v>36</v>
      </c>
      <c r="R168" s="37">
        <f>IFERROR(__xludf.DUMMYFUNCTION("""COMPUTED_VALUE"""),36.0)</f>
        <v>36</v>
      </c>
      <c r="S168" s="37" t="str">
        <f>IFERROR(__xludf.DUMMYFUNCTION("""COMPUTED_VALUE"""),"NT$9,450")</f>
        <v>NT$9,450</v>
      </c>
      <c r="T168" s="37" t="str">
        <f>IFERROR(__xludf.DUMMYFUNCTION("""COMPUTED_VALUE"""),"iPad (第八代) 32GB WIFI(MYLC2TA/A)")</f>
        <v>iPad (第八代) 32GB WIFI(MYLC2TA/A)</v>
      </c>
      <c r="U168" s="37"/>
      <c r="V168" s="37"/>
      <c r="W168" s="37"/>
      <c r="X168" s="40" t="str">
        <f>IFERROR(__xludf.DUMMYFUNCTION("""COMPUTED_VALUE"""),"")</f>
        <v/>
      </c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</row>
    <row r="169">
      <c r="B169" s="37"/>
      <c r="C169" s="37" t="str">
        <f>IFERROR(__xludf.DUMMYFUNCTION("""COMPUTED_VALUE"""),"滿三年更換")</f>
        <v>滿三年更換</v>
      </c>
      <c r="D169" s="37" t="str">
        <f>IFERROR(__xludf.DUMMYFUNCTION("""COMPUTED_VALUE"""),"TW")</f>
        <v>TW</v>
      </c>
      <c r="E169" s="37"/>
      <c r="F169" s="37"/>
      <c r="G169" s="37"/>
      <c r="H169" s="44" t="str">
        <f>IFERROR(__xludf.DUMMYFUNCTION("""COMPUTED_VALUE"""),"行銷營運中心:銷售營運部:銷售顧問團隊")</f>
        <v>行銷營運中心:銷售營運部:銷售顧問團隊</v>
      </c>
      <c r="I169" s="37" t="str">
        <f>IFERROR(__xludf.DUMMYFUNCTION("""COMPUTED_VALUE"""),"資訊裝置")</f>
        <v>資訊裝置</v>
      </c>
      <c r="J169" s="37" t="str">
        <f>IFERROR(__xludf.DUMMYFUNCTION("""COMPUTED_VALUE"""),"AICHMN02010087")</f>
        <v>AICHMN02010087</v>
      </c>
      <c r="K169" s="37" t="str">
        <f>IFERROR(__xludf.DUMMYFUNCTION("""COMPUTED_VALUE"""),"螢幕")</f>
        <v>螢幕</v>
      </c>
      <c r="L169" s="37" t="str">
        <f>IFERROR(__xludf.DUMMYFUNCTION("""COMPUTED_VALUE"""),"CN-0CYKT7-WSL00-09F-DCEW-A09")</f>
        <v>CN-0CYKT7-WSL00-09F-DCEW-A09</v>
      </c>
      <c r="M169" s="37" t="str">
        <f>IFERROR(__xludf.DUMMYFUNCTION("""COMPUTED_VALUE"""),"陳晉廷")</f>
        <v>陳晉廷</v>
      </c>
      <c r="N169" s="45">
        <f>IFERROR(__xludf.DUMMYFUNCTION("""COMPUTED_VALUE"""),44180.0)</f>
        <v>44180</v>
      </c>
      <c r="O169" s="37"/>
      <c r="P169" s="37" t="str">
        <f>IFERROR(__xludf.DUMMYFUNCTION("""COMPUTED_VALUE"""),"資訊裝置")</f>
        <v>資訊裝置</v>
      </c>
      <c r="Q169" s="37">
        <f>IFERROR(__xludf.DUMMYFUNCTION("""COMPUTED_VALUE"""),36.0)</f>
        <v>36</v>
      </c>
      <c r="R169" s="37">
        <f>IFERROR(__xludf.DUMMYFUNCTION("""COMPUTED_VALUE"""),36.0)</f>
        <v>36</v>
      </c>
      <c r="S169" s="37" t="str">
        <f>IFERROR(__xludf.DUMMYFUNCTION("""COMPUTED_VALUE"""),"NT$0")</f>
        <v>NT$0</v>
      </c>
      <c r="T169" s="37" t="str">
        <f>IFERROR(__xludf.DUMMYFUNCTION("""COMPUTED_VALUE"""),"Dell 24吋 U2419H")</f>
        <v>Dell 24吋 U2419H</v>
      </c>
      <c r="U169" s="37"/>
      <c r="V169" s="37"/>
      <c r="W169" s="37"/>
      <c r="X169" s="40" t="str">
        <f>IFERROR(__xludf.DUMMYFUNCTION("""COMPUTED_VALUE"""),"")</f>
        <v/>
      </c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</row>
    <row r="170">
      <c r="B170" s="37"/>
      <c r="C170" s="37" t="str">
        <f>IFERROR(__xludf.DUMMYFUNCTION("""COMPUTED_VALUE"""),"滿三年更換")</f>
        <v>滿三年更換</v>
      </c>
      <c r="D170" s="37" t="str">
        <f>IFERROR(__xludf.DUMMYFUNCTION("""COMPUTED_VALUE"""),"TW")</f>
        <v>TW</v>
      </c>
      <c r="E170" s="37"/>
      <c r="F170" s="37"/>
      <c r="G170" s="37"/>
      <c r="H170" s="37" t="str">
        <f>IFERROR(__xludf.DUMMYFUNCTION("""COMPUTED_VALUE"""),"財務中心:財務部")</f>
        <v>財務中心:財務部</v>
      </c>
      <c r="I170" s="37" t="str">
        <f>IFERROR(__xludf.DUMMYFUNCTION("""COMPUTED_VALUE"""),"資訊裝置")</f>
        <v>資訊裝置</v>
      </c>
      <c r="J170" s="37" t="str">
        <f>IFERROR(__xludf.DUMMYFUNCTION("""COMPUTED_VALUE"""),"AICHMN01604002")</f>
        <v>AICHMN01604002</v>
      </c>
      <c r="K170" s="37" t="str">
        <f>IFERROR(__xludf.DUMMYFUNCTION("""COMPUTED_VALUE"""),"螢幕")</f>
        <v>螢幕</v>
      </c>
      <c r="L170" s="37" t="str">
        <f>IFERROR(__xludf.DUMMYFUNCTION("""COMPUTED_VALUE"""),"CN-03W9XD-74261-45M-373L")</f>
        <v>CN-03W9XD-74261-45M-373L</v>
      </c>
      <c r="M170" s="37" t="str">
        <f>IFERROR(__xludf.DUMMYFUNCTION("""COMPUTED_VALUE"""),"陳紫芸")</f>
        <v>陳紫芸</v>
      </c>
      <c r="N170" s="44">
        <f>IFERROR(__xludf.DUMMYFUNCTION("""COMPUTED_VALUE"""),42468.0)</f>
        <v>42468</v>
      </c>
      <c r="O170" s="37"/>
      <c r="P170" s="37" t="str">
        <f>IFERROR(__xludf.DUMMYFUNCTION("""COMPUTED_VALUE"""),"資訊裝置")</f>
        <v>資訊裝置</v>
      </c>
      <c r="Q170" s="37">
        <f>IFERROR(__xludf.DUMMYFUNCTION("""COMPUTED_VALUE"""),36.0)</f>
        <v>36</v>
      </c>
      <c r="R170" s="37">
        <f>IFERROR(__xludf.DUMMYFUNCTION("""COMPUTED_VALUE"""),36.0)</f>
        <v>36</v>
      </c>
      <c r="S170" s="37" t="str">
        <f>IFERROR(__xludf.DUMMYFUNCTION("""COMPUTED_VALUE"""),"NT$0")</f>
        <v>NT$0</v>
      </c>
      <c r="T170" s="37" t="str">
        <f>IFERROR(__xludf.DUMMYFUNCTION("""COMPUTED_VALUE"""),"Dell 24吋 U2412Mb")</f>
        <v>Dell 24吋 U2412Mb</v>
      </c>
      <c r="U170" s="37"/>
      <c r="V170" s="37"/>
      <c r="W170" s="37"/>
      <c r="X170" s="40" t="str">
        <f>IFERROR(__xludf.DUMMYFUNCTION("""COMPUTED_VALUE"""),"")</f>
        <v/>
      </c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</row>
    <row r="171">
      <c r="B171" s="37"/>
      <c r="C171" s="37" t="str">
        <f>IFERROR(__xludf.DUMMYFUNCTION("""COMPUTED_VALUE"""),"滿三年更換")</f>
        <v>滿三年更換</v>
      </c>
      <c r="D171" s="37" t="str">
        <f>IFERROR(__xludf.DUMMYFUNCTION("""COMPUTED_VALUE"""),"TW")</f>
        <v>TW</v>
      </c>
      <c r="E171" s="37"/>
      <c r="F171" s="37"/>
      <c r="G171" s="37"/>
      <c r="H171" s="44" t="str">
        <f>IFERROR(__xludf.DUMMYFUNCTION("""COMPUTED_VALUE"""),"客戶價值中心:客戶成功管理部:客戶成功團隊 AM")</f>
        <v>客戶價值中心:客戶成功管理部:客戶成功團隊 AM</v>
      </c>
      <c r="I171" s="37" t="str">
        <f>IFERROR(__xludf.DUMMYFUNCTION("""COMPUTED_VALUE"""),"資訊裝置")</f>
        <v>資訊裝置</v>
      </c>
      <c r="J171" s="37" t="str">
        <f>IFERROR(__xludf.DUMMYFUNCTION("""COMPUTED_VALUE"""),"AICHMA02108033")</f>
        <v>AICHMA02108033</v>
      </c>
      <c r="K171" s="37" t="str">
        <f>IFERROR(__xludf.DUMMYFUNCTION("""COMPUTED_VALUE"""),"Macbook Air")</f>
        <v>Macbook Air</v>
      </c>
      <c r="L171" s="37" t="str">
        <f>IFERROR(__xludf.DUMMYFUNCTION("""COMPUTED_VALUE"""),"FVHG4KJXQ6L4")</f>
        <v>FVHG4KJXQ6L4</v>
      </c>
      <c r="M171" s="37" t="str">
        <f>IFERROR(__xludf.DUMMYFUNCTION("""COMPUTED_VALUE"""),"陳嘉汶")</f>
        <v>陳嘉汶</v>
      </c>
      <c r="N171" s="44">
        <f>IFERROR(__xludf.DUMMYFUNCTION("""COMPUTED_VALUE"""),44424.0)</f>
        <v>44424</v>
      </c>
      <c r="O171" s="40">
        <f>IFERROR(__xludf.DUMMYFUNCTION("""COMPUTED_VALUE"""),27075.0)</f>
        <v>27075</v>
      </c>
      <c r="P171" s="37" t="str">
        <f>IFERROR(__xludf.DUMMYFUNCTION("""COMPUTED_VALUE"""),"資訊裝置")</f>
        <v>資訊裝置</v>
      </c>
      <c r="Q171" s="37">
        <f>IFERROR(__xludf.DUMMYFUNCTION("""COMPUTED_VALUE"""),36.0)</f>
        <v>36</v>
      </c>
      <c r="R171" s="37">
        <f>IFERROR(__xludf.DUMMYFUNCTION("""COMPUTED_VALUE"""),36.0)</f>
        <v>36</v>
      </c>
      <c r="S171" s="37" t="str">
        <f>IFERROR(__xludf.DUMMYFUNCTION("""COMPUTED_VALUE"""),"NT$27,075")</f>
        <v>NT$27,075</v>
      </c>
      <c r="T171" s="37" t="str">
        <f>IFERROR(__xludf.DUMMYFUNCTION("""COMPUTED_VALUE"""),"MBA13 (2020) M1/8GBRAM/256GBSSD")</f>
        <v>MBA13 (2020) M1/8GBRAM/256GBSSD</v>
      </c>
      <c r="U171" s="37"/>
      <c r="V171" s="37"/>
      <c r="W171" s="37"/>
      <c r="X171" s="40" t="str">
        <f>IFERROR(__xludf.DUMMYFUNCTION("""COMPUTED_VALUE"""),"")</f>
        <v/>
      </c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</row>
    <row r="172">
      <c r="B172" s="37"/>
      <c r="C172" s="37" t="str">
        <f>IFERROR(__xludf.DUMMYFUNCTION("""COMPUTED_VALUE"""),"滿三年更換")</f>
        <v>滿三年更換</v>
      </c>
      <c r="D172" s="37" t="str">
        <f>IFERROR(__xludf.DUMMYFUNCTION("""COMPUTED_VALUE"""),"TW")</f>
        <v>TW</v>
      </c>
      <c r="E172" s="37"/>
      <c r="F172" s="37"/>
      <c r="G172" s="37"/>
      <c r="H172" s="37" t="str">
        <f>IFERROR(__xludf.DUMMYFUNCTION("""COMPUTED_VALUE"""),"客戶價值中心:客戶關係管理部")</f>
        <v>客戶價值中心:客戶關係管理部</v>
      </c>
      <c r="I172" s="37" t="str">
        <f>IFERROR(__xludf.DUMMYFUNCTION("""COMPUTED_VALUE"""),"資訊裝置")</f>
        <v>資訊裝置</v>
      </c>
      <c r="J172" s="37" t="str">
        <f>IFERROR(__xludf.DUMMYFUNCTION("""COMPUTED_VALUE"""),"AICHMP02201040")</f>
        <v>AICHMP02201040</v>
      </c>
      <c r="K172" s="37" t="str">
        <f>IFERROR(__xludf.DUMMYFUNCTION("""COMPUTED_VALUE"""),"Macbook Pro")</f>
        <v>Macbook Pro</v>
      </c>
      <c r="L172" s="37" t="str">
        <f>IFERROR(__xludf.DUMMYFUNCTION("""COMPUTED_VALUE"""),"J2VR4XGKFK")</f>
        <v>J2VR4XGKFK</v>
      </c>
      <c r="M172" s="37" t="str">
        <f>IFERROR(__xludf.DUMMYFUNCTION("""COMPUTED_VALUE"""),"陳繼訓")</f>
        <v>陳繼訓</v>
      </c>
      <c r="N172" s="44">
        <f>IFERROR(__xludf.DUMMYFUNCTION("""COMPUTED_VALUE"""),44566.0)</f>
        <v>44566</v>
      </c>
      <c r="O172" s="40">
        <f>IFERROR(__xludf.DUMMYFUNCTION("""COMPUTED_VALUE"""),76150.0)</f>
        <v>76150</v>
      </c>
      <c r="P172" s="37" t="str">
        <f>IFERROR(__xludf.DUMMYFUNCTION("""COMPUTED_VALUE"""),"資訊裝置")</f>
        <v>資訊裝置</v>
      </c>
      <c r="Q172" s="37">
        <f>IFERROR(__xludf.DUMMYFUNCTION("""COMPUTED_VALUE"""),36.0)</f>
        <v>36</v>
      </c>
      <c r="R172" s="37">
        <f>IFERROR(__xludf.DUMMYFUNCTION("""COMPUTED_VALUE"""),36.0)</f>
        <v>36</v>
      </c>
      <c r="S172" s="37" t="str">
        <f>IFERROR(__xludf.DUMMYFUNCTION("""COMPUTED_VALUE"""),"NT$76,150")</f>
        <v>NT$76,150</v>
      </c>
      <c r="T172" s="37" t="str">
        <f>IFERROR(__xludf.DUMMYFUNCTION("""COMPUTED_VALUE"""),"MBP16 (2021) M1Pro/32GBRAM/512GBSSD")</f>
        <v>MBP16 (2021) M1Pro/32GBRAM/512GBSSD</v>
      </c>
      <c r="U172" s="37"/>
      <c r="V172" s="37"/>
      <c r="W172" s="37"/>
      <c r="X172" s="40" t="str">
        <f>IFERROR(__xludf.DUMMYFUNCTION("""COMPUTED_VALUE"""),"")</f>
        <v/>
      </c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</row>
    <row r="173">
      <c r="B173" s="37"/>
      <c r="C173" s="37" t="str">
        <f>IFERROR(__xludf.DUMMYFUNCTION("""COMPUTED_VALUE"""),"滿三年更換")</f>
        <v>滿三年更換</v>
      </c>
      <c r="D173" s="37" t="str">
        <f>IFERROR(__xludf.DUMMYFUNCTION("""COMPUTED_VALUE"""),"TW")</f>
        <v>TW</v>
      </c>
      <c r="E173" s="37"/>
      <c r="F173" s="37"/>
      <c r="G173" s="37"/>
      <c r="H173" s="37" t="str">
        <f>IFERROR(__xludf.DUMMYFUNCTION("""COMPUTED_VALUE"""),"客戶價值中心:客戶關係管理部")</f>
        <v>客戶價值中心:客戶關係管理部</v>
      </c>
      <c r="I173" s="37" t="str">
        <f>IFERROR(__xludf.DUMMYFUNCTION("""COMPUTED_VALUE"""),"資訊裝置")</f>
        <v>資訊裝置</v>
      </c>
      <c r="J173" s="37" t="str">
        <f>IFERROR(__xludf.DUMMYFUNCTION("""COMPUTED_VALUE"""),"AICHIP02102048")</f>
        <v>AICHIP02102048</v>
      </c>
      <c r="K173" s="37" t="str">
        <f>IFERROR(__xludf.DUMMYFUNCTION("""COMPUTED_VALUE"""),"iPad mini")</f>
        <v>iPad mini</v>
      </c>
      <c r="L173" s="37" t="str">
        <f>IFERROR(__xludf.DUMMYFUNCTION("""COMPUTED_VALUE"""),"DMPF3EKNLM93")</f>
        <v>DMPF3EKNLM93</v>
      </c>
      <c r="M173" s="37" t="str">
        <f>IFERROR(__xludf.DUMMYFUNCTION("""COMPUTED_VALUE"""),"陳繼訓")</f>
        <v>陳繼訓</v>
      </c>
      <c r="N173" s="44">
        <f>IFERROR(__xludf.DUMMYFUNCTION("""COMPUTED_VALUE"""),44230.0)</f>
        <v>44230</v>
      </c>
      <c r="O173" s="40">
        <f>IFERROR(__xludf.DUMMYFUNCTION("""COMPUTED_VALUE"""),11550.0)</f>
        <v>11550</v>
      </c>
      <c r="P173" s="37" t="str">
        <f>IFERROR(__xludf.DUMMYFUNCTION("""COMPUTED_VALUE"""),"資訊裝置")</f>
        <v>資訊裝置</v>
      </c>
      <c r="Q173" s="37">
        <f>IFERROR(__xludf.DUMMYFUNCTION("""COMPUTED_VALUE"""),36.0)</f>
        <v>36</v>
      </c>
      <c r="R173" s="37">
        <f>IFERROR(__xludf.DUMMYFUNCTION("""COMPUTED_VALUE"""),36.0)</f>
        <v>36</v>
      </c>
      <c r="S173" s="37" t="str">
        <f>IFERROR(__xludf.DUMMYFUNCTION("""COMPUTED_VALUE"""),"NT$11,550")</f>
        <v>NT$11,550</v>
      </c>
      <c r="T173" s="37" t="str">
        <f>IFERROR(__xludf.DUMMYFUNCTION("""COMPUTED_VALUE"""),"iPad mini (第五代) 64GB WIFI(MUQW2TA/A)")</f>
        <v>iPad mini (第五代) 64GB WIFI(MUQW2TA/A)</v>
      </c>
      <c r="U173" s="37"/>
      <c r="V173" s="37"/>
      <c r="W173" s="37"/>
      <c r="X173" s="40" t="str">
        <f>IFERROR(__xludf.DUMMYFUNCTION("""COMPUTED_VALUE"""),"")</f>
        <v/>
      </c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</row>
    <row r="174">
      <c r="B174" s="37"/>
      <c r="C174" s="37" t="str">
        <f>IFERROR(__xludf.DUMMYFUNCTION("""COMPUTED_VALUE"""),"滿三年更換")</f>
        <v>滿三年更換</v>
      </c>
      <c r="D174" s="37" t="str">
        <f>IFERROR(__xludf.DUMMYFUNCTION("""COMPUTED_VALUE"""),"TW")</f>
        <v>TW</v>
      </c>
      <c r="E174" s="37"/>
      <c r="F174" s="37"/>
      <c r="G174" s="37"/>
      <c r="H174" s="37" t="str">
        <f>IFERROR(__xludf.DUMMYFUNCTION("""COMPUTED_VALUE"""),"客戶價值中心:客戶關係管理部")</f>
        <v>客戶價值中心:客戶關係管理部</v>
      </c>
      <c r="I174" s="37" t="str">
        <f>IFERROR(__xludf.DUMMYFUNCTION("""COMPUTED_VALUE"""),"資訊裝置")</f>
        <v>資訊裝置</v>
      </c>
      <c r="J174" s="37" t="str">
        <f>IFERROR(__xludf.DUMMYFUNCTION("""COMPUTED_VALUE"""),"AICHMN01604026")</f>
        <v>AICHMN01604026</v>
      </c>
      <c r="K174" s="37" t="str">
        <f>IFERROR(__xludf.DUMMYFUNCTION("""COMPUTED_VALUE"""),"螢幕")</f>
        <v>螢幕</v>
      </c>
      <c r="L174" s="37" t="str">
        <f>IFERROR(__xludf.DUMMYFUNCTION("""COMPUTED_VALUE"""),"CN-03W9XD-74261-45M-372L")</f>
        <v>CN-03W9XD-74261-45M-372L</v>
      </c>
      <c r="M174" s="37" t="str">
        <f>IFERROR(__xludf.DUMMYFUNCTION("""COMPUTED_VALUE"""),"陳繼訓")</f>
        <v>陳繼訓</v>
      </c>
      <c r="N174" s="44">
        <f>IFERROR(__xludf.DUMMYFUNCTION("""COMPUTED_VALUE"""),42468.0)</f>
        <v>42468</v>
      </c>
      <c r="O174" s="37"/>
      <c r="P174" s="37" t="str">
        <f>IFERROR(__xludf.DUMMYFUNCTION("""COMPUTED_VALUE"""),"資訊裝置")</f>
        <v>資訊裝置</v>
      </c>
      <c r="Q174" s="37">
        <f>IFERROR(__xludf.DUMMYFUNCTION("""COMPUTED_VALUE"""),36.0)</f>
        <v>36</v>
      </c>
      <c r="R174" s="37">
        <f>IFERROR(__xludf.DUMMYFUNCTION("""COMPUTED_VALUE"""),36.0)</f>
        <v>36</v>
      </c>
      <c r="S174" s="37" t="str">
        <f>IFERROR(__xludf.DUMMYFUNCTION("""COMPUTED_VALUE"""),"NT$0")</f>
        <v>NT$0</v>
      </c>
      <c r="T174" s="37" t="str">
        <f>IFERROR(__xludf.DUMMYFUNCTION("""COMPUTED_VALUE"""),"Dell 24吋 U2412Mb")</f>
        <v>Dell 24吋 U2412Mb</v>
      </c>
      <c r="U174" s="37"/>
      <c r="V174" s="37"/>
      <c r="W174" s="37"/>
      <c r="X174" s="40" t="str">
        <f>IFERROR(__xludf.DUMMYFUNCTION("""COMPUTED_VALUE"""),"")</f>
        <v/>
      </c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</row>
    <row r="175">
      <c r="B175" s="37"/>
      <c r="C175" s="37" t="str">
        <f>IFERROR(__xludf.DUMMYFUNCTION("""COMPUTED_VALUE"""),"滿三年更換")</f>
        <v>滿三年更換</v>
      </c>
      <c r="D175" s="37" t="str">
        <f>IFERROR(__xludf.DUMMYFUNCTION("""COMPUTED_VALUE"""),"TW")</f>
        <v>TW</v>
      </c>
      <c r="E175" s="37"/>
      <c r="F175" s="37"/>
      <c r="G175" s="37"/>
      <c r="H175" s="37" t="str">
        <f>IFERROR(__xludf.DUMMYFUNCTION("""COMPUTED_VALUE"""),"客戶價值中心:客戶關係管理部")</f>
        <v>客戶價值中心:客戶關係管理部</v>
      </c>
      <c r="I175" s="37" t="str">
        <f>IFERROR(__xludf.DUMMYFUNCTION("""COMPUTED_VALUE"""),"資訊裝置")</f>
        <v>資訊裝置</v>
      </c>
      <c r="J175" s="37" t="str">
        <f>IFERROR(__xludf.DUMMYFUNCTION("""COMPUTED_VALUE"""),"AICHMN01607037")</f>
        <v>AICHMN01607037</v>
      </c>
      <c r="K175" s="37" t="str">
        <f>IFERROR(__xludf.DUMMYFUNCTION("""COMPUTED_VALUE"""),"螢幕")</f>
        <v>螢幕</v>
      </c>
      <c r="L175" s="37" t="str">
        <f>IFERROR(__xludf.DUMMYFUNCTION("""COMPUTED_VALUE"""),"CN-07N2FG-TV100-88G-088AU-A08")</f>
        <v>CN-07N2FG-TV100-88G-088AU-A08</v>
      </c>
      <c r="M175" s="37" t="str">
        <f>IFERROR(__xludf.DUMMYFUNCTION("""COMPUTED_VALUE"""),"陳繼訓")</f>
        <v>陳繼訓</v>
      </c>
      <c r="N175" s="44">
        <f>IFERROR(__xludf.DUMMYFUNCTION("""COMPUTED_VALUE"""),42555.0)</f>
        <v>42555</v>
      </c>
      <c r="O175" s="40">
        <f>IFERROR(__xludf.DUMMYFUNCTION("""COMPUTED_VALUE"""),8400.0)</f>
        <v>8400</v>
      </c>
      <c r="P175" s="37" t="str">
        <f>IFERROR(__xludf.DUMMYFUNCTION("""COMPUTED_VALUE"""),"資訊裝置")</f>
        <v>資訊裝置</v>
      </c>
      <c r="Q175" s="37">
        <f>IFERROR(__xludf.DUMMYFUNCTION("""COMPUTED_VALUE"""),36.0)</f>
        <v>36</v>
      </c>
      <c r="R175" s="37">
        <f>IFERROR(__xludf.DUMMYFUNCTION("""COMPUTED_VALUE"""),36.0)</f>
        <v>36</v>
      </c>
      <c r="S175" s="37" t="str">
        <f>IFERROR(__xludf.DUMMYFUNCTION("""COMPUTED_VALUE"""),"NT$8,400")</f>
        <v>NT$8,400</v>
      </c>
      <c r="T175" s="37" t="str">
        <f>IFERROR(__xludf.DUMMYFUNCTION("""COMPUTED_VALUE"""),"Dell 24吋 U2412Mc")</f>
        <v>Dell 24吋 U2412Mc</v>
      </c>
      <c r="U175" s="37"/>
      <c r="V175" s="37"/>
      <c r="W175" s="37"/>
      <c r="X175" s="40" t="str">
        <f>IFERROR(__xludf.DUMMYFUNCTION("""COMPUTED_VALUE"""),"")</f>
        <v/>
      </c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</row>
    <row r="176">
      <c r="B176" s="37"/>
      <c r="C176" s="37" t="str">
        <f>IFERROR(__xludf.DUMMYFUNCTION("""COMPUTED_VALUE"""),"滿三年更換")</f>
        <v>滿三年更換</v>
      </c>
      <c r="D176" s="37" t="str">
        <f>IFERROR(__xludf.DUMMYFUNCTION("""COMPUTED_VALUE"""),"TW")</f>
        <v>TW</v>
      </c>
      <c r="E176" s="37"/>
      <c r="F176" s="37"/>
      <c r="G176" s="37"/>
      <c r="H176" s="44" t="str">
        <f>IFERROR(__xludf.DUMMYFUNCTION("""COMPUTED_VALUE"""),"客戶價值中心:客戶成功管理部:客戶成功團隊 MS 總部/POS/OMO")</f>
        <v>客戶價值中心:客戶成功管理部:客戶成功團隊 MS 總部/POS/OMO</v>
      </c>
      <c r="I176" s="37" t="str">
        <f>IFERROR(__xludf.DUMMYFUNCTION("""COMPUTED_VALUE"""),"資訊裝置")</f>
        <v>資訊裝置</v>
      </c>
      <c r="J176" s="37" t="str">
        <f>IFERROR(__xludf.DUMMYFUNCTION("""COMPUTED_VALUE"""),"AICHMA02112045")</f>
        <v>AICHMA02112045</v>
      </c>
      <c r="K176" s="37" t="str">
        <f>IFERROR(__xludf.DUMMYFUNCTION("""COMPUTED_VALUE"""),"Macbook Air")</f>
        <v>Macbook Air</v>
      </c>
      <c r="L176" s="37" t="str">
        <f>IFERROR(__xludf.DUMMYFUNCTION("""COMPUTED_VALUE"""),"FVFGKM7MQ6LC")</f>
        <v>FVFGKM7MQ6LC</v>
      </c>
      <c r="M176" s="37" t="str">
        <f>IFERROR(__xludf.DUMMYFUNCTION("""COMPUTED_VALUE"""),"陳馨如")</f>
        <v>陳馨如</v>
      </c>
      <c r="N176" s="45">
        <f>IFERROR(__xludf.DUMMYFUNCTION("""COMPUTED_VALUE"""),44557.0)</f>
        <v>44557</v>
      </c>
      <c r="O176" s="40">
        <f>IFERROR(__xludf.DUMMYFUNCTION("""COMPUTED_VALUE"""),27075.0)</f>
        <v>27075</v>
      </c>
      <c r="P176" s="37" t="str">
        <f>IFERROR(__xludf.DUMMYFUNCTION("""COMPUTED_VALUE"""),"資訊裝置")</f>
        <v>資訊裝置</v>
      </c>
      <c r="Q176" s="37">
        <f>IFERROR(__xludf.DUMMYFUNCTION("""COMPUTED_VALUE"""),36.0)</f>
        <v>36</v>
      </c>
      <c r="R176" s="37">
        <f>IFERROR(__xludf.DUMMYFUNCTION("""COMPUTED_VALUE"""),36.0)</f>
        <v>36</v>
      </c>
      <c r="S176" s="37" t="str">
        <f>IFERROR(__xludf.DUMMYFUNCTION("""COMPUTED_VALUE"""),"NT$27,075")</f>
        <v>NT$27,075</v>
      </c>
      <c r="T176" s="37" t="str">
        <f>IFERROR(__xludf.DUMMYFUNCTION("""COMPUTED_VALUE"""),"A2337 MBA13 (2020) M1/8GBRAM/256GBSSD")</f>
        <v>A2337 MBA13 (2020) M1/8GBRAM/256GBSSD</v>
      </c>
      <c r="U176" s="37"/>
      <c r="V176" s="37"/>
      <c r="W176" s="37"/>
      <c r="X176" s="40" t="str">
        <f>IFERROR(__xludf.DUMMYFUNCTION("""COMPUTED_VALUE"""),"")</f>
        <v/>
      </c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</row>
    <row r="177">
      <c r="B177" s="37"/>
      <c r="C177" s="37" t="str">
        <f>IFERROR(__xludf.DUMMYFUNCTION("""COMPUTED_VALUE"""),"滿三年更換")</f>
        <v>滿三年更換</v>
      </c>
      <c r="D177" s="37" t="str">
        <f>IFERROR(__xludf.DUMMYFUNCTION("""COMPUTED_VALUE"""),"TW")</f>
        <v>TW</v>
      </c>
      <c r="E177" s="37"/>
      <c r="F177" s="37"/>
      <c r="G177" s="37"/>
      <c r="H177" s="44" t="str">
        <f>IFERROR(__xludf.DUMMYFUNCTION("""COMPUTED_VALUE"""),"研發中心:軟體工程部:前端團隊")</f>
        <v>研發中心:軟體工程部:前端團隊</v>
      </c>
      <c r="I177" s="37" t="str">
        <f>IFERROR(__xludf.DUMMYFUNCTION("""COMPUTED_VALUE"""),"資訊裝置")</f>
        <v>資訊裝置</v>
      </c>
      <c r="J177" s="37" t="str">
        <f>IFERROR(__xludf.DUMMYFUNCTION("""COMPUTED_VALUE"""),"AICHMP02209049")</f>
        <v>AICHMP02209049</v>
      </c>
      <c r="K177" s="37" t="str">
        <f>IFERROR(__xludf.DUMMYFUNCTION("""COMPUTED_VALUE"""),"Macbook Pro")</f>
        <v>Macbook Pro</v>
      </c>
      <c r="L177" s="37" t="str">
        <f>IFERROR(__xludf.DUMMYFUNCTION("""COMPUTED_VALUE"""),"G3YC7DVJM6")</f>
        <v>G3YC7DVJM6</v>
      </c>
      <c r="M177" s="37" t="str">
        <f>IFERROR(__xludf.DUMMYFUNCTION("""COMPUTED_VALUE"""),"傅典洋")</f>
        <v>傅典洋</v>
      </c>
      <c r="N177" s="44">
        <f>IFERROR(__xludf.DUMMYFUNCTION("""COMPUTED_VALUE"""),44810.0)</f>
        <v>44810</v>
      </c>
      <c r="O177" s="40">
        <f>IFERROR(__xludf.DUMMYFUNCTION("""COMPUTED_VALUE"""),52500.0)</f>
        <v>52500</v>
      </c>
      <c r="P177" s="37" t="str">
        <f>IFERROR(__xludf.DUMMYFUNCTION("""COMPUTED_VALUE"""),"資訊裝置")</f>
        <v>資訊裝置</v>
      </c>
      <c r="Q177" s="37">
        <f>IFERROR(__xludf.DUMMYFUNCTION("""COMPUTED_VALUE"""),36.0)</f>
        <v>36</v>
      </c>
      <c r="R177" s="37">
        <f>IFERROR(__xludf.DUMMYFUNCTION("""COMPUTED_VALUE"""),36.0)</f>
        <v>36</v>
      </c>
      <c r="S177" s="37" t="str">
        <f>IFERROR(__xludf.DUMMYFUNCTION("""COMPUTED_VALUE"""),"NT$52,500")</f>
        <v>NT$52,500</v>
      </c>
      <c r="T177" s="37" t="str">
        <f>IFERROR(__xludf.DUMMYFUNCTION("""COMPUTED_VALUE"""),"A2442 MBP14 (2021) M1Pro/16GBRAM/512GBSSD")</f>
        <v>A2442 MBP14 (2021) M1Pro/16GBRAM/512GBSSD</v>
      </c>
      <c r="U177" s="37"/>
      <c r="V177" s="37"/>
      <c r="W177" s="37"/>
      <c r="X177" s="40" t="str">
        <f>IFERROR(__xludf.DUMMYFUNCTION("""COMPUTED_VALUE"""),"")</f>
        <v/>
      </c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</row>
    <row r="178">
      <c r="B178" s="37"/>
      <c r="C178" s="37" t="str">
        <f>IFERROR(__xludf.DUMMYFUNCTION("""COMPUTED_VALUE"""),"滿三年更換")</f>
        <v>滿三年更換</v>
      </c>
      <c r="D178" s="37" t="str">
        <f>IFERROR(__xludf.DUMMYFUNCTION("""COMPUTED_VALUE"""),"TW")</f>
        <v>TW</v>
      </c>
      <c r="E178" s="37"/>
      <c r="F178" s="37"/>
      <c r="G178" s="37"/>
      <c r="H178" s="44" t="str">
        <f>IFERROR(__xludf.DUMMYFUNCTION("""COMPUTED_VALUE"""),"研發中心:軟體工程部:前端團隊")</f>
        <v>研發中心:軟體工程部:前端團隊</v>
      </c>
      <c r="I178" s="37" t="str">
        <f>IFERROR(__xludf.DUMMYFUNCTION("""COMPUTED_VALUE"""),"資訊裝置")</f>
        <v>資訊裝置</v>
      </c>
      <c r="J178" s="37" t="str">
        <f>IFERROR(__xludf.DUMMYFUNCTION("""COMPUTED_VALUE"""),"AICHMN02009072")</f>
        <v>AICHMN02009072</v>
      </c>
      <c r="K178" s="37" t="str">
        <f>IFERROR(__xludf.DUMMYFUNCTION("""COMPUTED_VALUE"""),"螢幕")</f>
        <v>螢幕</v>
      </c>
      <c r="L178" s="37" t="str">
        <f>IFERROR(__xludf.DUMMYFUNCTION("""COMPUTED_VALUE"""),"CN-0Y2YF1-QDC00-083-067L-A16")</f>
        <v>CN-0Y2YF1-QDC00-083-067L-A16</v>
      </c>
      <c r="M178" s="37" t="str">
        <f>IFERROR(__xludf.DUMMYFUNCTION("""COMPUTED_VALUE"""),"傅典洋")</f>
        <v>傅典洋</v>
      </c>
      <c r="N178" s="44">
        <f>IFERROR(__xludf.DUMMYFUNCTION("""COMPUTED_VALUE"""),44097.0)</f>
        <v>44097</v>
      </c>
      <c r="O178" s="40">
        <f>IFERROR(__xludf.DUMMYFUNCTION("""COMPUTED_VALUE"""),69739.0)</f>
        <v>69739</v>
      </c>
      <c r="P178" s="37" t="str">
        <f>IFERROR(__xludf.DUMMYFUNCTION("""COMPUTED_VALUE"""),"資訊裝置")</f>
        <v>資訊裝置</v>
      </c>
      <c r="Q178" s="37">
        <f>IFERROR(__xludf.DUMMYFUNCTION("""COMPUTED_VALUE"""),36.0)</f>
        <v>36</v>
      </c>
      <c r="R178" s="37">
        <f>IFERROR(__xludf.DUMMYFUNCTION("""COMPUTED_VALUE"""),36.0)</f>
        <v>36</v>
      </c>
      <c r="S178" s="37" t="str">
        <f>IFERROR(__xludf.DUMMYFUNCTION("""COMPUTED_VALUE"""),"NT$69,739")</f>
        <v>NT$69,739</v>
      </c>
      <c r="T178" s="37" t="str">
        <f>IFERROR(__xludf.DUMMYFUNCTION("""COMPUTED_VALUE"""),"Dell 24吋 U2415")</f>
        <v>Dell 24吋 U2415</v>
      </c>
      <c r="U178" s="37"/>
      <c r="V178" s="37"/>
      <c r="W178" s="37"/>
      <c r="X178" s="40" t="str">
        <f>IFERROR(__xludf.DUMMYFUNCTION("""COMPUTED_VALUE"""),"")</f>
        <v/>
      </c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</row>
    <row r="179">
      <c r="B179" s="37"/>
      <c r="C179" s="37" t="str">
        <f>IFERROR(__xludf.DUMMYFUNCTION("""COMPUTED_VALUE"""),"滿三年更換")</f>
        <v>滿三年更換</v>
      </c>
      <c r="D179" s="37" t="str">
        <f>IFERROR(__xludf.DUMMYFUNCTION("""COMPUTED_VALUE"""),"TW")</f>
        <v>TW</v>
      </c>
      <c r="E179" s="37"/>
      <c r="F179" s="37"/>
      <c r="G179" s="37"/>
      <c r="H179" s="44" t="str">
        <f>IFERROR(__xludf.DUMMYFUNCTION("""COMPUTED_VALUE"""),"研發中心:軟體工程部:IOS團隊")</f>
        <v>研發中心:軟體工程部:IOS團隊</v>
      </c>
      <c r="I179" s="37" t="str">
        <f>IFERROR(__xludf.DUMMYFUNCTION("""COMPUTED_VALUE"""),"資訊裝置")</f>
        <v>資訊裝置</v>
      </c>
      <c r="J179" s="37" t="str">
        <f>IFERROR(__xludf.DUMMYFUNCTION("""COMPUTED_VALUE"""),"AICHIP02006027")</f>
        <v>AICHIP02006027</v>
      </c>
      <c r="K179" s="37" t="str">
        <f>IFERROR(__xludf.DUMMYFUNCTION("""COMPUTED_VALUE"""),"iPad")</f>
        <v>iPad</v>
      </c>
      <c r="L179" s="37" t="str">
        <f>IFERROR(__xludf.DUMMYFUNCTION("""COMPUTED_VALUE"""),"DMPZPK5YMF3P")</f>
        <v>DMPZPK5YMF3P</v>
      </c>
      <c r="M179" s="37" t="str">
        <f>IFERROR(__xludf.DUMMYFUNCTION("""COMPUTED_VALUE"""),"彭成瑋")</f>
        <v>彭成瑋</v>
      </c>
      <c r="N179" s="44">
        <f>IFERROR(__xludf.DUMMYFUNCTION("""COMPUTED_VALUE"""),43985.0)</f>
        <v>43985</v>
      </c>
      <c r="O179" s="40">
        <f>IFERROR(__xludf.DUMMYFUNCTION("""COMPUTED_VALUE"""),9375.0)</f>
        <v>9375</v>
      </c>
      <c r="P179" s="37" t="str">
        <f>IFERROR(__xludf.DUMMYFUNCTION("""COMPUTED_VALUE"""),"資訊裝置")</f>
        <v>資訊裝置</v>
      </c>
      <c r="Q179" s="37">
        <f>IFERROR(__xludf.DUMMYFUNCTION("""COMPUTED_VALUE"""),36.0)</f>
        <v>36</v>
      </c>
      <c r="R179" s="37">
        <f>IFERROR(__xludf.DUMMYFUNCTION("""COMPUTED_VALUE"""),36.0)</f>
        <v>36</v>
      </c>
      <c r="S179" s="37" t="str">
        <f>IFERROR(__xludf.DUMMYFUNCTION("""COMPUTED_VALUE"""),"NT$9,375")</f>
        <v>NT$9,375</v>
      </c>
      <c r="T179" s="37" t="str">
        <f>IFERROR(__xludf.DUMMYFUNCTION("""COMPUTED_VALUE"""),"iPad (第七代) 32GB WIFI(A2192)")</f>
        <v>iPad (第七代) 32GB WIFI(A2192)</v>
      </c>
      <c r="U179" s="37"/>
      <c r="V179" s="37"/>
      <c r="W179" s="37"/>
      <c r="X179" s="40" t="str">
        <f>IFERROR(__xludf.DUMMYFUNCTION("""COMPUTED_VALUE"""),"")</f>
        <v/>
      </c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</row>
    <row r="180">
      <c r="B180" s="37"/>
      <c r="C180" s="37" t="str">
        <f>IFERROR(__xludf.DUMMYFUNCTION("""COMPUTED_VALUE"""),"滿三年更換")</f>
        <v>滿三年更換</v>
      </c>
      <c r="D180" s="37" t="str">
        <f>IFERROR(__xludf.DUMMYFUNCTION("""COMPUTED_VALUE"""),"TW")</f>
        <v>TW</v>
      </c>
      <c r="E180" s="37"/>
      <c r="F180" s="37"/>
      <c r="G180" s="37"/>
      <c r="H180" s="44" t="str">
        <f>IFERROR(__xludf.DUMMYFUNCTION("""COMPUTED_VALUE"""),"研發中心:軟體工程部:IOS團隊")</f>
        <v>研發中心:軟體工程部:IOS團隊</v>
      </c>
      <c r="I180" s="37" t="str">
        <f>IFERROR(__xludf.DUMMYFUNCTION("""COMPUTED_VALUE"""),"資訊裝置")</f>
        <v>資訊裝置</v>
      </c>
      <c r="J180" s="37" t="str">
        <f>IFERROR(__xludf.DUMMYFUNCTION("""COMPUTED_VALUE"""),"AICHMN02211119")</f>
        <v>AICHMN02211119</v>
      </c>
      <c r="K180" s="37" t="str">
        <f>IFERROR(__xludf.DUMMYFUNCTION("""COMPUTED_VALUE"""),"螢幕")</f>
        <v>螢幕</v>
      </c>
      <c r="L180" s="37" t="str">
        <f>IFERROR(__xludf.DUMMYFUNCTION("""COMPUTED_VALUE"""),"N9LMQS031411")</f>
        <v>N9LMQS031411</v>
      </c>
      <c r="M180" s="37" t="str">
        <f>IFERROR(__xludf.DUMMYFUNCTION("""COMPUTED_VALUE"""),"彭成瑋")</f>
        <v>彭成瑋</v>
      </c>
      <c r="N180" s="44">
        <f>IFERROR(__xludf.DUMMYFUNCTION("""COMPUTED_VALUE"""),44893.0)</f>
        <v>44893</v>
      </c>
      <c r="O180" s="40">
        <f>IFERROR(__xludf.DUMMYFUNCTION("""COMPUTED_VALUE"""),9818.0)</f>
        <v>9818</v>
      </c>
      <c r="P180" s="37" t="str">
        <f>IFERROR(__xludf.DUMMYFUNCTION("""COMPUTED_VALUE"""),"資訊裝置")</f>
        <v>資訊裝置</v>
      </c>
      <c r="Q180" s="37">
        <f>IFERROR(__xludf.DUMMYFUNCTION("""COMPUTED_VALUE"""),36.0)</f>
        <v>36</v>
      </c>
      <c r="R180" s="37">
        <f>IFERROR(__xludf.DUMMYFUNCTION("""COMPUTED_VALUE"""),35.0)</f>
        <v>35</v>
      </c>
      <c r="S180" s="37" t="str">
        <f>IFERROR(__xludf.DUMMYFUNCTION("""COMPUTED_VALUE"""),"NT$9,545")</f>
        <v>NT$9,545</v>
      </c>
      <c r="T180" s="37" t="str">
        <f>IFERROR(__xludf.DUMMYFUNCTION("""COMPUTED_VALUE"""),"ASUS 27吋 VG27AQL1A")</f>
        <v>ASUS 27吋 VG27AQL1A</v>
      </c>
      <c r="U180" s="37"/>
      <c r="V180" s="37"/>
      <c r="W180" s="37"/>
      <c r="X180" s="40" t="str">
        <f>IFERROR(__xludf.DUMMYFUNCTION("""COMPUTED_VALUE"""),"")</f>
        <v/>
      </c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</row>
    <row r="181">
      <c r="B181" s="37"/>
      <c r="C181" s="37" t="str">
        <f>IFERROR(__xludf.DUMMYFUNCTION("""COMPUTED_VALUE"""),"滿三年更換")</f>
        <v>滿三年更換</v>
      </c>
      <c r="D181" s="37" t="str">
        <f>IFERROR(__xludf.DUMMYFUNCTION("""COMPUTED_VALUE"""),"TW")</f>
        <v>TW</v>
      </c>
      <c r="E181" s="37"/>
      <c r="F181" s="37"/>
      <c r="G181" s="37"/>
      <c r="H181" s="44" t="str">
        <f>IFERROR(__xludf.DUMMYFUNCTION("""COMPUTED_VALUE"""),"研發中心:軟體工程部:後端團隊")</f>
        <v>研發中心:軟體工程部:後端團隊</v>
      </c>
      <c r="I181" s="37" t="str">
        <f>IFERROR(__xludf.DUMMYFUNCTION("""COMPUTED_VALUE"""),"資訊裝置")</f>
        <v>資訊裝置</v>
      </c>
      <c r="J181" s="37" t="str">
        <f>IFERROR(__xludf.DUMMYFUNCTION("""COMPUTED_VALUE"""),"AICHMP02009017")</f>
        <v>AICHMP02009017</v>
      </c>
      <c r="K181" s="37" t="str">
        <f>IFERROR(__xludf.DUMMYFUNCTION("""COMPUTED_VALUE"""),"Macbook Pro")</f>
        <v>Macbook Pro</v>
      </c>
      <c r="L181" s="37" t="str">
        <f>IFERROR(__xludf.DUMMYFUNCTION("""COMPUTED_VALUE"""),"C02D42BEMD6P")</f>
        <v>C02D42BEMD6P</v>
      </c>
      <c r="M181" s="37" t="str">
        <f>IFERROR(__xludf.DUMMYFUNCTION("""COMPUTED_VALUE"""),"曾大瑋")</f>
        <v>曾大瑋</v>
      </c>
      <c r="N181" s="44">
        <f>IFERROR(__xludf.DUMMYFUNCTION("""COMPUTED_VALUE"""),44084.0)</f>
        <v>44084</v>
      </c>
      <c r="O181" s="40">
        <f>IFERROR(__xludf.DUMMYFUNCTION("""COMPUTED_VALUE"""),69739.0)</f>
        <v>69739</v>
      </c>
      <c r="P181" s="37" t="str">
        <f>IFERROR(__xludf.DUMMYFUNCTION("""COMPUTED_VALUE"""),"資訊裝置")</f>
        <v>資訊裝置</v>
      </c>
      <c r="Q181" s="37">
        <f>IFERROR(__xludf.DUMMYFUNCTION("""COMPUTED_VALUE"""),36.0)</f>
        <v>36</v>
      </c>
      <c r="R181" s="37">
        <f>IFERROR(__xludf.DUMMYFUNCTION("""COMPUTED_VALUE"""),36.0)</f>
        <v>36</v>
      </c>
      <c r="S181" s="37" t="str">
        <f>IFERROR(__xludf.DUMMYFUNCTION("""COMPUTED_VALUE"""),"NT$69,739")</f>
        <v>NT$69,739</v>
      </c>
      <c r="T181" s="37" t="str">
        <f>IFERROR(__xludf.DUMMYFUNCTION("""COMPUTED_VALUE"""),"MBP16 (2019) I7/16GBRAM/512GBSSD")</f>
        <v>MBP16 (2019) I7/16GBRAM/512GBSSD</v>
      </c>
      <c r="U181" s="37"/>
      <c r="V181" s="37"/>
      <c r="W181" s="37"/>
      <c r="X181" s="40" t="str">
        <f>IFERROR(__xludf.DUMMYFUNCTION("""COMPUTED_VALUE"""),"")</f>
        <v/>
      </c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</row>
    <row r="182">
      <c r="B182" s="37"/>
      <c r="C182" s="37" t="str">
        <f>IFERROR(__xludf.DUMMYFUNCTION("""COMPUTED_VALUE"""),"滿三年更換")</f>
        <v>滿三年更換</v>
      </c>
      <c r="D182" s="37" t="str">
        <f>IFERROR(__xludf.DUMMYFUNCTION("""COMPUTED_VALUE"""),"TW")</f>
        <v>TW</v>
      </c>
      <c r="E182" s="37"/>
      <c r="F182" s="37"/>
      <c r="G182" s="37"/>
      <c r="H182" s="44" t="str">
        <f>IFERROR(__xludf.DUMMYFUNCTION("""COMPUTED_VALUE"""),"研發中心:軟體工程部:後端團隊")</f>
        <v>研發中心:軟體工程部:後端團隊</v>
      </c>
      <c r="I182" s="37" t="str">
        <f>IFERROR(__xludf.DUMMYFUNCTION("""COMPUTED_VALUE"""),"資訊裝置")</f>
        <v>資訊裝置</v>
      </c>
      <c r="J182" s="37" t="str">
        <f>IFERROR(__xludf.DUMMYFUNCTION("""COMPUTED_VALUE"""),"AICHMN01604015")</f>
        <v>AICHMN01604015</v>
      </c>
      <c r="K182" s="37" t="str">
        <f>IFERROR(__xludf.DUMMYFUNCTION("""COMPUTED_VALUE"""),"螢幕")</f>
        <v>螢幕</v>
      </c>
      <c r="L182" s="37" t="str">
        <f>IFERROR(__xludf.DUMMYFUNCTION("""COMPUTED_VALUE"""),"CN-03W9XD-74261-3A5-2HWL")</f>
        <v>CN-03W9XD-74261-3A5-2HWL</v>
      </c>
      <c r="M182" s="37" t="str">
        <f>IFERROR(__xludf.DUMMYFUNCTION("""COMPUTED_VALUE"""),"曾大瑋")</f>
        <v>曾大瑋</v>
      </c>
      <c r="N182" s="44">
        <f>IFERROR(__xludf.DUMMYFUNCTION("""COMPUTED_VALUE"""),42468.0)</f>
        <v>42468</v>
      </c>
      <c r="O182" s="37"/>
      <c r="P182" s="37" t="str">
        <f>IFERROR(__xludf.DUMMYFUNCTION("""COMPUTED_VALUE"""),"資訊裝置")</f>
        <v>資訊裝置</v>
      </c>
      <c r="Q182" s="37">
        <f>IFERROR(__xludf.DUMMYFUNCTION("""COMPUTED_VALUE"""),36.0)</f>
        <v>36</v>
      </c>
      <c r="R182" s="37">
        <f>IFERROR(__xludf.DUMMYFUNCTION("""COMPUTED_VALUE"""),36.0)</f>
        <v>36</v>
      </c>
      <c r="S182" s="37" t="str">
        <f>IFERROR(__xludf.DUMMYFUNCTION("""COMPUTED_VALUE"""),"NT$0")</f>
        <v>NT$0</v>
      </c>
      <c r="T182" s="37" t="str">
        <f>IFERROR(__xludf.DUMMYFUNCTION("""COMPUTED_VALUE"""),"Dell 24吋 U2412Mb")</f>
        <v>Dell 24吋 U2412Mb</v>
      </c>
      <c r="U182" s="37"/>
      <c r="V182" s="37"/>
      <c r="W182" s="37"/>
      <c r="X182" s="40" t="str">
        <f>IFERROR(__xludf.DUMMYFUNCTION("""COMPUTED_VALUE"""),"")</f>
        <v/>
      </c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</row>
    <row r="183">
      <c r="B183" s="37"/>
      <c r="C183" s="37" t="str">
        <f>IFERROR(__xludf.DUMMYFUNCTION("""COMPUTED_VALUE"""),"滿三年更換")</f>
        <v>滿三年更換</v>
      </c>
      <c r="D183" s="37" t="str">
        <f>IFERROR(__xludf.DUMMYFUNCTION("""COMPUTED_VALUE"""),"TW")</f>
        <v>TW</v>
      </c>
      <c r="E183" s="37"/>
      <c r="F183" s="37"/>
      <c r="G183" s="37"/>
      <c r="H183" s="44" t="str">
        <f>IFERROR(__xludf.DUMMYFUNCTION("""COMPUTED_VALUE"""),"研發中心:軟體工程部:後端團隊")</f>
        <v>研發中心:軟體工程部:後端團隊</v>
      </c>
      <c r="I183" s="37" t="str">
        <f>IFERROR(__xludf.DUMMYFUNCTION("""COMPUTED_VALUE"""),"資訊裝置")</f>
        <v>資訊裝置</v>
      </c>
      <c r="J183" s="37" t="str">
        <f>IFERROR(__xludf.DUMMYFUNCTION("""COMPUTED_VALUE"""),"AICHMN02101090")</f>
        <v>AICHMN02101090</v>
      </c>
      <c r="K183" s="37" t="str">
        <f>IFERROR(__xludf.DUMMYFUNCTION("""COMPUTED_VALUE"""),"螢幕")</f>
        <v>螢幕</v>
      </c>
      <c r="L183" s="37" t="str">
        <f>IFERROR(__xludf.DUMMYFUNCTION("""COMPUTED_VALUE"""),"CN-0941GG-QDC00-08N-4YIS-A09")</f>
        <v>CN-0941GG-QDC00-08N-4YIS-A09</v>
      </c>
      <c r="M183" s="37" t="str">
        <f>IFERROR(__xludf.DUMMYFUNCTION("""COMPUTED_VALUE"""),"曾大瑋")</f>
        <v>曾大瑋</v>
      </c>
      <c r="N183" s="44">
        <f>IFERROR(__xludf.DUMMYFUNCTION("""COMPUTED_VALUE"""),44215.0)</f>
        <v>44215</v>
      </c>
      <c r="O183" s="40">
        <f>IFERROR(__xludf.DUMMYFUNCTION("""COMPUTED_VALUE"""),13200.0)</f>
        <v>13200</v>
      </c>
      <c r="P183" s="37" t="str">
        <f>IFERROR(__xludf.DUMMYFUNCTION("""COMPUTED_VALUE"""),"資訊裝置")</f>
        <v>資訊裝置</v>
      </c>
      <c r="Q183" s="37">
        <f>IFERROR(__xludf.DUMMYFUNCTION("""COMPUTED_VALUE"""),36.0)</f>
        <v>36</v>
      </c>
      <c r="R183" s="37">
        <f>IFERROR(__xludf.DUMMYFUNCTION("""COMPUTED_VALUE"""),36.0)</f>
        <v>36</v>
      </c>
      <c r="S183" s="37" t="str">
        <f>IFERROR(__xludf.DUMMYFUNCTION("""COMPUTED_VALUE"""),"NT$13,200")</f>
        <v>NT$13,200</v>
      </c>
      <c r="T183" s="37" t="str">
        <f>IFERROR(__xludf.DUMMYFUNCTION("""COMPUTED_VALUE"""),"Dell 24吋 P2419H")</f>
        <v>Dell 24吋 P2419H</v>
      </c>
      <c r="U183" s="37"/>
      <c r="V183" s="37"/>
      <c r="W183" s="37"/>
      <c r="X183" s="40" t="str">
        <f>IFERROR(__xludf.DUMMYFUNCTION("""COMPUTED_VALUE"""),"")</f>
        <v/>
      </c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</row>
    <row r="184">
      <c r="B184" s="37"/>
      <c r="C184" s="37" t="str">
        <f>IFERROR(__xludf.DUMMYFUNCTION("""COMPUTED_VALUE"""),"滿三年更換")</f>
        <v>滿三年更換</v>
      </c>
      <c r="D184" s="37" t="str">
        <f>IFERROR(__xludf.DUMMYFUNCTION("""COMPUTED_VALUE"""),"TW")</f>
        <v>TW</v>
      </c>
      <c r="E184" s="37"/>
      <c r="F184" s="37"/>
      <c r="G184" s="37"/>
      <c r="H184" s="44" t="str">
        <f>IFERROR(__xludf.DUMMYFUNCTION("""COMPUTED_VALUE"""),"管理中心:人資部:人資團隊")</f>
        <v>管理中心:人資部:人資團隊</v>
      </c>
      <c r="I184" s="37" t="str">
        <f>IFERROR(__xludf.DUMMYFUNCTION("""COMPUTED_VALUE"""),"資訊裝置")</f>
        <v>資訊裝置</v>
      </c>
      <c r="J184" s="37" t="str">
        <f>IFERROR(__xludf.DUMMYFUNCTION("""COMPUTED_VALUE"""),"AICHMA02103012")</f>
        <v>AICHMA02103012</v>
      </c>
      <c r="K184" s="37" t="str">
        <f>IFERROR(__xludf.DUMMYFUNCTION("""COMPUTED_VALUE"""),"Macbook Air")</f>
        <v>Macbook Air</v>
      </c>
      <c r="L184" s="37" t="str">
        <f>IFERROR(__xludf.DUMMYFUNCTION("""COMPUTED_VALUE"""),"FVFF6C67Q6LC")</f>
        <v>FVFF6C67Q6LC</v>
      </c>
      <c r="M184" s="37" t="str">
        <f>IFERROR(__xludf.DUMMYFUNCTION("""COMPUTED_VALUE"""),"曾詩芸")</f>
        <v>曾詩芸</v>
      </c>
      <c r="N184" s="44">
        <f>IFERROR(__xludf.DUMMYFUNCTION("""COMPUTED_VALUE"""),44258.0)</f>
        <v>44258</v>
      </c>
      <c r="O184" s="40">
        <f>IFERROR(__xludf.DUMMYFUNCTION("""COMPUTED_VALUE"""),27075.0)</f>
        <v>27075</v>
      </c>
      <c r="P184" s="37" t="str">
        <f>IFERROR(__xludf.DUMMYFUNCTION("""COMPUTED_VALUE"""),"資訊裝置")</f>
        <v>資訊裝置</v>
      </c>
      <c r="Q184" s="37">
        <f>IFERROR(__xludf.DUMMYFUNCTION("""COMPUTED_VALUE"""),36.0)</f>
        <v>36</v>
      </c>
      <c r="R184" s="37">
        <f>IFERROR(__xludf.DUMMYFUNCTION("""COMPUTED_VALUE"""),36.0)</f>
        <v>36</v>
      </c>
      <c r="S184" s="37" t="str">
        <f>IFERROR(__xludf.DUMMYFUNCTION("""COMPUTED_VALUE"""),"NT$27,075")</f>
        <v>NT$27,075</v>
      </c>
      <c r="T184" s="37" t="str">
        <f>IFERROR(__xludf.DUMMYFUNCTION("""COMPUTED_VALUE"""),"MBA13 (2020) M1/8GBRAM/256GBSSD")</f>
        <v>MBA13 (2020) M1/8GBRAM/256GBSSD</v>
      </c>
      <c r="U184" s="37"/>
      <c r="V184" s="37"/>
      <c r="W184" s="37"/>
      <c r="X184" s="40" t="str">
        <f>IFERROR(__xludf.DUMMYFUNCTION("""COMPUTED_VALUE"""),"")</f>
        <v/>
      </c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</row>
    <row r="185">
      <c r="B185" s="37"/>
      <c r="C185" s="37" t="str">
        <f>IFERROR(__xludf.DUMMYFUNCTION("""COMPUTED_VALUE"""),"滿三年更換")</f>
        <v>滿三年更換</v>
      </c>
      <c r="D185" s="37" t="str">
        <f>IFERROR(__xludf.DUMMYFUNCTION("""COMPUTED_VALUE"""),"TW")</f>
        <v>TW</v>
      </c>
      <c r="E185" s="37"/>
      <c r="F185" s="37"/>
      <c r="G185" s="37"/>
      <c r="H185" s="44" t="str">
        <f>IFERROR(__xludf.DUMMYFUNCTION("""COMPUTED_VALUE"""),"管理中心:人資部:人資團隊")</f>
        <v>管理中心:人資部:人資團隊</v>
      </c>
      <c r="I185" s="37" t="str">
        <f>IFERROR(__xludf.DUMMYFUNCTION("""COMPUTED_VALUE"""),"資訊裝置")</f>
        <v>資訊裝置</v>
      </c>
      <c r="J185" s="37" t="str">
        <f>IFERROR(__xludf.DUMMYFUNCTION("""COMPUTED_VALUE"""),"AICHMA02104014")</f>
        <v>AICHMA02104014</v>
      </c>
      <c r="K185" s="37" t="str">
        <f>IFERROR(__xludf.DUMMYFUNCTION("""COMPUTED_VALUE"""),"Macbook Air")</f>
        <v>Macbook Air</v>
      </c>
      <c r="L185" s="37" t="str">
        <f>IFERROR(__xludf.DUMMYFUNCTION("""COMPUTED_VALUE"""),"FVFFC6PMQ6L7")</f>
        <v>FVFFC6PMQ6L7</v>
      </c>
      <c r="M185" s="37" t="str">
        <f>IFERROR(__xludf.DUMMYFUNCTION("""COMPUTED_VALUE"""),"曾詩芸")</f>
        <v>曾詩芸</v>
      </c>
      <c r="N185" s="44">
        <f>IFERROR(__xludf.DUMMYFUNCTION("""COMPUTED_VALUE"""),44294.0)</f>
        <v>44294</v>
      </c>
      <c r="O185" s="40">
        <f>IFERROR(__xludf.DUMMYFUNCTION("""COMPUTED_VALUE"""),27663.0)</f>
        <v>27663</v>
      </c>
      <c r="P185" s="37" t="str">
        <f>IFERROR(__xludf.DUMMYFUNCTION("""COMPUTED_VALUE"""),"資訊裝置")</f>
        <v>資訊裝置</v>
      </c>
      <c r="Q185" s="37">
        <f>IFERROR(__xludf.DUMMYFUNCTION("""COMPUTED_VALUE"""),36.0)</f>
        <v>36</v>
      </c>
      <c r="R185" s="37">
        <f>IFERROR(__xludf.DUMMYFUNCTION("""COMPUTED_VALUE"""),36.0)</f>
        <v>36</v>
      </c>
      <c r="S185" s="37" t="str">
        <f>IFERROR(__xludf.DUMMYFUNCTION("""COMPUTED_VALUE"""),"NT$27,663")</f>
        <v>NT$27,663</v>
      </c>
      <c r="T185" s="37" t="str">
        <f>IFERROR(__xludf.DUMMYFUNCTION("""COMPUTED_VALUE"""),"A2337 MBA13 (2020) M1/8GBRAM/256GBSSD(MGN93TA/A)/電源284正常")</f>
        <v>A2337 MBA13 (2020) M1/8GBRAM/256GBSSD(MGN93TA/A)/電源284正常</v>
      </c>
      <c r="U185" s="37"/>
      <c r="V185" s="37"/>
      <c r="W185" s="37"/>
      <c r="X185" s="40" t="str">
        <f>IFERROR(__xludf.DUMMYFUNCTION("""COMPUTED_VALUE"""),"")</f>
        <v/>
      </c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</row>
    <row r="186">
      <c r="B186" s="37"/>
      <c r="C186" s="37" t="str">
        <f>IFERROR(__xludf.DUMMYFUNCTION("""COMPUTED_VALUE"""),"滿三年更換")</f>
        <v>滿三年更換</v>
      </c>
      <c r="D186" s="37" t="str">
        <f>IFERROR(__xludf.DUMMYFUNCTION("""COMPUTED_VALUE"""),"TW")</f>
        <v>TW</v>
      </c>
      <c r="E186" s="37"/>
      <c r="F186" s="37"/>
      <c r="G186" s="37"/>
      <c r="H186" s="37" t="str">
        <f>IFERROR(__xludf.DUMMYFUNCTION("""COMPUTED_VALUE"""),"行銷營運中心")</f>
        <v>行銷營運中心</v>
      </c>
      <c r="I186" s="37" t="str">
        <f>IFERROR(__xludf.DUMMYFUNCTION("""COMPUTED_VALUE"""),"資訊裝置")</f>
        <v>資訊裝置</v>
      </c>
      <c r="J186" s="37" t="str">
        <f>IFERROR(__xludf.DUMMYFUNCTION("""COMPUTED_VALUE"""),"AICHMA02210050")</f>
        <v>AICHMA02210050</v>
      </c>
      <c r="K186" s="37" t="str">
        <f>IFERROR(__xludf.DUMMYFUNCTION("""COMPUTED_VALUE"""),"Macbook Air")</f>
        <v>Macbook Air</v>
      </c>
      <c r="L186" s="37" t="str">
        <f>IFERROR(__xludf.DUMMYFUNCTION("""COMPUTED_VALUE"""),"FVFJJ8AJQ6L4")</f>
        <v>FVFJJ8AJQ6L4</v>
      </c>
      <c r="M186" s="37" t="str">
        <f>IFERROR(__xludf.DUMMYFUNCTION("""COMPUTED_VALUE"""),"程開佑")</f>
        <v>程開佑</v>
      </c>
      <c r="N186" s="45">
        <f>IFERROR(__xludf.DUMMYFUNCTION("""COMPUTED_VALUE"""),44859.0)</f>
        <v>44859</v>
      </c>
      <c r="O186" s="40">
        <f>IFERROR(__xludf.DUMMYFUNCTION("""COMPUTED_VALUE"""),27075.0)</f>
        <v>27075</v>
      </c>
      <c r="P186" s="37" t="str">
        <f>IFERROR(__xludf.DUMMYFUNCTION("""COMPUTED_VALUE"""),"資訊裝置")</f>
        <v>資訊裝置</v>
      </c>
      <c r="Q186" s="37">
        <f>IFERROR(__xludf.DUMMYFUNCTION("""COMPUTED_VALUE"""),36.0)</f>
        <v>36</v>
      </c>
      <c r="R186" s="37">
        <f>IFERROR(__xludf.DUMMYFUNCTION("""COMPUTED_VALUE"""),36.0)</f>
        <v>36</v>
      </c>
      <c r="S186" s="37" t="str">
        <f>IFERROR(__xludf.DUMMYFUNCTION("""COMPUTED_VALUE"""),"NT$27,075")</f>
        <v>NT$27,075</v>
      </c>
      <c r="T186" s="37" t="str">
        <f>IFERROR(__xludf.DUMMYFUNCTION("""COMPUTED_VALUE"""),"MBA13 (2020) M1/8GBRAM/256GBSSD")</f>
        <v>MBA13 (2020) M1/8GBRAM/256GBSSD</v>
      </c>
      <c r="U186" s="37"/>
      <c r="V186" s="37"/>
      <c r="W186" s="37"/>
      <c r="X186" s="40" t="str">
        <f>IFERROR(__xludf.DUMMYFUNCTION("""COMPUTED_VALUE"""),"")</f>
        <v/>
      </c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</row>
    <row r="187">
      <c r="B187" s="37"/>
      <c r="C187" s="37" t="str">
        <f>IFERROR(__xludf.DUMMYFUNCTION("""COMPUTED_VALUE"""),"滿三年更換")</f>
        <v>滿三年更換</v>
      </c>
      <c r="D187" s="37" t="str">
        <f>IFERROR(__xludf.DUMMYFUNCTION("""COMPUTED_VALUE"""),"TW")</f>
        <v>TW</v>
      </c>
      <c r="E187" s="37"/>
      <c r="F187" s="37"/>
      <c r="G187" s="37"/>
      <c r="H187" s="37" t="str">
        <f>IFERROR(__xludf.DUMMYFUNCTION("""COMPUTED_VALUE"""),"行銷營運中心")</f>
        <v>行銷營運中心</v>
      </c>
      <c r="I187" s="37" t="str">
        <f>IFERROR(__xludf.DUMMYFUNCTION("""COMPUTED_VALUE"""),"資訊裝置")</f>
        <v>資訊裝置</v>
      </c>
      <c r="J187" s="37" t="str">
        <f>IFERROR(__xludf.DUMMYFUNCTION("""COMPUTED_VALUE"""),"AICHIP02006026")</f>
        <v>AICHIP02006026</v>
      </c>
      <c r="K187" s="37" t="str">
        <f>IFERROR(__xludf.DUMMYFUNCTION("""COMPUTED_VALUE"""),"iPad")</f>
        <v>iPad</v>
      </c>
      <c r="L187" s="37" t="str">
        <f>IFERROR(__xludf.DUMMYFUNCTION("""COMPUTED_VALUE"""),"DMPZPXBLMF3P")</f>
        <v>DMPZPXBLMF3P</v>
      </c>
      <c r="M187" s="37" t="str">
        <f>IFERROR(__xludf.DUMMYFUNCTION("""COMPUTED_VALUE"""),"程開佑")</f>
        <v>程開佑</v>
      </c>
      <c r="N187" s="44">
        <f>IFERROR(__xludf.DUMMYFUNCTION("""COMPUTED_VALUE"""),43985.0)</f>
        <v>43985</v>
      </c>
      <c r="O187" s="40">
        <f>IFERROR(__xludf.DUMMYFUNCTION("""COMPUTED_VALUE"""),9374.0)</f>
        <v>9374</v>
      </c>
      <c r="P187" s="37" t="str">
        <f>IFERROR(__xludf.DUMMYFUNCTION("""COMPUTED_VALUE"""),"資訊裝置")</f>
        <v>資訊裝置</v>
      </c>
      <c r="Q187" s="37">
        <f>IFERROR(__xludf.DUMMYFUNCTION("""COMPUTED_VALUE"""),36.0)</f>
        <v>36</v>
      </c>
      <c r="R187" s="37">
        <f>IFERROR(__xludf.DUMMYFUNCTION("""COMPUTED_VALUE"""),36.0)</f>
        <v>36</v>
      </c>
      <c r="S187" s="37" t="str">
        <f>IFERROR(__xludf.DUMMYFUNCTION("""COMPUTED_VALUE"""),"NT$9,374")</f>
        <v>NT$9,374</v>
      </c>
      <c r="T187" s="37" t="str">
        <f>IFERROR(__xludf.DUMMYFUNCTION("""COMPUTED_VALUE"""),"iPad (第七代) 32GB WIFI(MW762TA/A)")</f>
        <v>iPad (第七代) 32GB WIFI(MW762TA/A)</v>
      </c>
      <c r="U187" s="37"/>
      <c r="V187" s="37"/>
      <c r="W187" s="37"/>
      <c r="X187" s="40" t="str">
        <f>IFERROR(__xludf.DUMMYFUNCTION("""COMPUTED_VALUE"""),"")</f>
        <v/>
      </c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</row>
    <row r="188">
      <c r="B188" s="37"/>
      <c r="C188" s="37" t="str">
        <f>IFERROR(__xludf.DUMMYFUNCTION("""COMPUTED_VALUE"""),"滿三年更換")</f>
        <v>滿三年更換</v>
      </c>
      <c r="D188" s="37" t="str">
        <f>IFERROR(__xludf.DUMMYFUNCTION("""COMPUTED_VALUE"""),"TW")</f>
        <v>TW</v>
      </c>
      <c r="E188" s="37"/>
      <c r="F188" s="37"/>
      <c r="G188" s="37"/>
      <c r="H188" s="37" t="str">
        <f>IFERROR(__xludf.DUMMYFUNCTION("""COMPUTED_VALUE"""),"行銷營運中心")</f>
        <v>行銷營運中心</v>
      </c>
      <c r="I188" s="37" t="str">
        <f>IFERROR(__xludf.DUMMYFUNCTION("""COMPUTED_VALUE"""),"資訊裝置")</f>
        <v>資訊裝置</v>
      </c>
      <c r="J188" s="37" t="str">
        <f>IFERROR(__xludf.DUMMYFUNCTION("""COMPUTED_VALUE"""),"AICHMN01604018")</f>
        <v>AICHMN01604018</v>
      </c>
      <c r="K188" s="37" t="str">
        <f>IFERROR(__xludf.DUMMYFUNCTION("""COMPUTED_VALUE"""),"螢幕")</f>
        <v>螢幕</v>
      </c>
      <c r="L188" s="37" t="str">
        <f>IFERROR(__xludf.DUMMYFUNCTION("""COMPUTED_VALUE"""),"CN-03W9XD-74261-45M-36NL")</f>
        <v>CN-03W9XD-74261-45M-36NL</v>
      </c>
      <c r="M188" s="37" t="str">
        <f>IFERROR(__xludf.DUMMYFUNCTION("""COMPUTED_VALUE"""),"程開佑")</f>
        <v>程開佑</v>
      </c>
      <c r="N188" s="44">
        <f>IFERROR(__xludf.DUMMYFUNCTION("""COMPUTED_VALUE"""),42468.0)</f>
        <v>42468</v>
      </c>
      <c r="O188" s="37"/>
      <c r="P188" s="37" t="str">
        <f>IFERROR(__xludf.DUMMYFUNCTION("""COMPUTED_VALUE"""),"資訊裝置")</f>
        <v>資訊裝置</v>
      </c>
      <c r="Q188" s="37">
        <f>IFERROR(__xludf.DUMMYFUNCTION("""COMPUTED_VALUE"""),36.0)</f>
        <v>36</v>
      </c>
      <c r="R188" s="37">
        <f>IFERROR(__xludf.DUMMYFUNCTION("""COMPUTED_VALUE"""),36.0)</f>
        <v>36</v>
      </c>
      <c r="S188" s="37" t="str">
        <f>IFERROR(__xludf.DUMMYFUNCTION("""COMPUTED_VALUE"""),"NT$0")</f>
        <v>NT$0</v>
      </c>
      <c r="T188" s="37" t="str">
        <f>IFERROR(__xludf.DUMMYFUNCTION("""COMPUTED_VALUE"""),"Dell 24吋 U2412Mb")</f>
        <v>Dell 24吋 U2412Mb</v>
      </c>
      <c r="U188" s="37"/>
      <c r="V188" s="37"/>
      <c r="W188" s="37"/>
      <c r="X188" s="40" t="str">
        <f>IFERROR(__xludf.DUMMYFUNCTION("""COMPUTED_VALUE"""),"")</f>
        <v/>
      </c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</row>
    <row r="189">
      <c r="B189" s="37"/>
      <c r="C189" s="37" t="str">
        <f>IFERROR(__xludf.DUMMYFUNCTION("""COMPUTED_VALUE"""),"滿三年更換")</f>
        <v>滿三年更換</v>
      </c>
      <c r="D189" s="37" t="str">
        <f>IFERROR(__xludf.DUMMYFUNCTION("""COMPUTED_VALUE"""),"TW")</f>
        <v>TW</v>
      </c>
      <c r="E189" s="37"/>
      <c r="F189" s="37"/>
      <c r="G189" s="37"/>
      <c r="H189" s="44" t="str">
        <f>IFERROR(__xludf.DUMMYFUNCTION("""COMPUTED_VALUE"""),"研發中心:產品設計部:產品設計師團隊")</f>
        <v>研發中心:產品設計部:產品設計師團隊</v>
      </c>
      <c r="I189" s="37" t="str">
        <f>IFERROR(__xludf.DUMMYFUNCTION("""COMPUTED_VALUE"""),"資訊裝置")</f>
        <v>資訊裝置</v>
      </c>
      <c r="J189" s="37" t="str">
        <f>IFERROR(__xludf.DUMMYFUNCTION("""COMPUTED_VALUE"""),"AICHMN02009070")</f>
        <v>AICHMN02009070</v>
      </c>
      <c r="K189" s="37" t="str">
        <f>IFERROR(__xludf.DUMMYFUNCTION("""COMPUTED_VALUE"""),"螢幕")</f>
        <v>螢幕</v>
      </c>
      <c r="L189" s="37" t="str">
        <f>IFERROR(__xludf.DUMMYFUNCTION("""COMPUTED_VALUE"""),"L8LMTF166726")</f>
        <v>L8LMTF166726</v>
      </c>
      <c r="M189" s="37" t="str">
        <f>IFERROR(__xludf.DUMMYFUNCTION("""COMPUTED_VALUE"""),"馮荺琪")</f>
        <v>馮荺琪</v>
      </c>
      <c r="N189" s="44">
        <f>IFERROR(__xludf.DUMMYFUNCTION("""COMPUTED_VALUE"""),44084.0)</f>
        <v>44084</v>
      </c>
      <c r="O189" s="40">
        <f>IFERROR(__xludf.DUMMYFUNCTION("""COMPUTED_VALUE"""),58086.0)</f>
        <v>58086</v>
      </c>
      <c r="P189" s="37" t="str">
        <f>IFERROR(__xludf.DUMMYFUNCTION("""COMPUTED_VALUE"""),"資訊裝置")</f>
        <v>資訊裝置</v>
      </c>
      <c r="Q189" s="37">
        <f>IFERROR(__xludf.DUMMYFUNCTION("""COMPUTED_VALUE"""),36.0)</f>
        <v>36</v>
      </c>
      <c r="R189" s="37">
        <f>IFERROR(__xludf.DUMMYFUNCTION("""COMPUTED_VALUE"""),36.0)</f>
        <v>36</v>
      </c>
      <c r="S189" s="37" t="str">
        <f>IFERROR(__xludf.DUMMYFUNCTION("""COMPUTED_VALUE"""),"NT$58,086")</f>
        <v>NT$58,086</v>
      </c>
      <c r="T189" s="37" t="str">
        <f>IFERROR(__xludf.DUMMYFUNCTION("""COMPUTED_VALUE"""),"ASUS 28吋 VG289")</f>
        <v>ASUS 28吋 VG289</v>
      </c>
      <c r="U189" s="37"/>
      <c r="V189" s="37"/>
      <c r="W189" s="37"/>
      <c r="X189" s="40" t="str">
        <f>IFERROR(__xludf.DUMMYFUNCTION("""COMPUTED_VALUE"""),"")</f>
        <v/>
      </c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</row>
    <row r="190">
      <c r="B190" s="37"/>
      <c r="C190" s="37" t="str">
        <f>IFERROR(__xludf.DUMMYFUNCTION("""COMPUTED_VALUE"""),"滿三年更換")</f>
        <v>滿三年更換</v>
      </c>
      <c r="D190" s="37" t="str">
        <f>IFERROR(__xludf.DUMMYFUNCTION("""COMPUTED_VALUE"""),"TW")</f>
        <v>TW</v>
      </c>
      <c r="E190" s="37"/>
      <c r="F190" s="37"/>
      <c r="G190" s="37"/>
      <c r="H190" s="44" t="str">
        <f>IFERROR(__xludf.DUMMYFUNCTION("""COMPUTED_VALUE"""),"行銷營運中心:銷售營運部:線上開發團隊")</f>
        <v>行銷營運中心:銷售營運部:線上開發團隊</v>
      </c>
      <c r="I190" s="37" t="str">
        <f>IFERROR(__xludf.DUMMYFUNCTION("""COMPUTED_VALUE"""),"資訊裝置")</f>
        <v>資訊裝置</v>
      </c>
      <c r="J190" s="37" t="str">
        <f>IFERROR(__xludf.DUMMYFUNCTION("""COMPUTED_VALUE"""),"AICHMA02108035")</f>
        <v>AICHMA02108035</v>
      </c>
      <c r="K190" s="37" t="str">
        <f>IFERROR(__xludf.DUMMYFUNCTION("""COMPUTED_VALUE"""),"Macbook Air")</f>
        <v>Macbook Air</v>
      </c>
      <c r="L190" s="37" t="str">
        <f>IFERROR(__xludf.DUMMYFUNCTION("""COMPUTED_VALUE"""),"FVHG4KVUQ6L4")</f>
        <v>FVHG4KVUQ6L4</v>
      </c>
      <c r="M190" s="37" t="str">
        <f>IFERROR(__xludf.DUMMYFUNCTION("""COMPUTED_VALUE"""),"馮麗娟")</f>
        <v>馮麗娟</v>
      </c>
      <c r="N190" s="44">
        <f>IFERROR(__xludf.DUMMYFUNCTION("""COMPUTED_VALUE"""),44424.0)</f>
        <v>44424</v>
      </c>
      <c r="O190" s="40">
        <f>IFERROR(__xludf.DUMMYFUNCTION("""COMPUTED_VALUE"""),27075.0)</f>
        <v>27075</v>
      </c>
      <c r="P190" s="37" t="str">
        <f>IFERROR(__xludf.DUMMYFUNCTION("""COMPUTED_VALUE"""),"資訊裝置")</f>
        <v>資訊裝置</v>
      </c>
      <c r="Q190" s="37">
        <f>IFERROR(__xludf.DUMMYFUNCTION("""COMPUTED_VALUE"""),36.0)</f>
        <v>36</v>
      </c>
      <c r="R190" s="37">
        <f>IFERROR(__xludf.DUMMYFUNCTION("""COMPUTED_VALUE"""),36.0)</f>
        <v>36</v>
      </c>
      <c r="S190" s="37" t="str">
        <f>IFERROR(__xludf.DUMMYFUNCTION("""COMPUTED_VALUE"""),"NT$27,075")</f>
        <v>NT$27,075</v>
      </c>
      <c r="T190" s="37" t="str">
        <f>IFERROR(__xludf.DUMMYFUNCTION("""COMPUTED_VALUE"""),"A2337 MBA13 (2020) M1/8GBRAM/256GBSSD")</f>
        <v>A2337 MBA13 (2020) M1/8GBRAM/256GBSSD</v>
      </c>
      <c r="U190" s="37"/>
      <c r="V190" s="37"/>
      <c r="W190" s="37"/>
      <c r="X190" s="40" t="str">
        <f>IFERROR(__xludf.DUMMYFUNCTION("""COMPUTED_VALUE"""),"")</f>
        <v/>
      </c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</row>
    <row r="191">
      <c r="B191" s="37"/>
      <c r="C191" s="37" t="str">
        <f>IFERROR(__xludf.DUMMYFUNCTION("""COMPUTED_VALUE"""),"滿三年更換")</f>
        <v>滿三年更換</v>
      </c>
      <c r="D191" s="37" t="str">
        <f>IFERROR(__xludf.DUMMYFUNCTION("""COMPUTED_VALUE"""),"TW")</f>
        <v>TW</v>
      </c>
      <c r="E191" s="37"/>
      <c r="F191" s="37"/>
      <c r="G191" s="37"/>
      <c r="H191" s="44" t="str">
        <f>IFERROR(__xludf.DUMMYFUNCTION("""COMPUTED_VALUE"""),"行銷營運中心:銷售營運部:線上開發團隊")</f>
        <v>行銷營運中心:銷售營運部:線上開發團隊</v>
      </c>
      <c r="I191" s="37" t="str">
        <f>IFERROR(__xludf.DUMMYFUNCTION("""COMPUTED_VALUE"""),"資訊裝置")</f>
        <v>資訊裝置</v>
      </c>
      <c r="J191" s="37" t="str">
        <f>IFERROR(__xludf.DUMMYFUNCTION("""COMPUTED_VALUE"""),"AICHMN02101091")</f>
        <v>AICHMN02101091</v>
      </c>
      <c r="K191" s="37" t="str">
        <f>IFERROR(__xludf.DUMMYFUNCTION("""COMPUTED_VALUE"""),"螢幕")</f>
        <v>螢幕</v>
      </c>
      <c r="L191" s="37" t="str">
        <f>IFERROR(__xludf.DUMMYFUNCTION("""COMPUTED_VALUE"""),"CN-0941GG-QDC00-08H-12LB-A09")</f>
        <v>CN-0941GG-QDC00-08H-12LB-A09</v>
      </c>
      <c r="M191" s="37" t="str">
        <f>IFERROR(__xludf.DUMMYFUNCTION("""COMPUTED_VALUE"""),"馮麗娟")</f>
        <v>馮麗娟</v>
      </c>
      <c r="N191" s="44">
        <f>IFERROR(__xludf.DUMMYFUNCTION("""COMPUTED_VALUE"""),44215.0)</f>
        <v>44215</v>
      </c>
      <c r="O191" s="37"/>
      <c r="P191" s="37" t="str">
        <f>IFERROR(__xludf.DUMMYFUNCTION("""COMPUTED_VALUE"""),"資訊裝置")</f>
        <v>資訊裝置</v>
      </c>
      <c r="Q191" s="37">
        <f>IFERROR(__xludf.DUMMYFUNCTION("""COMPUTED_VALUE"""),36.0)</f>
        <v>36</v>
      </c>
      <c r="R191" s="37">
        <f>IFERROR(__xludf.DUMMYFUNCTION("""COMPUTED_VALUE"""),36.0)</f>
        <v>36</v>
      </c>
      <c r="S191" s="37" t="str">
        <f>IFERROR(__xludf.DUMMYFUNCTION("""COMPUTED_VALUE"""),"NT$0")</f>
        <v>NT$0</v>
      </c>
      <c r="T191" s="37" t="str">
        <f>IFERROR(__xludf.DUMMYFUNCTION("""COMPUTED_VALUE"""),"Dell 24吋 P2419H")</f>
        <v>Dell 24吋 P2419H</v>
      </c>
      <c r="U191" s="37"/>
      <c r="V191" s="37"/>
      <c r="W191" s="37"/>
      <c r="X191" s="40" t="str">
        <f>IFERROR(__xludf.DUMMYFUNCTION("""COMPUTED_VALUE"""),"")</f>
        <v/>
      </c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</row>
    <row r="192">
      <c r="B192" s="37"/>
      <c r="C192" s="37" t="str">
        <f>IFERROR(__xludf.DUMMYFUNCTION("""COMPUTED_VALUE"""),"滿三年更換")</f>
        <v>滿三年更換</v>
      </c>
      <c r="D192" s="37" t="str">
        <f>IFERROR(__xludf.DUMMYFUNCTION("""COMPUTED_VALUE"""),"TW")</f>
        <v>TW</v>
      </c>
      <c r="E192" s="37"/>
      <c r="F192" s="37"/>
      <c r="G192" s="37"/>
      <c r="H192" s="44" t="str">
        <f>IFERROR(__xludf.DUMMYFUNCTION("""COMPUTED_VALUE"""),"客戶價值中心:客戶關係管理部:續約管理團隊")</f>
        <v>客戶價值中心:客戶關係管理部:續約管理團隊</v>
      </c>
      <c r="I192" s="37" t="str">
        <f>IFERROR(__xludf.DUMMYFUNCTION("""COMPUTED_VALUE"""),"資訊裝置")</f>
        <v>資訊裝置</v>
      </c>
      <c r="J192" s="37" t="str">
        <f>IFERROR(__xludf.DUMMYFUNCTION("""COMPUTED_VALUE"""),"AICHMN01604008")</f>
        <v>AICHMN01604008</v>
      </c>
      <c r="K192" s="37" t="str">
        <f>IFERROR(__xludf.DUMMYFUNCTION("""COMPUTED_VALUE"""),"螢幕")</f>
        <v>螢幕</v>
      </c>
      <c r="L192" s="37" t="str">
        <f>IFERROR(__xludf.DUMMYFUNCTION("""COMPUTED_VALUE"""),"CN-0MTYGK-64180-58T-0CEL")</f>
        <v>CN-0MTYGK-64180-58T-0CEL</v>
      </c>
      <c r="M192" s="37" t="str">
        <f>IFERROR(__xludf.DUMMYFUNCTION("""COMPUTED_VALUE"""),"黃如蘭")</f>
        <v>黃如蘭</v>
      </c>
      <c r="N192" s="44">
        <f>IFERROR(__xludf.DUMMYFUNCTION("""COMPUTED_VALUE"""),42468.0)</f>
        <v>42468</v>
      </c>
      <c r="O192" s="37"/>
      <c r="P192" s="37" t="str">
        <f>IFERROR(__xludf.DUMMYFUNCTION("""COMPUTED_VALUE"""),"資訊裝置")</f>
        <v>資訊裝置</v>
      </c>
      <c r="Q192" s="37">
        <f>IFERROR(__xludf.DUMMYFUNCTION("""COMPUTED_VALUE"""),36.0)</f>
        <v>36</v>
      </c>
      <c r="R192" s="37">
        <f>IFERROR(__xludf.DUMMYFUNCTION("""COMPUTED_VALUE"""),36.0)</f>
        <v>36</v>
      </c>
      <c r="S192" s="37" t="str">
        <f>IFERROR(__xludf.DUMMYFUNCTION("""COMPUTED_VALUE"""),"NT$0")</f>
        <v>NT$0</v>
      </c>
      <c r="T192" s="37" t="str">
        <f>IFERROR(__xludf.DUMMYFUNCTION("""COMPUTED_VALUE"""),"Dell 24吋 U2412Mc")</f>
        <v>Dell 24吋 U2412Mc</v>
      </c>
      <c r="U192" s="37"/>
      <c r="V192" s="37"/>
      <c r="W192" s="37"/>
      <c r="X192" s="40" t="str">
        <f>IFERROR(__xludf.DUMMYFUNCTION("""COMPUTED_VALUE"""),"")</f>
        <v/>
      </c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</row>
    <row r="193">
      <c r="B193" s="37"/>
      <c r="C193" s="37" t="str">
        <f>IFERROR(__xludf.DUMMYFUNCTION("""COMPUTED_VALUE"""),"滿三年更換")</f>
        <v>滿三年更換</v>
      </c>
      <c r="D193" s="37" t="str">
        <f>IFERROR(__xludf.DUMMYFUNCTION("""COMPUTED_VALUE"""),"TW")</f>
        <v>TW</v>
      </c>
      <c r="E193" s="37"/>
      <c r="F193" s="37"/>
      <c r="G193" s="37"/>
      <c r="H193" s="44" t="str">
        <f>IFERROR(__xludf.DUMMYFUNCTION("""COMPUTED_VALUE"""),"管理中心:法務部:法務團隊")</f>
        <v>管理中心:法務部:法務團隊</v>
      </c>
      <c r="I193" s="37" t="str">
        <f>IFERROR(__xludf.DUMMYFUNCTION("""COMPUTED_VALUE"""),"資訊裝置")</f>
        <v>資訊裝置</v>
      </c>
      <c r="J193" s="37" t="str">
        <f>IFERROR(__xludf.DUMMYFUNCTION("""COMPUTED_VALUE"""),"AICHMN02003065")</f>
        <v>AICHMN02003065</v>
      </c>
      <c r="K193" s="37" t="str">
        <f>IFERROR(__xludf.DUMMYFUNCTION("""COMPUTED_VALUE"""),"螢幕")</f>
        <v>螢幕</v>
      </c>
      <c r="L193" s="37" t="str">
        <f>IFERROR(__xludf.DUMMYFUNCTION("""COMPUTED_VALUE"""),"CN-07N2FG-TV100-98P-01Jl-A10")</f>
        <v>CN-07N2FG-TV100-98P-01Jl-A10</v>
      </c>
      <c r="M193" s="37" t="str">
        <f>IFERROR(__xludf.DUMMYFUNCTION("""COMPUTED_VALUE"""),"黃承駿")</f>
        <v>黃承駿</v>
      </c>
      <c r="N193" s="44">
        <f>IFERROR(__xludf.DUMMYFUNCTION("""COMPUTED_VALUE"""),43888.0)</f>
        <v>43888</v>
      </c>
      <c r="O193" s="37"/>
      <c r="P193" s="37" t="str">
        <f>IFERROR(__xludf.DUMMYFUNCTION("""COMPUTED_VALUE"""),"資訊裝置")</f>
        <v>資訊裝置</v>
      </c>
      <c r="Q193" s="37">
        <f>IFERROR(__xludf.DUMMYFUNCTION("""COMPUTED_VALUE"""),36.0)</f>
        <v>36</v>
      </c>
      <c r="R193" s="37">
        <f>IFERROR(__xludf.DUMMYFUNCTION("""COMPUTED_VALUE"""),36.0)</f>
        <v>36</v>
      </c>
      <c r="S193" s="37" t="str">
        <f>IFERROR(__xludf.DUMMYFUNCTION("""COMPUTED_VALUE"""),"NT$0")</f>
        <v>NT$0</v>
      </c>
      <c r="T193" s="37" t="str">
        <f>IFERROR(__xludf.DUMMYFUNCTION("""COMPUTED_VALUE"""),"Dell 24吋 U2412M")</f>
        <v>Dell 24吋 U2412M</v>
      </c>
      <c r="U193" s="37"/>
      <c r="V193" s="37"/>
      <c r="W193" s="37"/>
      <c r="X193" s="40" t="str">
        <f>IFERROR(__xludf.DUMMYFUNCTION("""COMPUTED_VALUE"""),"")</f>
        <v/>
      </c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</row>
    <row r="194">
      <c r="B194" s="37"/>
      <c r="C194" s="37" t="str">
        <f>IFERROR(__xludf.DUMMYFUNCTION("""COMPUTED_VALUE"""),"滿三年更換")</f>
        <v>滿三年更換</v>
      </c>
      <c r="D194" s="37" t="str">
        <f>IFERROR(__xludf.DUMMYFUNCTION("""COMPUTED_VALUE"""),"TW")</f>
        <v>TW</v>
      </c>
      <c r="E194" s="37"/>
      <c r="F194" s="37"/>
      <c r="G194" s="37"/>
      <c r="H194" s="44" t="str">
        <f>IFERROR(__xludf.DUMMYFUNCTION("""COMPUTED_VALUE"""),"行銷營運中心:銷售營運部:客戶導入團隊")</f>
        <v>行銷營運中心:銷售營運部:客戶導入團隊</v>
      </c>
      <c r="I194" s="37" t="str">
        <f>IFERROR(__xludf.DUMMYFUNCTION("""COMPUTED_VALUE"""),"資訊裝置")</f>
        <v>資訊裝置</v>
      </c>
      <c r="J194" s="37" t="str">
        <f>IFERROR(__xludf.DUMMYFUNCTION("""COMPUTED_VALUE"""),"AICHMA02301051")</f>
        <v>AICHMA02301051</v>
      </c>
      <c r="K194" s="37" t="str">
        <f>IFERROR(__xludf.DUMMYFUNCTION("""COMPUTED_VALUE"""),"Macbook Air")</f>
        <v>Macbook Air</v>
      </c>
      <c r="L194" s="37" t="str">
        <f>IFERROR(__xludf.DUMMYFUNCTION("""COMPUTED_VALUE"""),"FVFJRMQ21WFY")</f>
        <v>FVFJRMQ21WFY</v>
      </c>
      <c r="M194" s="37" t="str">
        <f>IFERROR(__xludf.DUMMYFUNCTION("""COMPUTED_VALUE"""),"黃品傑")</f>
        <v>黃品傑</v>
      </c>
      <c r="N194" s="44">
        <f>IFERROR(__xludf.DUMMYFUNCTION("""COMPUTED_VALUE"""),44932.0)</f>
        <v>44932</v>
      </c>
      <c r="O194" s="40">
        <f>IFERROR(__xludf.DUMMYFUNCTION("""COMPUTED_VALUE"""),27075.0)</f>
        <v>27075</v>
      </c>
      <c r="P194" s="37" t="str">
        <f>IFERROR(__xludf.DUMMYFUNCTION("""COMPUTED_VALUE"""),"資訊裝置")</f>
        <v>資訊裝置</v>
      </c>
      <c r="Q194" s="37">
        <f>IFERROR(__xludf.DUMMYFUNCTION("""COMPUTED_VALUE"""),36.0)</f>
        <v>36</v>
      </c>
      <c r="R194" s="37">
        <f>IFERROR(__xludf.DUMMYFUNCTION("""COMPUTED_VALUE"""),34.0)</f>
        <v>34</v>
      </c>
      <c r="S194" s="37" t="str">
        <f>IFERROR(__xludf.DUMMYFUNCTION("""COMPUTED_VALUE"""),"NT$25,571")</f>
        <v>NT$25,571</v>
      </c>
      <c r="T194" s="37" t="str">
        <f>IFERROR(__xludf.DUMMYFUNCTION("""COMPUTED_VALUE"""),"MBA13 (2020) M1/8GBRAM/256GBSSD")</f>
        <v>MBA13 (2020) M1/8GBRAM/256GBSSD</v>
      </c>
      <c r="U194" s="37"/>
      <c r="V194" s="37"/>
      <c r="W194" s="37"/>
      <c r="X194" s="40" t="str">
        <f>IFERROR(__xludf.DUMMYFUNCTION("""COMPUTED_VALUE"""),"")</f>
        <v/>
      </c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</row>
    <row r="195">
      <c r="B195" s="37"/>
      <c r="C195" s="37" t="str">
        <f>IFERROR(__xludf.DUMMYFUNCTION("""COMPUTED_VALUE"""),"滿三年更換")</f>
        <v>滿三年更換</v>
      </c>
      <c r="D195" s="37" t="str">
        <f>IFERROR(__xludf.DUMMYFUNCTION("""COMPUTED_VALUE"""),"TW")</f>
        <v>TW</v>
      </c>
      <c r="E195" s="37"/>
      <c r="F195" s="37"/>
      <c r="G195" s="37"/>
      <c r="H195" s="44" t="str">
        <f>IFERROR(__xludf.DUMMYFUNCTION("""COMPUTED_VALUE"""),"行銷營運中心:銷售營運部:客戶導入團隊")</f>
        <v>行銷營運中心:銷售營運部:客戶導入團隊</v>
      </c>
      <c r="I195" s="37" t="str">
        <f>IFERROR(__xludf.DUMMYFUNCTION("""COMPUTED_VALUE"""),"資訊裝置")</f>
        <v>資訊裝置</v>
      </c>
      <c r="J195" s="37" t="str">
        <f>IFERROR(__xludf.DUMMYFUNCTION("""COMPUTED_VALUE"""),"AICHIP02301085")</f>
        <v>AICHIP02301085</v>
      </c>
      <c r="K195" s="37" t="str">
        <f>IFERROR(__xludf.DUMMYFUNCTION("""COMPUTED_VALUE"""),"iPad 9")</f>
        <v>iPad 9</v>
      </c>
      <c r="L195" s="37" t="str">
        <f>IFERROR(__xludf.DUMMYFUNCTION("""COMPUTED_VALUE"""),"DJ910QD27Q")</f>
        <v>DJ910QD27Q</v>
      </c>
      <c r="M195" s="37" t="str">
        <f>IFERROR(__xludf.DUMMYFUNCTION("""COMPUTED_VALUE"""),"黃品傑")</f>
        <v>黃品傑</v>
      </c>
      <c r="N195" s="44">
        <f>IFERROR(__xludf.DUMMYFUNCTION("""COMPUTED_VALUE"""),44944.0)</f>
        <v>44944</v>
      </c>
      <c r="O195" s="40">
        <f>IFERROR(__xludf.DUMMYFUNCTION("""COMPUTED_VALUE"""),9446.0)</f>
        <v>9446</v>
      </c>
      <c r="P195" s="37" t="str">
        <f>IFERROR(__xludf.DUMMYFUNCTION("""COMPUTED_VALUE"""),"資訊裝置")</f>
        <v>資訊裝置</v>
      </c>
      <c r="Q195" s="37">
        <f>IFERROR(__xludf.DUMMYFUNCTION("""COMPUTED_VALUE"""),36.0)</f>
        <v>36</v>
      </c>
      <c r="R195" s="37">
        <f>IFERROR(__xludf.DUMMYFUNCTION("""COMPUTED_VALUE"""),33.0)</f>
        <v>33</v>
      </c>
      <c r="S195" s="37" t="str">
        <f>IFERROR(__xludf.DUMMYFUNCTION("""COMPUTED_VALUE"""),"NT$8,660")</f>
        <v>NT$8,660</v>
      </c>
      <c r="T195" s="37" t="str">
        <f>IFERROR(__xludf.DUMMYFUNCTION("""COMPUTED_VALUE"""),"iPad (第九代) Wi-Fi 64GB(MK2L3TA/A)")</f>
        <v>iPad (第九代) Wi-Fi 64GB(MK2L3TA/A)</v>
      </c>
      <c r="U195" s="37"/>
      <c r="V195" s="37"/>
      <c r="W195" s="37"/>
      <c r="X195" s="40" t="str">
        <f>IFERROR(__xludf.DUMMYFUNCTION("""COMPUTED_VALUE"""),"")</f>
        <v/>
      </c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</row>
    <row r="196">
      <c r="B196" s="37"/>
      <c r="C196" s="37" t="str">
        <f>IFERROR(__xludf.DUMMYFUNCTION("""COMPUTED_VALUE"""),"滿三年更換")</f>
        <v>滿三年更換</v>
      </c>
      <c r="D196" s="37" t="str">
        <f>IFERROR(__xludf.DUMMYFUNCTION("""COMPUTED_VALUE"""),"TW")</f>
        <v>TW</v>
      </c>
      <c r="E196" s="37"/>
      <c r="F196" s="37"/>
      <c r="G196" s="37"/>
      <c r="H196" s="44" t="str">
        <f>IFERROR(__xludf.DUMMYFUNCTION("""COMPUTED_VALUE"""),"研發中心:軟體工程部:後端團隊")</f>
        <v>研發中心:軟體工程部:後端團隊</v>
      </c>
      <c r="I196" s="37" t="str">
        <f>IFERROR(__xludf.DUMMYFUNCTION("""COMPUTED_VALUE"""),"資訊裝置")</f>
        <v>資訊裝置</v>
      </c>
      <c r="J196" s="37" t="str">
        <f>IFERROR(__xludf.DUMMYFUNCTION("""COMPUTED_VALUE"""),"AICHIP01910015")</f>
        <v>AICHIP01910015</v>
      </c>
      <c r="K196" s="37" t="str">
        <f>IFERROR(__xludf.DUMMYFUNCTION("""COMPUTED_VALUE"""),"iPad Air")</f>
        <v>iPad Air</v>
      </c>
      <c r="L196" s="37" t="str">
        <f>IFERROR(__xludf.DUMMYFUNCTION("""COMPUTED_VALUE"""),"DMPZCL7CJMVR")</f>
        <v>DMPZCL7CJMVR</v>
      </c>
      <c r="M196" s="37" t="str">
        <f>IFERROR(__xludf.DUMMYFUNCTION("""COMPUTED_VALUE"""),"黃康庭")</f>
        <v>黃康庭</v>
      </c>
      <c r="N196" s="44">
        <f>IFERROR(__xludf.DUMMYFUNCTION("""COMPUTED_VALUE"""),43769.0)</f>
        <v>43769</v>
      </c>
      <c r="O196" s="40">
        <f>IFERROR(__xludf.DUMMYFUNCTION("""COMPUTED_VALUE"""),9145.0)</f>
        <v>9145</v>
      </c>
      <c r="P196" s="37" t="str">
        <f>IFERROR(__xludf.DUMMYFUNCTION("""COMPUTED_VALUE"""),"資訊裝置")</f>
        <v>資訊裝置</v>
      </c>
      <c r="Q196" s="37">
        <f>IFERROR(__xludf.DUMMYFUNCTION("""COMPUTED_VALUE"""),36.0)</f>
        <v>36</v>
      </c>
      <c r="R196" s="37">
        <f>IFERROR(__xludf.DUMMYFUNCTION("""COMPUTED_VALUE"""),36.0)</f>
        <v>36</v>
      </c>
      <c r="S196" s="37" t="str">
        <f>IFERROR(__xludf.DUMMYFUNCTION("""COMPUTED_VALUE"""),"NT$9,145")</f>
        <v>NT$9,145</v>
      </c>
      <c r="T196" s="37" t="str">
        <f>IFERROR(__xludf.DUMMYFUNCTION("""COMPUTED_VALUE"""),"iPad (第六代) 32GB WiFi(A1893)")</f>
        <v>iPad (第六代) 32GB WiFi(A1893)</v>
      </c>
      <c r="U196" s="37"/>
      <c r="V196" s="37"/>
      <c r="W196" s="37"/>
      <c r="X196" s="40" t="str">
        <f>IFERROR(__xludf.DUMMYFUNCTION("""COMPUTED_VALUE"""),"")</f>
        <v/>
      </c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</row>
    <row r="197">
      <c r="B197" s="37"/>
      <c r="C197" s="37" t="str">
        <f>IFERROR(__xludf.DUMMYFUNCTION("""COMPUTED_VALUE"""),"滿三年更換")</f>
        <v>滿三年更換</v>
      </c>
      <c r="D197" s="37" t="str">
        <f>IFERROR(__xludf.DUMMYFUNCTION("""COMPUTED_VALUE"""),"TW")</f>
        <v>TW</v>
      </c>
      <c r="E197" s="37"/>
      <c r="F197" s="37"/>
      <c r="G197" s="37"/>
      <c r="H197" s="44" t="str">
        <f>IFERROR(__xludf.DUMMYFUNCTION("""COMPUTED_VALUE"""),"研發中心:軟體工程部:後端團隊")</f>
        <v>研發中心:軟體工程部:後端團隊</v>
      </c>
      <c r="I197" s="37" t="str">
        <f>IFERROR(__xludf.DUMMYFUNCTION("""COMPUTED_VALUE"""),"資訊裝置")</f>
        <v>資訊裝置</v>
      </c>
      <c r="J197" s="37" t="str">
        <f>IFERROR(__xludf.DUMMYFUNCTION("""COMPUTED_VALUE"""),"AICHIP02004022")</f>
        <v>AICHIP02004022</v>
      </c>
      <c r="K197" s="37" t="str">
        <f>IFERROR(__xludf.DUMMYFUNCTION("""COMPUTED_VALUE"""),"iPad")</f>
        <v>iPad</v>
      </c>
      <c r="L197" s="37" t="str">
        <f>IFERROR(__xludf.DUMMYFUNCTION("""COMPUTED_VALUE"""),"DMPZCED5JMVR")</f>
        <v>DMPZCED5JMVR</v>
      </c>
      <c r="M197" s="37" t="str">
        <f>IFERROR(__xludf.DUMMYFUNCTION("""COMPUTED_VALUE"""),"黃康庭")</f>
        <v>黃康庭</v>
      </c>
      <c r="N197" s="44">
        <f>IFERROR(__xludf.DUMMYFUNCTION("""COMPUTED_VALUE"""),43944.0)</f>
        <v>43944</v>
      </c>
      <c r="O197" s="40">
        <f>IFERROR(__xludf.DUMMYFUNCTION("""COMPUTED_VALUE"""),8754.0)</f>
        <v>8754</v>
      </c>
      <c r="P197" s="37" t="str">
        <f>IFERROR(__xludf.DUMMYFUNCTION("""COMPUTED_VALUE"""),"資訊裝置")</f>
        <v>資訊裝置</v>
      </c>
      <c r="Q197" s="37">
        <f>IFERROR(__xludf.DUMMYFUNCTION("""COMPUTED_VALUE"""),36.0)</f>
        <v>36</v>
      </c>
      <c r="R197" s="37">
        <f>IFERROR(__xludf.DUMMYFUNCTION("""COMPUTED_VALUE"""),36.0)</f>
        <v>36</v>
      </c>
      <c r="S197" s="37" t="str">
        <f>IFERROR(__xludf.DUMMYFUNCTION("""COMPUTED_VALUE"""),"NT$8,754")</f>
        <v>NT$8,754</v>
      </c>
      <c r="T197" s="37" t="str">
        <f>IFERROR(__xludf.DUMMYFUNCTION("""COMPUTED_VALUE"""),"iPad (第六代) 32GB WiFi(A1893)")</f>
        <v>iPad (第六代) 32GB WiFi(A1893)</v>
      </c>
      <c r="U197" s="37"/>
      <c r="V197" s="37"/>
      <c r="W197" s="37"/>
      <c r="X197" s="40" t="str">
        <f>IFERROR(__xludf.DUMMYFUNCTION("""COMPUTED_VALUE"""),"")</f>
        <v/>
      </c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</row>
    <row r="198">
      <c r="B198" s="37"/>
      <c r="C198" s="37" t="str">
        <f>IFERROR(__xludf.DUMMYFUNCTION("""COMPUTED_VALUE"""),"滿三年更換")</f>
        <v>滿三年更換</v>
      </c>
      <c r="D198" s="37" t="str">
        <f>IFERROR(__xludf.DUMMYFUNCTION("""COMPUTED_VALUE"""),"TW")</f>
        <v>TW</v>
      </c>
      <c r="E198" s="37"/>
      <c r="F198" s="37"/>
      <c r="G198" s="37"/>
      <c r="H198" s="44" t="str">
        <f>IFERROR(__xludf.DUMMYFUNCTION("""COMPUTED_VALUE"""),"研發中心:軟體工程部:後端團隊")</f>
        <v>研發中心:軟體工程部:後端團隊</v>
      </c>
      <c r="I198" s="37" t="str">
        <f>IFERROR(__xludf.DUMMYFUNCTION("""COMPUTED_VALUE"""),"資訊裝置")</f>
        <v>資訊裝置</v>
      </c>
      <c r="J198" s="37" t="str">
        <f>IFERROR(__xludf.DUMMYFUNCTION("""COMPUTED_VALUE"""),"AICHMN02207117")</f>
        <v>AICHMN02207117</v>
      </c>
      <c r="K198" s="37" t="str">
        <f>IFERROR(__xludf.DUMMYFUNCTION("""COMPUTED_VALUE"""),"螢幕")</f>
        <v>螢幕</v>
      </c>
      <c r="L198" s="37" t="str">
        <f>IFERROR(__xludf.DUMMYFUNCTION("""COMPUTED_VALUE"""),"N4LMTF079651")</f>
        <v>N4LMTF079651</v>
      </c>
      <c r="M198" s="37" t="str">
        <f>IFERROR(__xludf.DUMMYFUNCTION("""COMPUTED_VALUE"""),"黃康庭")</f>
        <v>黃康庭</v>
      </c>
      <c r="N198" s="44">
        <f>IFERROR(__xludf.DUMMYFUNCTION("""COMPUTED_VALUE"""),44749.0)</f>
        <v>44749</v>
      </c>
      <c r="O198" s="40">
        <f>IFERROR(__xludf.DUMMYFUNCTION("""COMPUTED_VALUE"""),9818.0)</f>
        <v>9818</v>
      </c>
      <c r="P198" s="37" t="str">
        <f>IFERROR(__xludf.DUMMYFUNCTION("""COMPUTED_VALUE"""),"資訊裝置")</f>
        <v>資訊裝置</v>
      </c>
      <c r="Q198" s="37">
        <f>IFERROR(__xludf.DUMMYFUNCTION("""COMPUTED_VALUE"""),36.0)</f>
        <v>36</v>
      </c>
      <c r="R198" s="37">
        <f>IFERROR(__xludf.DUMMYFUNCTION("""COMPUTED_VALUE"""),36.0)</f>
        <v>36</v>
      </c>
      <c r="S198" s="37" t="str">
        <f>IFERROR(__xludf.DUMMYFUNCTION("""COMPUTED_VALUE"""),"NT$9,818")</f>
        <v>NT$9,818</v>
      </c>
      <c r="T198" s="37" t="str">
        <f>IFERROR(__xludf.DUMMYFUNCTION("""COMPUTED_VALUE"""),"ASUS 28吋 VG289")</f>
        <v>ASUS 28吋 VG289</v>
      </c>
      <c r="U198" s="37"/>
      <c r="V198" s="37"/>
      <c r="W198" s="37"/>
      <c r="X198" s="40" t="str">
        <f>IFERROR(__xludf.DUMMYFUNCTION("""COMPUTED_VALUE"""),"")</f>
        <v/>
      </c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</row>
    <row r="199">
      <c r="B199" s="37"/>
      <c r="C199" s="37" t="str">
        <f>IFERROR(__xludf.DUMMYFUNCTION("""COMPUTED_VALUE"""),"滿三年更換")</f>
        <v>滿三年更換</v>
      </c>
      <c r="D199" s="37" t="str">
        <f>IFERROR(__xludf.DUMMYFUNCTION("""COMPUTED_VALUE"""),"TW")</f>
        <v>TW</v>
      </c>
      <c r="E199" s="37"/>
      <c r="F199" s="37"/>
      <c r="G199" s="37"/>
      <c r="H199" s="44" t="str">
        <f>IFERROR(__xludf.DUMMYFUNCTION("""COMPUTED_VALUE"""),"研發中心:軟體工程部:IOS團隊")</f>
        <v>研發中心:軟體工程部:IOS團隊</v>
      </c>
      <c r="I199" s="37" t="str">
        <f>IFERROR(__xludf.DUMMYFUNCTION("""COMPUTED_VALUE"""),"資訊裝置")</f>
        <v>資訊裝置</v>
      </c>
      <c r="J199" s="37" t="str">
        <f>IFERROR(__xludf.DUMMYFUNCTION("""COMPUTED_VALUE"""),"AICHIP02004023")</f>
        <v>AICHIP02004023</v>
      </c>
      <c r="K199" s="37" t="str">
        <f>IFERROR(__xludf.DUMMYFUNCTION("""COMPUTED_VALUE"""),"iPad")</f>
        <v>iPad</v>
      </c>
      <c r="L199" s="37" t="str">
        <f>IFERROR(__xludf.DUMMYFUNCTION("""COMPUTED_VALUE"""),"DMPZPKEWMF3P")</f>
        <v>DMPZPKEWMF3P</v>
      </c>
      <c r="M199" s="37" t="str">
        <f>IFERROR(__xludf.DUMMYFUNCTION("""COMPUTED_VALUE"""),"黃喬")</f>
        <v>黃喬</v>
      </c>
      <c r="N199" s="44">
        <f>IFERROR(__xludf.DUMMYFUNCTION("""COMPUTED_VALUE"""),43944.0)</f>
        <v>43944</v>
      </c>
      <c r="O199" s="40">
        <f>IFERROR(__xludf.DUMMYFUNCTION("""COMPUTED_VALUE"""),8754.0)</f>
        <v>8754</v>
      </c>
      <c r="P199" s="37" t="str">
        <f>IFERROR(__xludf.DUMMYFUNCTION("""COMPUTED_VALUE"""),"資訊裝置")</f>
        <v>資訊裝置</v>
      </c>
      <c r="Q199" s="37">
        <f>IFERROR(__xludf.DUMMYFUNCTION("""COMPUTED_VALUE"""),36.0)</f>
        <v>36</v>
      </c>
      <c r="R199" s="37">
        <f>IFERROR(__xludf.DUMMYFUNCTION("""COMPUTED_VALUE"""),36.0)</f>
        <v>36</v>
      </c>
      <c r="S199" s="37" t="str">
        <f>IFERROR(__xludf.DUMMYFUNCTION("""COMPUTED_VALUE"""),"NT$8,754")</f>
        <v>NT$8,754</v>
      </c>
      <c r="T199" s="37" t="str">
        <f>IFERROR(__xludf.DUMMYFUNCTION("""COMPUTED_VALUE"""),"iPad (第七代) 32GB WIFI(MW762TA/A)")</f>
        <v>iPad (第七代) 32GB WIFI(MW762TA/A)</v>
      </c>
      <c r="U199" s="37"/>
      <c r="V199" s="37"/>
      <c r="W199" s="37"/>
      <c r="X199" s="40" t="str">
        <f>IFERROR(__xludf.DUMMYFUNCTION("""COMPUTED_VALUE"""),"")</f>
        <v/>
      </c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</row>
    <row r="200">
      <c r="B200" s="37"/>
      <c r="C200" s="37" t="str">
        <f>IFERROR(__xludf.DUMMYFUNCTION("""COMPUTED_VALUE"""),"滿三年更換")</f>
        <v>滿三年更換</v>
      </c>
      <c r="D200" s="37" t="str">
        <f>IFERROR(__xludf.DUMMYFUNCTION("""COMPUTED_VALUE"""),"TW")</f>
        <v>TW</v>
      </c>
      <c r="E200" s="37"/>
      <c r="F200" s="37"/>
      <c r="G200" s="37"/>
      <c r="H200" s="44" t="str">
        <f>IFERROR(__xludf.DUMMYFUNCTION("""COMPUTED_VALUE"""),"研發中心:軟體工程部:IOS團隊")</f>
        <v>研發中心:軟體工程部:IOS團隊</v>
      </c>
      <c r="I200" s="37" t="str">
        <f>IFERROR(__xludf.DUMMYFUNCTION("""COMPUTED_VALUE"""),"資訊裝置")</f>
        <v>資訊裝置</v>
      </c>
      <c r="J200" s="37" t="str">
        <f>IFERROR(__xludf.DUMMYFUNCTION("""COMPUTED_VALUE"""),"AICHMN01811050")</f>
        <v>AICHMN01811050</v>
      </c>
      <c r="K200" s="37" t="str">
        <f>IFERROR(__xludf.DUMMYFUNCTION("""COMPUTED_VALUE"""),"螢幕")</f>
        <v>螢幕</v>
      </c>
      <c r="L200" s="37" t="str">
        <f>IFERROR(__xludf.DUMMYFUNCTION("""COMPUTED_VALUE"""),"CN-043D22-TV100-8CJ-02YB-A06")</f>
        <v>CN-043D22-TV100-8CJ-02YB-A06</v>
      </c>
      <c r="M200" s="37" t="str">
        <f>IFERROR(__xludf.DUMMYFUNCTION("""COMPUTED_VALUE"""),"黃喬")</f>
        <v>黃喬</v>
      </c>
      <c r="N200" s="45">
        <f>IFERROR(__xludf.DUMMYFUNCTION("""COMPUTED_VALUE"""),43389.0)</f>
        <v>43389</v>
      </c>
      <c r="O200" s="40">
        <f>IFERROR(__xludf.DUMMYFUNCTION("""COMPUTED_VALUE"""),39284.0)</f>
        <v>39284</v>
      </c>
      <c r="P200" s="37" t="str">
        <f>IFERROR(__xludf.DUMMYFUNCTION("""COMPUTED_VALUE"""),"資訊裝置")</f>
        <v>資訊裝置</v>
      </c>
      <c r="Q200" s="37">
        <f>IFERROR(__xludf.DUMMYFUNCTION("""COMPUTED_VALUE"""),36.0)</f>
        <v>36</v>
      </c>
      <c r="R200" s="37">
        <f>IFERROR(__xludf.DUMMYFUNCTION("""COMPUTED_VALUE"""),36.0)</f>
        <v>36</v>
      </c>
      <c r="S200" s="37" t="str">
        <f>IFERROR(__xludf.DUMMYFUNCTION("""COMPUTED_VALUE"""),"NT$39,284")</f>
        <v>NT$39,284</v>
      </c>
      <c r="T200" s="37" t="str">
        <f>IFERROR(__xludf.DUMMYFUNCTION("""COMPUTED_VALUE"""),"Dell 24吋 SE2416H")</f>
        <v>Dell 24吋 SE2416H</v>
      </c>
      <c r="U200" s="37"/>
      <c r="V200" s="37"/>
      <c r="W200" s="37"/>
      <c r="X200" s="40" t="str">
        <f>IFERROR(__xludf.DUMMYFUNCTION("""COMPUTED_VALUE"""),"")</f>
        <v/>
      </c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</row>
    <row r="201">
      <c r="B201" s="37"/>
      <c r="C201" s="37" t="str">
        <f>IFERROR(__xludf.DUMMYFUNCTION("""COMPUTED_VALUE"""),"滿三年更換")</f>
        <v>滿三年更換</v>
      </c>
      <c r="D201" s="37" t="str">
        <f>IFERROR(__xludf.DUMMYFUNCTION("""COMPUTED_VALUE"""),"TW")</f>
        <v>TW</v>
      </c>
      <c r="E201" s="37"/>
      <c r="F201" s="37"/>
      <c r="G201" s="37"/>
      <c r="H201" s="44" t="str">
        <f>IFERROR(__xludf.DUMMYFUNCTION("""COMPUTED_VALUE"""),"研發中心:軟體工程部:IOS團隊")</f>
        <v>研發中心:軟體工程部:IOS團隊</v>
      </c>
      <c r="I201" s="37" t="str">
        <f>IFERROR(__xludf.DUMMYFUNCTION("""COMPUTED_VALUE"""),"資訊裝置")</f>
        <v>資訊裝置</v>
      </c>
      <c r="J201" s="37" t="str">
        <f>IFERROR(__xludf.DUMMYFUNCTION("""COMPUTED_VALUE"""),"AICHMN02103098")</f>
        <v>AICHMN02103098</v>
      </c>
      <c r="K201" s="37" t="str">
        <f>IFERROR(__xludf.DUMMYFUNCTION("""COMPUTED_VALUE"""),"螢幕")</f>
        <v>螢幕</v>
      </c>
      <c r="L201" s="37" t="str">
        <f>IFERROR(__xludf.DUMMYFUNCTION("""COMPUTED_VALUE"""),"CN-0TN0V4-WSL00-0B2-BBYB-A11")</f>
        <v>CN-0TN0V4-WSL00-0B2-BBYB-A11</v>
      </c>
      <c r="M201" s="37" t="str">
        <f>IFERROR(__xludf.DUMMYFUNCTION("""COMPUTED_VALUE"""),"黃喬")</f>
        <v>黃喬</v>
      </c>
      <c r="N201" s="44">
        <f>IFERROR(__xludf.DUMMYFUNCTION("""COMPUTED_VALUE"""),44266.0)</f>
        <v>44266</v>
      </c>
      <c r="O201" s="40">
        <f>IFERROR(__xludf.DUMMYFUNCTION("""COMPUTED_VALUE"""),9374.0)</f>
        <v>9374</v>
      </c>
      <c r="P201" s="37" t="str">
        <f>IFERROR(__xludf.DUMMYFUNCTION("""COMPUTED_VALUE"""),"資訊裝置")</f>
        <v>資訊裝置</v>
      </c>
      <c r="Q201" s="37">
        <f>IFERROR(__xludf.DUMMYFUNCTION("""COMPUTED_VALUE"""),36.0)</f>
        <v>36</v>
      </c>
      <c r="R201" s="37">
        <f>IFERROR(__xludf.DUMMYFUNCTION("""COMPUTED_VALUE"""),36.0)</f>
        <v>36</v>
      </c>
      <c r="S201" s="37" t="str">
        <f>IFERROR(__xludf.DUMMYFUNCTION("""COMPUTED_VALUE"""),"NT$9,374")</f>
        <v>NT$9,374</v>
      </c>
      <c r="T201" s="37" t="str">
        <f>IFERROR(__xludf.DUMMYFUNCTION("""COMPUTED_VALUE"""),"Dell 27吋 P2719H")</f>
        <v>Dell 27吋 P2719H</v>
      </c>
      <c r="U201" s="37"/>
      <c r="V201" s="37"/>
      <c r="W201" s="37"/>
      <c r="X201" s="40" t="str">
        <f>IFERROR(__xludf.DUMMYFUNCTION("""COMPUTED_VALUE"""),"")</f>
        <v/>
      </c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</row>
    <row r="202">
      <c r="B202" s="37"/>
      <c r="C202" s="37" t="str">
        <f>IFERROR(__xludf.DUMMYFUNCTION("""COMPUTED_VALUE"""),"滿三年更換")</f>
        <v>滿三年更換</v>
      </c>
      <c r="D202" s="37" t="str">
        <f>IFERROR(__xludf.DUMMYFUNCTION("""COMPUTED_VALUE"""),"TW")</f>
        <v>TW</v>
      </c>
      <c r="E202" s="37"/>
      <c r="F202" s="37"/>
      <c r="G202" s="37"/>
      <c r="H202" s="44" t="str">
        <f>IFERROR(__xludf.DUMMYFUNCTION("""COMPUTED_VALUE"""),"行銷營運中心:社群關係部:餐廳社群團隊")</f>
        <v>行銷營運中心:社群關係部:餐廳社群團隊</v>
      </c>
      <c r="I202" s="37" t="str">
        <f>IFERROR(__xludf.DUMMYFUNCTION("""COMPUTED_VALUE"""),"資訊裝置")</f>
        <v>資訊裝置</v>
      </c>
      <c r="J202" s="37" t="str">
        <f>IFERROR(__xludf.DUMMYFUNCTION("""COMPUTED_VALUE"""),"AICHMP02108038")</f>
        <v>AICHMP02108038</v>
      </c>
      <c r="K202" s="37" t="str">
        <f>IFERROR(__xludf.DUMMYFUNCTION("""COMPUTED_VALUE"""),"Macbook Pro")</f>
        <v>Macbook Pro</v>
      </c>
      <c r="L202" s="37" t="str">
        <f>IFERROR(__xludf.DUMMYFUNCTION("""COMPUTED_VALUE"""),"C02G61DQ05N")</f>
        <v>C02G61DQ05N</v>
      </c>
      <c r="M202" s="37" t="str">
        <f>IFERROR(__xludf.DUMMYFUNCTION("""COMPUTED_VALUE"""),"黃晴之")</f>
        <v>黃晴之</v>
      </c>
      <c r="N202" s="44">
        <f>IFERROR(__xludf.DUMMYFUNCTION("""COMPUTED_VALUE"""),44418.0)</f>
        <v>44418</v>
      </c>
      <c r="O202" s="40">
        <f>IFERROR(__xludf.DUMMYFUNCTION("""COMPUTED_VALUE"""),40300.0)</f>
        <v>40300</v>
      </c>
      <c r="P202" s="37" t="str">
        <f>IFERROR(__xludf.DUMMYFUNCTION("""COMPUTED_VALUE"""),"資訊裝置")</f>
        <v>資訊裝置</v>
      </c>
      <c r="Q202" s="37">
        <f>IFERROR(__xludf.DUMMYFUNCTION("""COMPUTED_VALUE"""),36.0)</f>
        <v>36</v>
      </c>
      <c r="R202" s="37">
        <f>IFERROR(__xludf.DUMMYFUNCTION("""COMPUTED_VALUE"""),36.0)</f>
        <v>36</v>
      </c>
      <c r="S202" s="37" t="str">
        <f>IFERROR(__xludf.DUMMYFUNCTION("""COMPUTED_VALUE"""),"NT$40,300")</f>
        <v>NT$40,300</v>
      </c>
      <c r="T202" s="37" t="str">
        <f>IFERROR(__xludf.DUMMYFUNCTION("""COMPUTED_VALUE"""),"MBP13 (2020) M1/16GBRAM/256GBSSD")</f>
        <v>MBP13 (2020) M1/16GBRAM/256GBSSD</v>
      </c>
      <c r="U202" s="37"/>
      <c r="V202" s="37"/>
      <c r="W202" s="37"/>
      <c r="X202" s="40" t="str">
        <f>IFERROR(__xludf.DUMMYFUNCTION("""COMPUTED_VALUE"""),"")</f>
        <v/>
      </c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</row>
    <row r="203">
      <c r="B203" s="37"/>
      <c r="C203" s="37" t="str">
        <f>IFERROR(__xludf.DUMMYFUNCTION("""COMPUTED_VALUE"""),"滿三年更換")</f>
        <v>滿三年更換</v>
      </c>
      <c r="D203" s="37" t="str">
        <f>IFERROR(__xludf.DUMMYFUNCTION("""COMPUTED_VALUE"""),"TW")</f>
        <v>TW</v>
      </c>
      <c r="E203" s="37"/>
      <c r="F203" s="37"/>
      <c r="G203" s="37"/>
      <c r="H203" s="44" t="str">
        <f>IFERROR(__xludf.DUMMYFUNCTION("""COMPUTED_VALUE"""),"行銷營運中心:社群關係部:餐廳社群團隊")</f>
        <v>行銷營運中心:社群關係部:餐廳社群團隊</v>
      </c>
      <c r="I203" s="37" t="str">
        <f>IFERROR(__xludf.DUMMYFUNCTION("""COMPUTED_VALUE"""),"資訊裝置")</f>
        <v>資訊裝置</v>
      </c>
      <c r="J203" s="37" t="str">
        <f>IFERROR(__xludf.DUMMYFUNCTION("""COMPUTED_VALUE"""),"AICHIP01904013")</f>
        <v>AICHIP01904013</v>
      </c>
      <c r="K203" s="37" t="str">
        <f>IFERROR(__xludf.DUMMYFUNCTION("""COMPUTED_VALUE"""),"iPad 6")</f>
        <v>iPad 6</v>
      </c>
      <c r="L203" s="37" t="str">
        <f>IFERROR(__xludf.DUMMYFUNCTION("""COMPUTED_VALUE"""),"DMPXW4FTJMVR")</f>
        <v>DMPXW4FTJMVR</v>
      </c>
      <c r="M203" s="37" t="str">
        <f>IFERROR(__xludf.DUMMYFUNCTION("""COMPUTED_VALUE"""),"黃晴之")</f>
        <v>黃晴之</v>
      </c>
      <c r="N203" s="44">
        <f>IFERROR(__xludf.DUMMYFUNCTION("""COMPUTED_VALUE"""),43555.0)</f>
        <v>43555</v>
      </c>
      <c r="O203" s="40">
        <f>IFERROR(__xludf.DUMMYFUNCTION("""COMPUTED_VALUE"""),9529.0)</f>
        <v>9529</v>
      </c>
      <c r="P203" s="37" t="str">
        <f>IFERROR(__xludf.DUMMYFUNCTION("""COMPUTED_VALUE"""),"資訊裝置")</f>
        <v>資訊裝置</v>
      </c>
      <c r="Q203" s="37">
        <f>IFERROR(__xludf.DUMMYFUNCTION("""COMPUTED_VALUE"""),36.0)</f>
        <v>36</v>
      </c>
      <c r="R203" s="37">
        <f>IFERROR(__xludf.DUMMYFUNCTION("""COMPUTED_VALUE"""),36.0)</f>
        <v>36</v>
      </c>
      <c r="S203" s="37" t="str">
        <f>IFERROR(__xludf.DUMMYFUNCTION("""COMPUTED_VALUE"""),"NT$9,529")</f>
        <v>NT$9,529</v>
      </c>
      <c r="T203" s="37" t="str">
        <f>IFERROR(__xludf.DUMMYFUNCTION("""COMPUTED_VALUE"""),"iPad (第六代) Wi-Fi 32GB(MRJN2TA/A)")</f>
        <v>iPad (第六代) Wi-Fi 32GB(MRJN2TA/A)</v>
      </c>
      <c r="U203" s="37"/>
      <c r="V203" s="37"/>
      <c r="W203" s="37"/>
      <c r="X203" s="40" t="str">
        <f>IFERROR(__xludf.DUMMYFUNCTION("""COMPUTED_VALUE"""),"")</f>
        <v/>
      </c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</row>
    <row r="204">
      <c r="B204" s="37"/>
      <c r="C204" s="37" t="str">
        <f>IFERROR(__xludf.DUMMYFUNCTION("""COMPUTED_VALUE"""),"滿三年更換")</f>
        <v>滿三年更換</v>
      </c>
      <c r="D204" s="37" t="str">
        <f>IFERROR(__xludf.DUMMYFUNCTION("""COMPUTED_VALUE"""),"TW")</f>
        <v>TW</v>
      </c>
      <c r="E204" s="37"/>
      <c r="F204" s="37"/>
      <c r="G204" s="37"/>
      <c r="H204" s="44" t="str">
        <f>IFERROR(__xludf.DUMMYFUNCTION("""COMPUTED_VALUE"""),"行銷營運中心:社群關係部:餐廳社群團隊")</f>
        <v>行銷營運中心:社群關係部:餐廳社群團隊</v>
      </c>
      <c r="I204" s="37" t="str">
        <f>IFERROR(__xludf.DUMMYFUNCTION("""COMPUTED_VALUE"""),"資訊裝置")</f>
        <v>資訊裝置</v>
      </c>
      <c r="J204" s="37" t="str">
        <f>IFERROR(__xludf.DUMMYFUNCTION("""COMPUTED_VALUE"""),"AICHMN02201110")</f>
        <v>AICHMN02201110</v>
      </c>
      <c r="K204" s="37" t="str">
        <f>IFERROR(__xludf.DUMMYFUNCTION("""COMPUTED_VALUE"""),"螢幕")</f>
        <v>螢幕</v>
      </c>
      <c r="L204" s="37" t="str">
        <f>IFERROR(__xludf.DUMMYFUNCTION("""COMPUTED_VALUE"""),"CN-0RCKX9-TV200-1AS-02NV-A01")</f>
        <v>CN-0RCKX9-TV200-1AS-02NV-A01</v>
      </c>
      <c r="M204" s="37" t="str">
        <f>IFERROR(__xludf.DUMMYFUNCTION("""COMPUTED_VALUE"""),"黃晴之")</f>
        <v>黃晴之</v>
      </c>
      <c r="N204" s="44">
        <f>IFERROR(__xludf.DUMMYFUNCTION("""COMPUTED_VALUE"""),44585.0)</f>
        <v>44585</v>
      </c>
      <c r="O204" s="40">
        <f>IFERROR(__xludf.DUMMYFUNCTION("""COMPUTED_VALUE"""),4370.0)</f>
        <v>4370</v>
      </c>
      <c r="P204" s="37" t="str">
        <f>IFERROR(__xludf.DUMMYFUNCTION("""COMPUTED_VALUE"""),"資訊裝置")</f>
        <v>資訊裝置</v>
      </c>
      <c r="Q204" s="37">
        <f>IFERROR(__xludf.DUMMYFUNCTION("""COMPUTED_VALUE"""),36.0)</f>
        <v>36</v>
      </c>
      <c r="R204" s="37">
        <f>IFERROR(__xludf.DUMMYFUNCTION("""COMPUTED_VALUE"""),36.0)</f>
        <v>36</v>
      </c>
      <c r="S204" s="37" t="str">
        <f>IFERROR(__xludf.DUMMYFUNCTION("""COMPUTED_VALUE"""),"NT$4,370")</f>
        <v>NT$4,370</v>
      </c>
      <c r="T204" s="37" t="str">
        <f>IFERROR(__xludf.DUMMYFUNCTION("""COMPUTED_VALUE"""),"Dell 27吋 SE2722H")</f>
        <v>Dell 27吋 SE2722H</v>
      </c>
      <c r="U204" s="37"/>
      <c r="V204" s="37"/>
      <c r="W204" s="37"/>
      <c r="X204" s="40" t="str">
        <f>IFERROR(__xludf.DUMMYFUNCTION("""COMPUTED_VALUE"""),"")</f>
        <v/>
      </c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</row>
    <row r="205">
      <c r="B205" s="37"/>
      <c r="C205" s="37" t="str">
        <f>IFERROR(__xludf.DUMMYFUNCTION("""COMPUTED_VALUE"""),"滿三年更換")</f>
        <v>滿三年更換</v>
      </c>
      <c r="D205" s="37" t="str">
        <f>IFERROR(__xludf.DUMMYFUNCTION("""COMPUTED_VALUE"""),"TW")</f>
        <v>TW</v>
      </c>
      <c r="E205" s="37"/>
      <c r="F205" s="37"/>
      <c r="G205" s="37"/>
      <c r="H205" s="44" t="str">
        <f>IFERROR(__xludf.DUMMYFUNCTION("""COMPUTED_VALUE"""),"研發中心:軟體工程部:前端團隊")</f>
        <v>研發中心:軟體工程部:前端團隊</v>
      </c>
      <c r="I205" s="37" t="str">
        <f>IFERROR(__xludf.DUMMYFUNCTION("""COMPUTED_VALUE"""),"資訊裝置")</f>
        <v>資訊裝置</v>
      </c>
      <c r="J205" s="37" t="str">
        <f>IFERROR(__xludf.DUMMYFUNCTION("""COMPUTED_VALUE"""),"AICHMP02212053")</f>
        <v>AICHMP02212053</v>
      </c>
      <c r="K205" s="37" t="str">
        <f>IFERROR(__xludf.DUMMYFUNCTION("""COMPUTED_VALUE"""),"Macbook Pro")</f>
        <v>Macbook Pro</v>
      </c>
      <c r="L205" s="37" t="str">
        <f>IFERROR(__xludf.DUMMYFUNCTION("""COMPUTED_VALUE"""),"WKHKXWN72M")</f>
        <v>WKHKXWN72M</v>
      </c>
      <c r="M205" s="37" t="str">
        <f>IFERROR(__xludf.DUMMYFUNCTION("""COMPUTED_VALUE"""),"黃駿朋")</f>
        <v>黃駿朋</v>
      </c>
      <c r="N205" s="44">
        <f>IFERROR(__xludf.DUMMYFUNCTION("""COMPUTED_VALUE"""),44915.0)</f>
        <v>44915</v>
      </c>
      <c r="O205" s="40">
        <f>IFERROR(__xludf.DUMMYFUNCTION("""COMPUTED_VALUE"""),76550.0)</f>
        <v>76550</v>
      </c>
      <c r="P205" s="37" t="str">
        <f>IFERROR(__xludf.DUMMYFUNCTION("""COMPUTED_VALUE"""),"資訊裝置")</f>
        <v>資訊裝置</v>
      </c>
      <c r="Q205" s="37">
        <f>IFERROR(__xludf.DUMMYFUNCTION("""COMPUTED_VALUE"""),36.0)</f>
        <v>36</v>
      </c>
      <c r="R205" s="37">
        <f>IFERROR(__xludf.DUMMYFUNCTION("""COMPUTED_VALUE"""),34.0)</f>
        <v>34</v>
      </c>
      <c r="S205" s="37" t="str">
        <f>IFERROR(__xludf.DUMMYFUNCTION("""COMPUTED_VALUE"""),"NT$72,298")</f>
        <v>NT$72,298</v>
      </c>
      <c r="T205" s="37" t="str">
        <f>IFERROR(__xludf.DUMMYFUNCTION("""COMPUTED_VALUE"""),"A2485 MBP16 (2021) M1Pro/32GBRAM/512GBSSD")</f>
        <v>A2485 MBP16 (2021) M1Pro/32GBRAM/512GBSSD</v>
      </c>
      <c r="U205" s="37"/>
      <c r="V205" s="37"/>
      <c r="W205" s="37"/>
      <c r="X205" s="40" t="str">
        <f>IFERROR(__xludf.DUMMYFUNCTION("""COMPUTED_VALUE"""),"")</f>
        <v/>
      </c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</row>
    <row r="206">
      <c r="B206" s="37"/>
      <c r="C206" s="37" t="str">
        <f>IFERROR(__xludf.DUMMYFUNCTION("""COMPUTED_VALUE"""),"滿三年更換")</f>
        <v>滿三年更換</v>
      </c>
      <c r="D206" s="37" t="str">
        <f>IFERROR(__xludf.DUMMYFUNCTION("""COMPUTED_VALUE"""),"TW")</f>
        <v>TW</v>
      </c>
      <c r="E206" s="37"/>
      <c r="F206" s="37"/>
      <c r="G206" s="37"/>
      <c r="H206" s="44" t="str">
        <f>IFERROR(__xludf.DUMMYFUNCTION("""COMPUTED_VALUE"""),"研發中心:軟體工程部:前端團隊")</f>
        <v>研發中心:軟體工程部:前端團隊</v>
      </c>
      <c r="I206" s="37" t="str">
        <f>IFERROR(__xludf.DUMMYFUNCTION("""COMPUTED_VALUE"""),"資訊裝置")</f>
        <v>資訊裝置</v>
      </c>
      <c r="J206" s="37" t="str">
        <f>IFERROR(__xludf.DUMMYFUNCTION("""COMPUTED_VALUE"""),"AICHMN01910062")</f>
        <v>AICHMN01910062</v>
      </c>
      <c r="K206" s="37" t="str">
        <f>IFERROR(__xludf.DUMMYFUNCTION("""COMPUTED_VALUE"""),"螢幕")</f>
        <v>螢幕</v>
      </c>
      <c r="L206" s="37" t="str">
        <f>IFERROR(__xludf.DUMMYFUNCTION("""COMPUTED_VALUE"""),"CN-07N2FG-TV100-95R-05JB-A10")</f>
        <v>CN-07N2FG-TV100-95R-05JB-A10</v>
      </c>
      <c r="M206" s="37" t="str">
        <f>IFERROR(__xludf.DUMMYFUNCTION("""COMPUTED_VALUE"""),"黃駿朋")</f>
        <v>黃駿朋</v>
      </c>
      <c r="N206" s="45">
        <f>IFERROR(__xludf.DUMMYFUNCTION("""COMPUTED_VALUE"""),43769.0)</f>
        <v>43769</v>
      </c>
      <c r="O206" s="40">
        <f>IFERROR(__xludf.DUMMYFUNCTION("""COMPUTED_VALUE"""),3607.0)</f>
        <v>3607</v>
      </c>
      <c r="P206" s="37" t="str">
        <f>IFERROR(__xludf.DUMMYFUNCTION("""COMPUTED_VALUE"""),"資訊裝置")</f>
        <v>資訊裝置</v>
      </c>
      <c r="Q206" s="37">
        <f>IFERROR(__xludf.DUMMYFUNCTION("""COMPUTED_VALUE"""),36.0)</f>
        <v>36</v>
      </c>
      <c r="R206" s="37">
        <f>IFERROR(__xludf.DUMMYFUNCTION("""COMPUTED_VALUE"""),36.0)</f>
        <v>36</v>
      </c>
      <c r="S206" s="37" t="str">
        <f>IFERROR(__xludf.DUMMYFUNCTION("""COMPUTED_VALUE"""),"NT$3,607")</f>
        <v>NT$3,607</v>
      </c>
      <c r="T206" s="37" t="str">
        <f>IFERROR(__xludf.DUMMYFUNCTION("""COMPUTED_VALUE"""),"Dell 24吋 U2412Mc")</f>
        <v>Dell 24吋 U2412Mc</v>
      </c>
      <c r="U206" s="37"/>
      <c r="V206" s="37"/>
      <c r="W206" s="37"/>
      <c r="X206" s="40" t="str">
        <f>IFERROR(__xludf.DUMMYFUNCTION("""COMPUTED_VALUE"""),"")</f>
        <v/>
      </c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</row>
    <row r="207">
      <c r="B207" s="37"/>
      <c r="C207" s="37" t="str">
        <f>IFERROR(__xludf.DUMMYFUNCTION("""COMPUTED_VALUE"""),"滿三年更換")</f>
        <v>滿三年更換</v>
      </c>
      <c r="D207" s="37" t="str">
        <f>IFERROR(__xludf.DUMMYFUNCTION("""COMPUTED_VALUE"""),"TW")</f>
        <v>TW</v>
      </c>
      <c r="E207" s="37"/>
      <c r="F207" s="37"/>
      <c r="G207" s="37"/>
      <c r="H207" s="44" t="str">
        <f>IFERROR(__xludf.DUMMYFUNCTION("""COMPUTED_VALUE"""),"研發中心:軟體工程部:前端團隊")</f>
        <v>研發中心:軟體工程部:前端團隊</v>
      </c>
      <c r="I207" s="37" t="str">
        <f>IFERROR(__xludf.DUMMYFUNCTION("""COMPUTED_VALUE"""),"資訊裝置")</f>
        <v>資訊裝置</v>
      </c>
      <c r="J207" s="37" t="str">
        <f>IFERROR(__xludf.DUMMYFUNCTION("""COMPUTED_VALUE"""),"AICHMN02211120")</f>
        <v>AICHMN02211120</v>
      </c>
      <c r="K207" s="37" t="str">
        <f>IFERROR(__xludf.DUMMYFUNCTION("""COMPUTED_VALUE"""),"螢幕")</f>
        <v>螢幕</v>
      </c>
      <c r="L207" s="37" t="str">
        <f>IFERROR(__xludf.DUMMYFUNCTION("""COMPUTED_VALUE"""),"206NTDV57546")</f>
        <v>206NTDV57546</v>
      </c>
      <c r="M207" s="37" t="str">
        <f>IFERROR(__xludf.DUMMYFUNCTION("""COMPUTED_VALUE"""),"黃駿朋")</f>
        <v>黃駿朋</v>
      </c>
      <c r="N207" s="44">
        <f>IFERROR(__xludf.DUMMYFUNCTION("""COMPUTED_VALUE"""),44893.0)</f>
        <v>44893</v>
      </c>
      <c r="O207" s="40">
        <f>IFERROR(__xludf.DUMMYFUNCTION("""COMPUTED_VALUE"""),9817.0)</f>
        <v>9817</v>
      </c>
      <c r="P207" s="37" t="str">
        <f>IFERROR(__xludf.DUMMYFUNCTION("""COMPUTED_VALUE"""),"資訊裝置")</f>
        <v>資訊裝置</v>
      </c>
      <c r="Q207" s="37">
        <f>IFERROR(__xludf.DUMMYFUNCTION("""COMPUTED_VALUE"""),36.0)</f>
        <v>36</v>
      </c>
      <c r="R207" s="37">
        <f>IFERROR(__xludf.DUMMYFUNCTION("""COMPUTED_VALUE"""),35.0)</f>
        <v>35</v>
      </c>
      <c r="S207" s="37" t="str">
        <f>IFERROR(__xludf.DUMMYFUNCTION("""COMPUTED_VALUE"""),"NT$9,544")</f>
        <v>NT$9,544</v>
      </c>
      <c r="T207" s="37" t="str">
        <f>IFERROR(__xludf.DUMMYFUNCTION("""COMPUTED_VALUE"""),"LG  27吋 27UL550")</f>
        <v>LG  27吋 27UL550</v>
      </c>
      <c r="U207" s="37"/>
      <c r="V207" s="37"/>
      <c r="W207" s="37"/>
      <c r="X207" s="40" t="str">
        <f>IFERROR(__xludf.DUMMYFUNCTION("""COMPUTED_VALUE"""),"")</f>
        <v/>
      </c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</row>
    <row r="208">
      <c r="B208" s="37"/>
      <c r="C208" s="37" t="str">
        <f>IFERROR(__xludf.DUMMYFUNCTION("""COMPUTED_VALUE"""),"滿三年更換")</f>
        <v>滿三年更換</v>
      </c>
      <c r="D208" s="37" t="str">
        <f>IFERROR(__xludf.DUMMYFUNCTION("""COMPUTED_VALUE"""),"TW")</f>
        <v>TW</v>
      </c>
      <c r="E208" s="37"/>
      <c r="F208" s="37"/>
      <c r="G208" s="37"/>
      <c r="H208" s="37" t="str">
        <f>IFERROR(__xludf.DUMMYFUNCTION("""COMPUTED_VALUE"""),"財務中心:財務中心")</f>
        <v>財務中心:財務中心</v>
      </c>
      <c r="I208" s="37" t="str">
        <f>IFERROR(__xludf.DUMMYFUNCTION("""COMPUTED_VALUE"""),"資訊裝置")</f>
        <v>資訊裝置</v>
      </c>
      <c r="J208" s="37" t="str">
        <f>IFERROR(__xludf.DUMMYFUNCTION("""COMPUTED_VALUE"""),"AICHMN01604014")</f>
        <v>AICHMN01604014</v>
      </c>
      <c r="K208" s="37" t="str">
        <f>IFERROR(__xludf.DUMMYFUNCTION("""COMPUTED_VALUE"""),"螢幕")</f>
        <v>螢幕</v>
      </c>
      <c r="L208" s="37" t="str">
        <f>IFERROR(__xludf.DUMMYFUNCTION("""COMPUTED_VALUE"""),"CN-0MTYGK-64180-524-05QL")</f>
        <v>CN-0MTYGK-64180-524-05QL</v>
      </c>
      <c r="M208" s="37" t="str">
        <f>IFERROR(__xludf.DUMMYFUNCTION("""COMPUTED_VALUE"""),"黃馨慧")</f>
        <v>黃馨慧</v>
      </c>
      <c r="N208" s="44">
        <f>IFERROR(__xludf.DUMMYFUNCTION("""COMPUTED_VALUE"""),42468.0)</f>
        <v>42468</v>
      </c>
      <c r="O208" s="37"/>
      <c r="P208" s="37" t="str">
        <f>IFERROR(__xludf.DUMMYFUNCTION("""COMPUTED_VALUE"""),"資訊裝置")</f>
        <v>資訊裝置</v>
      </c>
      <c r="Q208" s="37">
        <f>IFERROR(__xludf.DUMMYFUNCTION("""COMPUTED_VALUE"""),36.0)</f>
        <v>36</v>
      </c>
      <c r="R208" s="37">
        <f>IFERROR(__xludf.DUMMYFUNCTION("""COMPUTED_VALUE"""),36.0)</f>
        <v>36</v>
      </c>
      <c r="S208" s="37" t="str">
        <f>IFERROR(__xludf.DUMMYFUNCTION("""COMPUTED_VALUE"""),"NT$0")</f>
        <v>NT$0</v>
      </c>
      <c r="T208" s="37" t="str">
        <f>IFERROR(__xludf.DUMMYFUNCTION("""COMPUTED_VALUE"""),"Dell 24吋 U2412Mc")</f>
        <v>Dell 24吋 U2412Mc</v>
      </c>
      <c r="U208" s="37"/>
      <c r="V208" s="37"/>
      <c r="W208" s="37"/>
      <c r="X208" s="40" t="str">
        <f>IFERROR(__xludf.DUMMYFUNCTION("""COMPUTED_VALUE"""),"")</f>
        <v/>
      </c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</row>
    <row r="209">
      <c r="B209" s="37"/>
      <c r="C209" s="37" t="str">
        <f>IFERROR(__xludf.DUMMYFUNCTION("""COMPUTED_VALUE"""),"滿三年更換")</f>
        <v>滿三年更換</v>
      </c>
      <c r="D209" s="37" t="str">
        <f>IFERROR(__xludf.DUMMYFUNCTION("""COMPUTED_VALUE"""),"TW")</f>
        <v>TW</v>
      </c>
      <c r="E209" s="37"/>
      <c r="F209" s="37"/>
      <c r="G209" s="37"/>
      <c r="H209" s="44" t="str">
        <f>IFERROR(__xludf.DUMMYFUNCTION("""COMPUTED_VALUE"""),"行銷營運中心:產品行銷部:產品品牌團隊")</f>
        <v>行銷營運中心:產品行銷部:產品品牌團隊</v>
      </c>
      <c r="I209" s="37" t="str">
        <f>IFERROR(__xludf.DUMMYFUNCTION("""COMPUTED_VALUE"""),"資訊裝置")</f>
        <v>資訊裝置</v>
      </c>
      <c r="J209" s="37" t="str">
        <f>IFERROR(__xludf.DUMMYFUNCTION("""COMPUTED_VALUE"""),"AICHMN01611038")</f>
        <v>AICHMN01611038</v>
      </c>
      <c r="K209" s="37" t="str">
        <f>IFERROR(__xludf.DUMMYFUNCTION("""COMPUTED_VALUE"""),"螢幕")</f>
        <v>螢幕</v>
      </c>
      <c r="L209" s="37" t="str">
        <f>IFERROR(__xludf.DUMMYFUNCTION("""COMPUTED_VALUE"""),"CN-043D22-TV100-88K-0T1B-A04")</f>
        <v>CN-043D22-TV100-88K-0T1B-A04</v>
      </c>
      <c r="M209" s="37" t="str">
        <f>IFERROR(__xludf.DUMMYFUNCTION("""COMPUTED_VALUE"""),"楊為方")</f>
        <v>楊為方</v>
      </c>
      <c r="N209" s="45">
        <f>IFERROR(__xludf.DUMMYFUNCTION("""COMPUTED_VALUE"""),42685.0)</f>
        <v>42685</v>
      </c>
      <c r="O209" s="37"/>
      <c r="P209" s="37" t="str">
        <f>IFERROR(__xludf.DUMMYFUNCTION("""COMPUTED_VALUE"""),"資訊裝置")</f>
        <v>資訊裝置</v>
      </c>
      <c r="Q209" s="37">
        <f>IFERROR(__xludf.DUMMYFUNCTION("""COMPUTED_VALUE"""),36.0)</f>
        <v>36</v>
      </c>
      <c r="R209" s="37">
        <f>IFERROR(__xludf.DUMMYFUNCTION("""COMPUTED_VALUE"""),36.0)</f>
        <v>36</v>
      </c>
      <c r="S209" s="37" t="str">
        <f>IFERROR(__xludf.DUMMYFUNCTION("""COMPUTED_VALUE"""),"NT$0")</f>
        <v>NT$0</v>
      </c>
      <c r="T209" s="37" t="str">
        <f>IFERROR(__xludf.DUMMYFUNCTION("""COMPUTED_VALUE"""),"Dell 24吋 SE2416H")</f>
        <v>Dell 24吋 SE2416H</v>
      </c>
      <c r="U209" s="37"/>
      <c r="V209" s="37"/>
      <c r="W209" s="37"/>
      <c r="X209" s="40" t="str">
        <f>IFERROR(__xludf.DUMMYFUNCTION("""COMPUTED_VALUE"""),"")</f>
        <v/>
      </c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</row>
    <row r="210">
      <c r="B210" s="37"/>
      <c r="C210" s="37" t="str">
        <f>IFERROR(__xludf.DUMMYFUNCTION("""COMPUTED_VALUE"""),"滿三年更換")</f>
        <v>滿三年更換</v>
      </c>
      <c r="D210" s="37" t="str">
        <f>IFERROR(__xludf.DUMMYFUNCTION("""COMPUTED_VALUE"""),"TW")</f>
        <v>TW</v>
      </c>
      <c r="E210" s="37"/>
      <c r="F210" s="37"/>
      <c r="G210" s="37"/>
      <c r="H210" s="44" t="str">
        <f>IFERROR(__xludf.DUMMYFUNCTION("""COMPUTED_VALUE"""),"客戶價值中心:客戶成功管理部:客戶成功團隊")</f>
        <v>客戶價值中心:客戶成功管理部:客戶成功團隊</v>
      </c>
      <c r="I210" s="37" t="str">
        <f>IFERROR(__xludf.DUMMYFUNCTION("""COMPUTED_VALUE"""),"資訊裝置")</f>
        <v>資訊裝置</v>
      </c>
      <c r="J210" s="37" t="str">
        <f>IFERROR(__xludf.DUMMYFUNCTION("""COMPUTED_VALUE"""),"AICHMA02107031")</f>
        <v>AICHMA02107031</v>
      </c>
      <c r="K210" s="37" t="str">
        <f>IFERROR(__xludf.DUMMYFUNCTION("""COMPUTED_VALUE"""),"Macbook Air")</f>
        <v>Macbook Air</v>
      </c>
      <c r="L210" s="37" t="str">
        <f>IFERROR(__xludf.DUMMYFUNCTION("""COMPUTED_VALUE"""),"FVFFV12SQ6L7")</f>
        <v>FVFFV12SQ6L7</v>
      </c>
      <c r="M210" s="37" t="str">
        <f>IFERROR(__xludf.DUMMYFUNCTION("""COMPUTED_VALUE"""),"楊麗涵")</f>
        <v>楊麗涵</v>
      </c>
      <c r="N210" s="44">
        <f>IFERROR(__xludf.DUMMYFUNCTION("""COMPUTED_VALUE"""),44397.0)</f>
        <v>44397</v>
      </c>
      <c r="O210" s="40">
        <f>IFERROR(__xludf.DUMMYFUNCTION("""COMPUTED_VALUE"""),27075.0)</f>
        <v>27075</v>
      </c>
      <c r="P210" s="37" t="str">
        <f>IFERROR(__xludf.DUMMYFUNCTION("""COMPUTED_VALUE"""),"資訊裝置")</f>
        <v>資訊裝置</v>
      </c>
      <c r="Q210" s="37">
        <f>IFERROR(__xludf.DUMMYFUNCTION("""COMPUTED_VALUE"""),36.0)</f>
        <v>36</v>
      </c>
      <c r="R210" s="37">
        <f>IFERROR(__xludf.DUMMYFUNCTION("""COMPUTED_VALUE"""),36.0)</f>
        <v>36</v>
      </c>
      <c r="S210" s="37" t="str">
        <f>IFERROR(__xludf.DUMMYFUNCTION("""COMPUTED_VALUE"""),"NT$27,075")</f>
        <v>NT$27,075</v>
      </c>
      <c r="T210" s="37" t="str">
        <f>IFERROR(__xludf.DUMMYFUNCTION("""COMPUTED_VALUE"""),"MBA13 (2020) M1/8GBRAM/256GBSSD")</f>
        <v>MBA13 (2020) M1/8GBRAM/256GBSSD</v>
      </c>
      <c r="U210" s="37"/>
      <c r="V210" s="37"/>
      <c r="W210" s="37"/>
      <c r="X210" s="40" t="str">
        <f>IFERROR(__xludf.DUMMYFUNCTION("""COMPUTED_VALUE"""),"")</f>
        <v/>
      </c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</row>
    <row r="211">
      <c r="B211" s="37"/>
      <c r="C211" s="37" t="str">
        <f>IFERROR(__xludf.DUMMYFUNCTION("""COMPUTED_VALUE"""),"滿三年更換")</f>
        <v>滿三年更換</v>
      </c>
      <c r="D211" s="37" t="str">
        <f>IFERROR(__xludf.DUMMYFUNCTION("""COMPUTED_VALUE"""),"TW")</f>
        <v>TW</v>
      </c>
      <c r="E211" s="37"/>
      <c r="F211" s="37"/>
      <c r="G211" s="37"/>
      <c r="H211" s="44" t="str">
        <f>IFERROR(__xludf.DUMMYFUNCTION("""COMPUTED_VALUE"""),"客戶價值中心:客戶成功管理部:客戶成功團隊")</f>
        <v>客戶價值中心:客戶成功管理部:客戶成功團隊</v>
      </c>
      <c r="I211" s="37" t="str">
        <f>IFERROR(__xludf.DUMMYFUNCTION("""COMPUTED_VALUE"""),"資訊裝置")</f>
        <v>資訊裝置</v>
      </c>
      <c r="J211" s="37" t="str">
        <f>IFERROR(__xludf.DUMMYFUNCTION("""COMPUTED_VALUE"""),"AICHIP02107072")</f>
        <v>AICHIP02107072</v>
      </c>
      <c r="K211" s="37" t="str">
        <f>IFERROR(__xludf.DUMMYFUNCTION("""COMPUTED_VALUE"""),"iPad")</f>
        <v>iPad</v>
      </c>
      <c r="L211" s="37" t="str">
        <f>IFERROR(__xludf.DUMMYFUNCTION("""COMPUTED_VALUE"""),"FFFVEP3Q1GF")</f>
        <v>FFFVEP3Q1GF</v>
      </c>
      <c r="M211" s="37" t="str">
        <f>IFERROR(__xludf.DUMMYFUNCTION("""COMPUTED_VALUE"""),"楊麗涵")</f>
        <v>楊麗涵</v>
      </c>
      <c r="N211" s="44">
        <f>IFERROR(__xludf.DUMMYFUNCTION("""COMPUTED_VALUE"""),44400.0)</f>
        <v>44400</v>
      </c>
      <c r="O211" s="40">
        <f>IFERROR(__xludf.DUMMYFUNCTION("""COMPUTED_VALUE"""),9450.0)</f>
        <v>9450</v>
      </c>
      <c r="P211" s="37" t="str">
        <f>IFERROR(__xludf.DUMMYFUNCTION("""COMPUTED_VALUE"""),"資訊裝置")</f>
        <v>資訊裝置</v>
      </c>
      <c r="Q211" s="37">
        <f>IFERROR(__xludf.DUMMYFUNCTION("""COMPUTED_VALUE"""),36.0)</f>
        <v>36</v>
      </c>
      <c r="R211" s="37">
        <f>IFERROR(__xludf.DUMMYFUNCTION("""COMPUTED_VALUE"""),36.0)</f>
        <v>36</v>
      </c>
      <c r="S211" s="37" t="str">
        <f>IFERROR(__xludf.DUMMYFUNCTION("""COMPUTED_VALUE"""),"NT$9,450")</f>
        <v>NT$9,450</v>
      </c>
      <c r="T211" s="37" t="str">
        <f>IFERROR(__xludf.DUMMYFUNCTION("""COMPUTED_VALUE"""),"iPad (第八代) 128GB WiFi(A2270)")</f>
        <v>iPad (第八代) 128GB WiFi(A2270)</v>
      </c>
      <c r="U211" s="37"/>
      <c r="V211" s="37"/>
      <c r="W211" s="37"/>
      <c r="X211" s="40" t="str">
        <f>IFERROR(__xludf.DUMMYFUNCTION("""COMPUTED_VALUE"""),"")</f>
        <v/>
      </c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</row>
    <row r="212">
      <c r="B212" s="37"/>
      <c r="C212" s="37" t="str">
        <f>IFERROR(__xludf.DUMMYFUNCTION("""COMPUTED_VALUE"""),"滿三年更換")</f>
        <v>滿三年更換</v>
      </c>
      <c r="D212" s="37" t="str">
        <f>IFERROR(__xludf.DUMMYFUNCTION("""COMPUTED_VALUE"""),"TW")</f>
        <v>TW</v>
      </c>
      <c r="E212" s="37"/>
      <c r="F212" s="37"/>
      <c r="G212" s="37"/>
      <c r="H212" s="44" t="str">
        <f>IFERROR(__xludf.DUMMYFUNCTION("""COMPUTED_VALUE"""),"客戶價值中心:客戶成功管理部:客戶成功團隊")</f>
        <v>客戶價值中心:客戶成功管理部:客戶成功團隊</v>
      </c>
      <c r="I212" s="37" t="str">
        <f>IFERROR(__xludf.DUMMYFUNCTION("""COMPUTED_VALUE"""),"資訊裝置")</f>
        <v>資訊裝置</v>
      </c>
      <c r="J212" s="37" t="str">
        <f>IFERROR(__xludf.DUMMYFUNCTION("""COMPUTED_VALUE"""),"AICHMN02009069")</f>
        <v>AICHMN02009069</v>
      </c>
      <c r="K212" s="37" t="str">
        <f>IFERROR(__xludf.DUMMYFUNCTION("""COMPUTED_VALUE"""),"螢幕")</f>
        <v>螢幕</v>
      </c>
      <c r="L212" s="37" t="str">
        <f>IFERROR(__xludf.DUMMYFUNCTION("""COMPUTED_VALUE"""),"CN-0Y2YF1-QDC00-06B-16PL-A16")</f>
        <v>CN-0Y2YF1-QDC00-06B-16PL-A16</v>
      </c>
      <c r="M212" s="37" t="str">
        <f>IFERROR(__xludf.DUMMYFUNCTION("""COMPUTED_VALUE"""),"楊麗涵")</f>
        <v>楊麗涵</v>
      </c>
      <c r="N212" s="44">
        <f>IFERROR(__xludf.DUMMYFUNCTION("""COMPUTED_VALUE"""),44084.0)</f>
        <v>44084</v>
      </c>
      <c r="O212" s="37"/>
      <c r="P212" s="37" t="str">
        <f>IFERROR(__xludf.DUMMYFUNCTION("""COMPUTED_VALUE"""),"資訊裝置")</f>
        <v>資訊裝置</v>
      </c>
      <c r="Q212" s="37">
        <f>IFERROR(__xludf.DUMMYFUNCTION("""COMPUTED_VALUE"""),36.0)</f>
        <v>36</v>
      </c>
      <c r="R212" s="37">
        <f>IFERROR(__xludf.DUMMYFUNCTION("""COMPUTED_VALUE"""),36.0)</f>
        <v>36</v>
      </c>
      <c r="S212" s="37" t="str">
        <f>IFERROR(__xludf.DUMMYFUNCTION("""COMPUTED_VALUE"""),"NT$0")</f>
        <v>NT$0</v>
      </c>
      <c r="T212" s="37" t="str">
        <f>IFERROR(__xludf.DUMMYFUNCTION("""COMPUTED_VALUE"""),"Dell 24吋 U2415")</f>
        <v>Dell 24吋 U2415</v>
      </c>
      <c r="U212" s="37"/>
      <c r="V212" s="37"/>
      <c r="W212" s="37"/>
      <c r="X212" s="40" t="str">
        <f>IFERROR(__xludf.DUMMYFUNCTION("""COMPUTED_VALUE"""),"")</f>
        <v/>
      </c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</row>
    <row r="213">
      <c r="B213" s="37"/>
      <c r="C213" s="37" t="str">
        <f>IFERROR(__xludf.DUMMYFUNCTION("""COMPUTED_VALUE"""),"滿三年更換")</f>
        <v>滿三年更換</v>
      </c>
      <c r="D213" s="37" t="str">
        <f>IFERROR(__xludf.DUMMYFUNCTION("""COMPUTED_VALUE"""),"TW")</f>
        <v>TW</v>
      </c>
      <c r="E213" s="37"/>
      <c r="F213" s="37"/>
      <c r="G213" s="37"/>
      <c r="H213" s="44" t="str">
        <f>IFERROR(__xludf.DUMMYFUNCTION("""COMPUTED_VALUE"""),"行銷營運中心:產品行銷部:設計管理團隊")</f>
        <v>行銷營運中心:產品行銷部:設計管理團隊</v>
      </c>
      <c r="I213" s="37" t="str">
        <f>IFERROR(__xludf.DUMMYFUNCTION("""COMPUTED_VALUE"""),"資訊裝置")</f>
        <v>資訊裝置</v>
      </c>
      <c r="J213" s="37" t="str">
        <f>IFERROR(__xludf.DUMMYFUNCTION("""COMPUTED_VALUE"""),"AICHIP02109076")</f>
        <v>AICHIP02109076</v>
      </c>
      <c r="K213" s="37" t="str">
        <f>IFERROR(__xludf.DUMMYFUNCTION("""COMPUTED_VALUE"""),"iPad")</f>
        <v>iPad</v>
      </c>
      <c r="L213" s="37" t="str">
        <f>IFERROR(__xludf.DUMMYFUNCTION("""COMPUTED_VALUE"""),"DMPZCBZQJMVR")</f>
        <v>DMPZCBZQJMVR</v>
      </c>
      <c r="M213" s="37" t="str">
        <f>IFERROR(__xludf.DUMMYFUNCTION("""COMPUTED_VALUE"""),"萬盈君")</f>
        <v>萬盈君</v>
      </c>
      <c r="N213" s="45">
        <f>IFERROR(__xludf.DUMMYFUNCTION("""COMPUTED_VALUE"""),43100.0)</f>
        <v>43100</v>
      </c>
      <c r="O213" s="40">
        <f>IFERROR(__xludf.DUMMYFUNCTION("""COMPUTED_VALUE"""),0.0)</f>
        <v>0</v>
      </c>
      <c r="P213" s="37" t="str">
        <f>IFERROR(__xludf.DUMMYFUNCTION("""COMPUTED_VALUE"""),"資訊裝置")</f>
        <v>資訊裝置</v>
      </c>
      <c r="Q213" s="37">
        <f>IFERROR(__xludf.DUMMYFUNCTION("""COMPUTED_VALUE"""),36.0)</f>
        <v>36</v>
      </c>
      <c r="R213" s="37">
        <f>IFERROR(__xludf.DUMMYFUNCTION("""COMPUTED_VALUE"""),36.0)</f>
        <v>36</v>
      </c>
      <c r="S213" s="37" t="str">
        <f>IFERROR(__xludf.DUMMYFUNCTION("""COMPUTED_VALUE"""),"NT$0")</f>
        <v>NT$0</v>
      </c>
      <c r="T213" s="37" t="str">
        <f>IFERROR(__xludf.DUMMYFUNCTION("""COMPUTED_VALUE"""),"iPad (第六代) 32GB WIFI(MRJN2TA/A)")</f>
        <v>iPad (第六代) 32GB WIFI(MRJN2TA/A)</v>
      </c>
      <c r="U213" s="37"/>
      <c r="V213" s="37"/>
      <c r="W213" s="37"/>
      <c r="X213" s="40" t="str">
        <f>IFERROR(__xludf.DUMMYFUNCTION("""COMPUTED_VALUE"""),"")</f>
        <v/>
      </c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</row>
    <row r="214">
      <c r="B214" s="37"/>
      <c r="C214" s="37" t="str">
        <f>IFERROR(__xludf.DUMMYFUNCTION("""COMPUTED_VALUE"""),"滿三年更換")</f>
        <v>滿三年更換</v>
      </c>
      <c r="D214" s="37" t="str">
        <f>IFERROR(__xludf.DUMMYFUNCTION("""COMPUTED_VALUE"""),"TW")</f>
        <v>TW</v>
      </c>
      <c r="E214" s="37"/>
      <c r="F214" s="37"/>
      <c r="G214" s="37"/>
      <c r="H214" s="44" t="str">
        <f>IFERROR(__xludf.DUMMYFUNCTION("""COMPUTED_VALUE"""),"行銷營運中心:銷售營運部:客戶導入團隊")</f>
        <v>行銷營運中心:銷售營運部:客戶導入團隊</v>
      </c>
      <c r="I214" s="37" t="str">
        <f>IFERROR(__xludf.DUMMYFUNCTION("""COMPUTED_VALUE"""),"資訊裝置")</f>
        <v>資訊裝置</v>
      </c>
      <c r="J214" s="37" t="str">
        <f>IFERROR(__xludf.DUMMYFUNCTION("""COMPUTED_VALUE"""),"AICHMA02106029")</f>
        <v>AICHMA02106029</v>
      </c>
      <c r="K214" s="37" t="str">
        <f>IFERROR(__xludf.DUMMYFUNCTION("""COMPUTED_VALUE"""),"Macbook Air")</f>
        <v>Macbook Air</v>
      </c>
      <c r="L214" s="37" t="str">
        <f>IFERROR(__xludf.DUMMYFUNCTION("""COMPUTED_VALUE"""),"FVFFV40SQ6L4")</f>
        <v>FVFFV40SQ6L4</v>
      </c>
      <c r="M214" s="37" t="str">
        <f>IFERROR(__xludf.DUMMYFUNCTION("""COMPUTED_VALUE"""),"葉思妤")</f>
        <v>葉思妤</v>
      </c>
      <c r="N214" s="44">
        <f>IFERROR(__xludf.DUMMYFUNCTION("""COMPUTED_VALUE"""),44375.0)</f>
        <v>44375</v>
      </c>
      <c r="O214" s="40">
        <f>IFERROR(__xludf.DUMMYFUNCTION("""COMPUTED_VALUE"""),27075.0)</f>
        <v>27075</v>
      </c>
      <c r="P214" s="37" t="str">
        <f>IFERROR(__xludf.DUMMYFUNCTION("""COMPUTED_VALUE"""),"資訊裝置")</f>
        <v>資訊裝置</v>
      </c>
      <c r="Q214" s="37">
        <f>IFERROR(__xludf.DUMMYFUNCTION("""COMPUTED_VALUE"""),36.0)</f>
        <v>36</v>
      </c>
      <c r="R214" s="37">
        <f>IFERROR(__xludf.DUMMYFUNCTION("""COMPUTED_VALUE"""),36.0)</f>
        <v>36</v>
      </c>
      <c r="S214" s="37" t="str">
        <f>IFERROR(__xludf.DUMMYFUNCTION("""COMPUTED_VALUE"""),"NT$27,075")</f>
        <v>NT$27,075</v>
      </c>
      <c r="T214" s="37" t="str">
        <f>IFERROR(__xludf.DUMMYFUNCTION("""COMPUTED_VALUE"""),"MBA13 (2020) M1/8GBRAM/256GBSSD")</f>
        <v>MBA13 (2020) M1/8GBRAM/256GBSSD</v>
      </c>
      <c r="U214" s="37"/>
      <c r="V214" s="37"/>
      <c r="W214" s="37"/>
      <c r="X214" s="40" t="str">
        <f>IFERROR(__xludf.DUMMYFUNCTION("""COMPUTED_VALUE"""),"")</f>
        <v/>
      </c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</row>
    <row r="215">
      <c r="B215" s="37"/>
      <c r="C215" s="37" t="str">
        <f>IFERROR(__xludf.DUMMYFUNCTION("""COMPUTED_VALUE"""),"滿三年更換")</f>
        <v>滿三年更換</v>
      </c>
      <c r="D215" s="37" t="str">
        <f>IFERROR(__xludf.DUMMYFUNCTION("""COMPUTED_VALUE"""),"TW")</f>
        <v>TW</v>
      </c>
      <c r="E215" s="37"/>
      <c r="F215" s="37"/>
      <c r="G215" s="37"/>
      <c r="H215" s="44" t="str">
        <f>IFERROR(__xludf.DUMMYFUNCTION("""COMPUTED_VALUE"""),"行銷營運中心:銷售營運部:客戶導入團隊")</f>
        <v>行銷營運中心:銷售營運部:客戶導入團隊</v>
      </c>
      <c r="I215" s="37" t="str">
        <f>IFERROR(__xludf.DUMMYFUNCTION("""COMPUTED_VALUE"""),"資訊裝置")</f>
        <v>資訊裝置</v>
      </c>
      <c r="J215" s="37" t="str">
        <f>IFERROR(__xludf.DUMMYFUNCTION("""COMPUTED_VALUE"""),"AICHIP02302086")</f>
        <v>AICHIP02302086</v>
      </c>
      <c r="K215" s="37" t="str">
        <f>IFERROR(__xludf.DUMMYFUNCTION("""COMPUTED_VALUE"""),"iPad 9")</f>
        <v>iPad 9</v>
      </c>
      <c r="L215" s="37" t="str">
        <f>IFERROR(__xludf.DUMMYFUNCTION("""COMPUTED_VALUE"""),"GTWLMV7WRV")</f>
        <v>GTWLMV7WRV</v>
      </c>
      <c r="M215" s="37" t="str">
        <f>IFERROR(__xludf.DUMMYFUNCTION("""COMPUTED_VALUE"""),"葉思妤")</f>
        <v>葉思妤</v>
      </c>
      <c r="N215" s="44">
        <f>IFERROR(__xludf.DUMMYFUNCTION("""COMPUTED_VALUE"""),44944.0)</f>
        <v>44944</v>
      </c>
      <c r="O215" s="40">
        <f>IFERROR(__xludf.DUMMYFUNCTION("""COMPUTED_VALUE"""),9447.0)</f>
        <v>9447</v>
      </c>
      <c r="P215" s="37" t="str">
        <f>IFERROR(__xludf.DUMMYFUNCTION("""COMPUTED_VALUE"""),"資訊裝置")</f>
        <v>資訊裝置</v>
      </c>
      <c r="Q215" s="37">
        <f>IFERROR(__xludf.DUMMYFUNCTION("""COMPUTED_VALUE"""),36.0)</f>
        <v>36</v>
      </c>
      <c r="R215" s="37">
        <f>IFERROR(__xludf.DUMMYFUNCTION("""COMPUTED_VALUE"""),33.0)</f>
        <v>33</v>
      </c>
      <c r="S215" s="37" t="str">
        <f>IFERROR(__xludf.DUMMYFUNCTION("""COMPUTED_VALUE"""),"NT$8,661")</f>
        <v>NT$8,661</v>
      </c>
      <c r="T215" s="37" t="str">
        <f>IFERROR(__xludf.DUMMYFUNCTION("""COMPUTED_VALUE"""),"iPad (第九代)(MK2K3TA/A)")</f>
        <v>iPad (第九代)(MK2K3TA/A)</v>
      </c>
      <c r="U215" s="37"/>
      <c r="V215" s="37"/>
      <c r="W215" s="37"/>
      <c r="X215" s="40" t="str">
        <f>IFERROR(__xludf.DUMMYFUNCTION("""COMPUTED_VALUE"""),"")</f>
        <v/>
      </c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</row>
    <row r="216">
      <c r="B216" s="37"/>
      <c r="C216" s="37" t="str">
        <f>IFERROR(__xludf.DUMMYFUNCTION("""COMPUTED_VALUE"""),"滿三年更換")</f>
        <v>滿三年更換</v>
      </c>
      <c r="D216" s="37" t="str">
        <f>IFERROR(__xludf.DUMMYFUNCTION("""COMPUTED_VALUE"""),"TW")</f>
        <v>TW</v>
      </c>
      <c r="E216" s="37"/>
      <c r="F216" s="37"/>
      <c r="G216" s="37"/>
      <c r="H216" s="44" t="str">
        <f>IFERROR(__xludf.DUMMYFUNCTION("""COMPUTED_VALUE"""),"行銷營運中心:銷售營運部:銷售顧問團隊")</f>
        <v>行銷營運中心:銷售營運部:銷售顧問團隊</v>
      </c>
      <c r="I216" s="37" t="str">
        <f>IFERROR(__xludf.DUMMYFUNCTION("""COMPUTED_VALUE"""),"資訊裝置")</f>
        <v>資訊裝置</v>
      </c>
      <c r="J216" s="37" t="str">
        <f>IFERROR(__xludf.DUMMYFUNCTION("""COMPUTED_VALUE"""),"AICHMA01911001")</f>
        <v>AICHMA01911001</v>
      </c>
      <c r="K216" s="37" t="str">
        <f>IFERROR(__xludf.DUMMYFUNCTION("""COMPUTED_VALUE"""),"Macbook Air")</f>
        <v>Macbook Air</v>
      </c>
      <c r="L216" s="37" t="str">
        <f>IFERROR(__xludf.DUMMYFUNCTION("""COMPUTED_VALUE"""),"FVFZ2S4WLYWG")</f>
        <v>FVFZ2S4WLYWG</v>
      </c>
      <c r="M216" s="37" t="str">
        <f>IFERROR(__xludf.DUMMYFUNCTION("""COMPUTED_VALUE"""),"詹承峰")</f>
        <v>詹承峰</v>
      </c>
      <c r="N216" s="45">
        <f>IFERROR(__xludf.DUMMYFUNCTION("""COMPUTED_VALUE"""),43782.0)</f>
        <v>43782</v>
      </c>
      <c r="O216" s="40">
        <f>IFERROR(__xludf.DUMMYFUNCTION("""COMPUTED_VALUE"""),31618.0)</f>
        <v>31618</v>
      </c>
      <c r="P216" s="37" t="str">
        <f>IFERROR(__xludf.DUMMYFUNCTION("""COMPUTED_VALUE"""),"資訊裝置")</f>
        <v>資訊裝置</v>
      </c>
      <c r="Q216" s="37">
        <f>IFERROR(__xludf.DUMMYFUNCTION("""COMPUTED_VALUE"""),36.0)</f>
        <v>36</v>
      </c>
      <c r="R216" s="37">
        <f>IFERROR(__xludf.DUMMYFUNCTION("""COMPUTED_VALUE"""),36.0)</f>
        <v>36</v>
      </c>
      <c r="S216" s="37" t="str">
        <f>IFERROR(__xludf.DUMMYFUNCTION("""COMPUTED_VALUE"""),"NT$31,618")</f>
        <v>NT$31,618</v>
      </c>
      <c r="T216" s="37" t="str">
        <f>IFERROR(__xludf.DUMMYFUNCTION("""COMPUTED_VALUE"""),"MBA13 (2019) Retina I5/8GBRAM/")</f>
        <v>MBA13 (2019) Retina I5/8GBRAM/</v>
      </c>
      <c r="U216" s="37"/>
      <c r="V216" s="37"/>
      <c r="W216" s="37"/>
      <c r="X216" s="40" t="str">
        <f>IFERROR(__xludf.DUMMYFUNCTION("""COMPUTED_VALUE"""),"")</f>
        <v/>
      </c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</row>
    <row r="217">
      <c r="B217" s="37"/>
      <c r="C217" s="37" t="str">
        <f>IFERROR(__xludf.DUMMYFUNCTION("""COMPUTED_VALUE"""),"滿三年更換")</f>
        <v>滿三年更換</v>
      </c>
      <c r="D217" s="37" t="str">
        <f>IFERROR(__xludf.DUMMYFUNCTION("""COMPUTED_VALUE"""),"TW")</f>
        <v>TW</v>
      </c>
      <c r="E217" s="37"/>
      <c r="F217" s="37"/>
      <c r="G217" s="37"/>
      <c r="H217" s="37" t="str">
        <f>IFERROR(__xludf.DUMMYFUNCTION("""COMPUTED_VALUE"""),"行銷營運中心:社群關係部")</f>
        <v>行銷營運中心:社群關係部</v>
      </c>
      <c r="I217" s="37" t="str">
        <f>IFERROR(__xludf.DUMMYFUNCTION("""COMPUTED_VALUE"""),"資訊裝置")</f>
        <v>資訊裝置</v>
      </c>
      <c r="J217" s="37" t="str">
        <f>IFERROR(__xludf.DUMMYFUNCTION("""COMPUTED_VALUE"""),"AICHMA02110042")</f>
        <v>AICHMA02110042</v>
      </c>
      <c r="K217" s="37" t="str">
        <f>IFERROR(__xludf.DUMMYFUNCTION("""COMPUTED_VALUE"""),"Macbook Air")</f>
        <v>Macbook Air</v>
      </c>
      <c r="L217" s="37" t="str">
        <f>IFERROR(__xludf.DUMMYFUNCTION("""COMPUTED_VALUE"""),"FVFG6DDLQ6LC")</f>
        <v>FVFG6DDLQ6LC</v>
      </c>
      <c r="M217" s="37" t="str">
        <f>IFERROR(__xludf.DUMMYFUNCTION("""COMPUTED_VALUE"""),"詹惟婷")</f>
        <v>詹惟婷</v>
      </c>
      <c r="N217" s="44">
        <f>IFERROR(__xludf.DUMMYFUNCTION("""COMPUTED_VALUE"""),44476.0)</f>
        <v>44476</v>
      </c>
      <c r="O217" s="40">
        <f>IFERROR(__xludf.DUMMYFUNCTION("""COMPUTED_VALUE"""),27075.0)</f>
        <v>27075</v>
      </c>
      <c r="P217" s="37" t="str">
        <f>IFERROR(__xludf.DUMMYFUNCTION("""COMPUTED_VALUE"""),"資訊裝置")</f>
        <v>資訊裝置</v>
      </c>
      <c r="Q217" s="37">
        <f>IFERROR(__xludf.DUMMYFUNCTION("""COMPUTED_VALUE"""),36.0)</f>
        <v>36</v>
      </c>
      <c r="R217" s="37">
        <f>IFERROR(__xludf.DUMMYFUNCTION("""COMPUTED_VALUE"""),36.0)</f>
        <v>36</v>
      </c>
      <c r="S217" s="37" t="str">
        <f>IFERROR(__xludf.DUMMYFUNCTION("""COMPUTED_VALUE"""),"NT$27,075")</f>
        <v>NT$27,075</v>
      </c>
      <c r="T217" s="37" t="str">
        <f>IFERROR(__xludf.DUMMYFUNCTION("""COMPUTED_VALUE"""),"MBA13 (2020) M1/8GBRAM/256GBSSD")</f>
        <v>MBA13 (2020) M1/8GBRAM/256GBSSD</v>
      </c>
      <c r="U217" s="37"/>
      <c r="V217" s="37"/>
      <c r="W217" s="37"/>
      <c r="X217" s="40" t="str">
        <f>IFERROR(__xludf.DUMMYFUNCTION("""COMPUTED_VALUE"""),"")</f>
        <v/>
      </c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</row>
    <row r="218">
      <c r="B218" s="37"/>
      <c r="C218" s="37" t="str">
        <f>IFERROR(__xludf.DUMMYFUNCTION("""COMPUTED_VALUE"""),"滿三年更換")</f>
        <v>滿三年更換</v>
      </c>
      <c r="D218" s="37" t="str">
        <f>IFERROR(__xludf.DUMMYFUNCTION("""COMPUTED_VALUE"""),"TW")</f>
        <v>TW</v>
      </c>
      <c r="E218" s="37"/>
      <c r="F218" s="37"/>
      <c r="G218" s="37"/>
      <c r="H218" s="37" t="str">
        <f>IFERROR(__xludf.DUMMYFUNCTION("""COMPUTED_VALUE"""),"行銷營運中心:社群關係部")</f>
        <v>行銷營運中心:社群關係部</v>
      </c>
      <c r="I218" s="37" t="str">
        <f>IFERROR(__xludf.DUMMYFUNCTION("""COMPUTED_VALUE"""),"資訊裝置")</f>
        <v>資訊裝置</v>
      </c>
      <c r="J218" s="37" t="str">
        <f>IFERROR(__xludf.DUMMYFUNCTION("""COMPUTED_VALUE"""),"AICHMN01705045")</f>
        <v>AICHMN01705045</v>
      </c>
      <c r="K218" s="37" t="str">
        <f>IFERROR(__xludf.DUMMYFUNCTION("""COMPUTED_VALUE"""),"螢幕")</f>
        <v>螢幕</v>
      </c>
      <c r="L218" s="37" t="str">
        <f>IFERROR(__xludf.DUMMYFUNCTION("""COMPUTED_VALUE"""),"CN-0MTYGK-64180-571-00YS")</f>
        <v>CN-0MTYGK-64180-571-00YS</v>
      </c>
      <c r="M218" s="37" t="str">
        <f>IFERROR(__xludf.DUMMYFUNCTION("""COMPUTED_VALUE"""),"詹惟婷")</f>
        <v>詹惟婷</v>
      </c>
      <c r="N218" s="44">
        <f>IFERROR(__xludf.DUMMYFUNCTION("""COMPUTED_VALUE"""),43413.0)</f>
        <v>43413</v>
      </c>
      <c r="O218" s="37"/>
      <c r="P218" s="37" t="str">
        <f>IFERROR(__xludf.DUMMYFUNCTION("""COMPUTED_VALUE"""),"資訊裝置")</f>
        <v>資訊裝置</v>
      </c>
      <c r="Q218" s="37">
        <f>IFERROR(__xludf.DUMMYFUNCTION("""COMPUTED_VALUE"""),36.0)</f>
        <v>36</v>
      </c>
      <c r="R218" s="37">
        <f>IFERROR(__xludf.DUMMYFUNCTION("""COMPUTED_VALUE"""),36.0)</f>
        <v>36</v>
      </c>
      <c r="S218" s="37" t="str">
        <f>IFERROR(__xludf.DUMMYFUNCTION("""COMPUTED_VALUE"""),"NT$0")</f>
        <v>NT$0</v>
      </c>
      <c r="T218" s="37" t="str">
        <f>IFERROR(__xludf.DUMMYFUNCTION("""COMPUTED_VALUE"""),"Dell 24吋 U2412Mc")</f>
        <v>Dell 24吋 U2412Mc</v>
      </c>
      <c r="U218" s="37"/>
      <c r="V218" s="37"/>
      <c r="W218" s="37"/>
      <c r="X218" s="40" t="str">
        <f>IFERROR(__xludf.DUMMYFUNCTION("""COMPUTED_VALUE"""),"")</f>
        <v/>
      </c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</row>
    <row r="219">
      <c r="B219" s="37"/>
      <c r="C219" s="37" t="str">
        <f>IFERROR(__xludf.DUMMYFUNCTION("""COMPUTED_VALUE"""),"滿三年更換")</f>
        <v>滿三年更換</v>
      </c>
      <c r="D219" s="37" t="str">
        <f>IFERROR(__xludf.DUMMYFUNCTION("""COMPUTED_VALUE"""),"TW")</f>
        <v>TW</v>
      </c>
      <c r="E219" s="37"/>
      <c r="F219" s="37"/>
      <c r="G219" s="37"/>
      <c r="H219" s="44" t="str">
        <f>IFERROR(__xludf.DUMMYFUNCTION("""COMPUTED_VALUE"""),"行銷營運中心:銷售營運部:客戶導入團隊")</f>
        <v>行銷營運中心:銷售營運部:客戶導入團隊</v>
      </c>
      <c r="I219" s="37" t="str">
        <f>IFERROR(__xludf.DUMMYFUNCTION("""COMPUTED_VALUE"""),"資訊裝置")</f>
        <v>資訊裝置</v>
      </c>
      <c r="J219" s="37" t="str">
        <f>IFERROR(__xludf.DUMMYFUNCTION("""COMPUTED_VALUE"""),"AICHMA02003002")</f>
        <v>AICHMA02003002</v>
      </c>
      <c r="K219" s="37" t="str">
        <f>IFERROR(__xludf.DUMMYFUNCTION("""COMPUTED_VALUE"""),"Macbook Air")</f>
        <v>Macbook Air</v>
      </c>
      <c r="L219" s="37" t="str">
        <f>IFERROR(__xludf.DUMMYFUNCTION("""COMPUTED_VALUE"""),"FVFZV1RFLYWL")</f>
        <v>FVFZV1RFLYWL</v>
      </c>
      <c r="M219" s="37" t="str">
        <f>IFERROR(__xludf.DUMMYFUNCTION("""COMPUTED_VALUE"""),"廖珮伶")</f>
        <v>廖珮伶</v>
      </c>
      <c r="N219" s="44">
        <f>IFERROR(__xludf.DUMMYFUNCTION("""COMPUTED_VALUE"""),43903.0)</f>
        <v>43903</v>
      </c>
      <c r="O219" s="40">
        <f>IFERROR(__xludf.DUMMYFUNCTION("""COMPUTED_VALUE"""),31629.0)</f>
        <v>31629</v>
      </c>
      <c r="P219" s="37" t="str">
        <f>IFERROR(__xludf.DUMMYFUNCTION("""COMPUTED_VALUE"""),"資訊裝置")</f>
        <v>資訊裝置</v>
      </c>
      <c r="Q219" s="37">
        <f>IFERROR(__xludf.DUMMYFUNCTION("""COMPUTED_VALUE"""),36.0)</f>
        <v>36</v>
      </c>
      <c r="R219" s="37">
        <f>IFERROR(__xludf.DUMMYFUNCTION("""COMPUTED_VALUE"""),36.0)</f>
        <v>36</v>
      </c>
      <c r="S219" s="37" t="str">
        <f>IFERROR(__xludf.DUMMYFUNCTION("""COMPUTED_VALUE"""),"NT$31,629")</f>
        <v>NT$31,629</v>
      </c>
      <c r="T219" s="37" t="str">
        <f>IFERROR(__xludf.DUMMYFUNCTION("""COMPUTED_VALUE"""),"MBA13 (Retina, 2019) I5 /8GBRAM /512GBSSD")</f>
        <v>MBA13 (Retina, 2019) I5 /8GBRAM /512GBSSD</v>
      </c>
      <c r="U219" s="37"/>
      <c r="V219" s="37"/>
      <c r="W219" s="37"/>
      <c r="X219" s="40" t="str">
        <f>IFERROR(__xludf.DUMMYFUNCTION("""COMPUTED_VALUE"""),"")</f>
        <v/>
      </c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</row>
    <row r="220">
      <c r="B220" s="37"/>
      <c r="C220" s="37" t="str">
        <f>IFERROR(__xludf.DUMMYFUNCTION("""COMPUTED_VALUE"""),"滿三年更換")</f>
        <v>滿三年更換</v>
      </c>
      <c r="D220" s="37" t="str">
        <f>IFERROR(__xludf.DUMMYFUNCTION("""COMPUTED_VALUE"""),"TW")</f>
        <v>TW</v>
      </c>
      <c r="E220" s="37"/>
      <c r="F220" s="37"/>
      <c r="G220" s="37"/>
      <c r="H220" s="44" t="str">
        <f>IFERROR(__xludf.DUMMYFUNCTION("""COMPUTED_VALUE"""),"行銷營運中心:銷售營運部:客戶導入團隊")</f>
        <v>行銷營運中心:銷售營運部:客戶導入團隊</v>
      </c>
      <c r="I220" s="37" t="str">
        <f>IFERROR(__xludf.DUMMYFUNCTION("""COMPUTED_VALUE"""),"資訊裝置")</f>
        <v>資訊裝置</v>
      </c>
      <c r="J220" s="37" t="str">
        <f>IFERROR(__xludf.DUMMYFUNCTION("""COMPUTED_VALUE"""),"AICHIP02106062")</f>
        <v>AICHIP02106062</v>
      </c>
      <c r="K220" s="37" t="str">
        <f>IFERROR(__xludf.DUMMYFUNCTION("""COMPUTED_VALUE"""),"iPad")</f>
        <v>iPad</v>
      </c>
      <c r="L220" s="37" t="str">
        <f>IFERROR(__xludf.DUMMYFUNCTION("""COMPUTED_VALUE"""),"F9FFM2x1Q1GF")</f>
        <v>F9FFM2x1Q1GF</v>
      </c>
      <c r="M220" s="37" t="str">
        <f>IFERROR(__xludf.DUMMYFUNCTION("""COMPUTED_VALUE"""),"廖珮伶")</f>
        <v>廖珮伶</v>
      </c>
      <c r="N220" s="44">
        <f>IFERROR(__xludf.DUMMYFUNCTION("""COMPUTED_VALUE"""),44371.0)</f>
        <v>44371</v>
      </c>
      <c r="O220" s="40">
        <f>IFERROR(__xludf.DUMMYFUNCTION("""COMPUTED_VALUE"""),9450.0)</f>
        <v>9450</v>
      </c>
      <c r="P220" s="37" t="str">
        <f>IFERROR(__xludf.DUMMYFUNCTION("""COMPUTED_VALUE"""),"資訊裝置")</f>
        <v>資訊裝置</v>
      </c>
      <c r="Q220" s="37">
        <f>IFERROR(__xludf.DUMMYFUNCTION("""COMPUTED_VALUE"""),36.0)</f>
        <v>36</v>
      </c>
      <c r="R220" s="37">
        <f>IFERROR(__xludf.DUMMYFUNCTION("""COMPUTED_VALUE"""),36.0)</f>
        <v>36</v>
      </c>
      <c r="S220" s="37" t="str">
        <f>IFERROR(__xludf.DUMMYFUNCTION("""COMPUTED_VALUE"""),"NT$9,450")</f>
        <v>NT$9,450</v>
      </c>
      <c r="T220" s="37" t="str">
        <f>IFERROR(__xludf.DUMMYFUNCTION("""COMPUTED_VALUE"""),"iPad (第八代) 32GB WIFI(MYLC2TA/A)")</f>
        <v>iPad (第八代) 32GB WIFI(MYLC2TA/A)</v>
      </c>
      <c r="U220" s="37"/>
      <c r="V220" s="37"/>
      <c r="W220" s="37"/>
      <c r="X220" s="40" t="str">
        <f>IFERROR(__xludf.DUMMYFUNCTION("""COMPUTED_VALUE"""),"")</f>
        <v/>
      </c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</row>
    <row r="221">
      <c r="B221" s="37"/>
      <c r="C221" s="37" t="str">
        <f>IFERROR(__xludf.DUMMYFUNCTION("""COMPUTED_VALUE"""),"滿三年更換")</f>
        <v>滿三年更換</v>
      </c>
      <c r="D221" s="37" t="str">
        <f>IFERROR(__xludf.DUMMYFUNCTION("""COMPUTED_VALUE"""),"TW")</f>
        <v>TW</v>
      </c>
      <c r="E221" s="37"/>
      <c r="F221" s="37"/>
      <c r="G221" s="37"/>
      <c r="H221" s="44" t="str">
        <f>IFERROR(__xludf.DUMMYFUNCTION("""COMPUTED_VALUE"""),"客戶價值中心:客戶關係管理部:客服團隊 POS/OMO")</f>
        <v>客戶價值中心:客戶關係管理部:客服團隊 POS/OMO</v>
      </c>
      <c r="I221" s="37" t="str">
        <f>IFERROR(__xludf.DUMMYFUNCTION("""COMPUTED_VALUE"""),"資訊裝置")</f>
        <v>資訊裝置</v>
      </c>
      <c r="J221" s="37" t="str">
        <f>IFERROR(__xludf.DUMMYFUNCTION("""COMPUTED_VALUE"""),"AICHMP01607001")</f>
        <v>AICHMP01607001</v>
      </c>
      <c r="K221" s="37" t="str">
        <f>IFERROR(__xludf.DUMMYFUNCTION("""COMPUTED_VALUE"""),"Macbook Pro")</f>
        <v>Macbook Pro</v>
      </c>
      <c r="L221" s="37" t="str">
        <f>IFERROR(__xludf.DUMMYFUNCTION("""COMPUTED_VALUE"""),"C02SY05PGTDX")</f>
        <v>C02SY05PGTDX</v>
      </c>
      <c r="M221" s="37" t="str">
        <f>IFERROR(__xludf.DUMMYFUNCTION("""COMPUTED_VALUE"""),"劉晏廷")</f>
        <v>劉晏廷</v>
      </c>
      <c r="N221" s="44">
        <f>IFERROR(__xludf.DUMMYFUNCTION("""COMPUTED_VALUE"""),42571.0)</f>
        <v>42571</v>
      </c>
      <c r="O221" s="40">
        <f>IFERROR(__xludf.DUMMYFUNCTION("""COMPUTED_VALUE"""),0.0)</f>
        <v>0</v>
      </c>
      <c r="P221" s="37" t="str">
        <f>IFERROR(__xludf.DUMMYFUNCTION("""COMPUTED_VALUE"""),"資訊裝置")</f>
        <v>資訊裝置</v>
      </c>
      <c r="Q221" s="37">
        <f>IFERROR(__xludf.DUMMYFUNCTION("""COMPUTED_VALUE"""),36.0)</f>
        <v>36</v>
      </c>
      <c r="R221" s="37">
        <f>IFERROR(__xludf.DUMMYFUNCTION("""COMPUTED_VALUE"""),36.0)</f>
        <v>36</v>
      </c>
      <c r="S221" s="37" t="str">
        <f>IFERROR(__xludf.DUMMYFUNCTION("""COMPUTED_VALUE"""),"NT$0")</f>
        <v>NT$0</v>
      </c>
      <c r="T221" s="37" t="str">
        <f>IFERROR(__xludf.DUMMYFUNCTION("""COMPUTED_VALUE"""),"MBP13  Intel Core i5/16GBRAM/256GBSSD")</f>
        <v>MBP13  Intel Core i5/16GBRAM/256GBSSD</v>
      </c>
      <c r="U221" s="37"/>
      <c r="V221" s="37"/>
      <c r="W221" s="37"/>
      <c r="X221" s="40" t="str">
        <f>IFERROR(__xludf.DUMMYFUNCTION("""COMPUTED_VALUE"""),"")</f>
        <v/>
      </c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</row>
    <row r="222">
      <c r="B222" s="37"/>
      <c r="C222" s="37" t="str">
        <f>IFERROR(__xludf.DUMMYFUNCTION("""COMPUTED_VALUE"""),"滿三年更換")</f>
        <v>滿三年更換</v>
      </c>
      <c r="D222" s="37" t="str">
        <f>IFERROR(__xludf.DUMMYFUNCTION("""COMPUTED_VALUE"""),"TW")</f>
        <v>TW</v>
      </c>
      <c r="E222" s="37"/>
      <c r="F222" s="37"/>
      <c r="G222" s="37"/>
      <c r="H222" s="44" t="str">
        <f>IFERROR(__xludf.DUMMYFUNCTION("""COMPUTED_VALUE"""),"行銷營運中心:銷售營運部:銷售顧問團隊")</f>
        <v>行銷營運中心:銷售營運部:銷售顧問團隊</v>
      </c>
      <c r="I222" s="37" t="str">
        <f>IFERROR(__xludf.DUMMYFUNCTION("""COMPUTED_VALUE"""),"資訊裝置")</f>
        <v>資訊裝置</v>
      </c>
      <c r="J222" s="37" t="str">
        <f>IFERROR(__xludf.DUMMYFUNCTION("""COMPUTED_VALUE"""),"AICHMA02010004")</f>
        <v>AICHMA02010004</v>
      </c>
      <c r="K222" s="37" t="str">
        <f>IFERROR(__xludf.DUMMYFUNCTION("""COMPUTED_VALUE"""),"Macbook Air")</f>
        <v>Macbook Air</v>
      </c>
      <c r="L222" s="37" t="str">
        <f>IFERROR(__xludf.DUMMYFUNCTION("""COMPUTED_VALUE"""),"FVFDHWAZMNHR")</f>
        <v>FVFDHWAZMNHR</v>
      </c>
      <c r="M222" s="37" t="str">
        <f>IFERROR(__xludf.DUMMYFUNCTION("""COMPUTED_VALUE"""),"潘宛逸")</f>
        <v>潘宛逸</v>
      </c>
      <c r="N222" s="45">
        <f>IFERROR(__xludf.DUMMYFUNCTION("""COMPUTED_VALUE"""),44130.0)</f>
        <v>44130</v>
      </c>
      <c r="O222" s="40">
        <f>IFERROR(__xludf.DUMMYFUNCTION("""COMPUTED_VALUE"""),28558.0)</f>
        <v>28558</v>
      </c>
      <c r="P222" s="37" t="str">
        <f>IFERROR(__xludf.DUMMYFUNCTION("""COMPUTED_VALUE"""),"資訊裝置")</f>
        <v>資訊裝置</v>
      </c>
      <c r="Q222" s="37">
        <f>IFERROR(__xludf.DUMMYFUNCTION("""COMPUTED_VALUE"""),36.0)</f>
        <v>36</v>
      </c>
      <c r="R222" s="37">
        <f>IFERROR(__xludf.DUMMYFUNCTION("""COMPUTED_VALUE"""),36.0)</f>
        <v>36</v>
      </c>
      <c r="S222" s="37" t="str">
        <f>IFERROR(__xludf.DUMMYFUNCTION("""COMPUTED_VALUE"""),"NT$28,558")</f>
        <v>NT$28,558</v>
      </c>
      <c r="T222" s="37" t="str">
        <f>IFERROR(__xludf.DUMMYFUNCTION("""COMPUTED_VALUE"""),"A2179 MBA13 (Retina, 2020) I3 / 8GBRAM/256GBSSD")</f>
        <v>A2179 MBA13 (Retina, 2020) I3 / 8GBRAM/256GBSSD</v>
      </c>
      <c r="U222" s="37"/>
      <c r="V222" s="37"/>
      <c r="W222" s="37"/>
      <c r="X222" s="40" t="str">
        <f>IFERROR(__xludf.DUMMYFUNCTION("""COMPUTED_VALUE"""),"")</f>
        <v/>
      </c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</row>
    <row r="223">
      <c r="B223" s="37"/>
      <c r="C223" s="37" t="str">
        <f>IFERROR(__xludf.DUMMYFUNCTION("""COMPUTED_VALUE"""),"滿三年更換")</f>
        <v>滿三年更換</v>
      </c>
      <c r="D223" s="37" t="str">
        <f>IFERROR(__xludf.DUMMYFUNCTION("""COMPUTED_VALUE"""),"TW")</f>
        <v>TW</v>
      </c>
      <c r="E223" s="37"/>
      <c r="F223" s="37"/>
      <c r="G223" s="37"/>
      <c r="H223" s="44" t="str">
        <f>IFERROR(__xludf.DUMMYFUNCTION("""COMPUTED_VALUE"""),"行銷營運中心:銷售營運部:銷售顧問團隊")</f>
        <v>行銷營運中心:銷售營運部:銷售顧問團隊</v>
      </c>
      <c r="I223" s="37" t="str">
        <f>IFERROR(__xludf.DUMMYFUNCTION("""COMPUTED_VALUE"""),"資訊裝置")</f>
        <v>資訊裝置</v>
      </c>
      <c r="J223" s="37" t="str">
        <f>IFERROR(__xludf.DUMMYFUNCTION("""COMPUTED_VALUE"""),"AICHMN01604010")</f>
        <v>AICHMN01604010</v>
      </c>
      <c r="K223" s="37" t="str">
        <f>IFERROR(__xludf.DUMMYFUNCTION("""COMPUTED_VALUE"""),"螢幕")</f>
        <v>螢幕</v>
      </c>
      <c r="L223" s="37" t="str">
        <f>IFERROR(__xludf.DUMMYFUNCTION("""COMPUTED_VALUE"""),"CN-0YR48V-74261-21T-0TJL")</f>
        <v>CN-0YR48V-74261-21T-0TJL</v>
      </c>
      <c r="M223" s="37" t="str">
        <f>IFERROR(__xludf.DUMMYFUNCTION("""COMPUTED_VALUE"""),"潘宛逸")</f>
        <v>潘宛逸</v>
      </c>
      <c r="N223" s="44">
        <f>IFERROR(__xludf.DUMMYFUNCTION("""COMPUTED_VALUE"""),42468.0)</f>
        <v>42468</v>
      </c>
      <c r="O223" s="37"/>
      <c r="P223" s="37" t="str">
        <f>IFERROR(__xludf.DUMMYFUNCTION("""COMPUTED_VALUE"""),"資訊裝置")</f>
        <v>資訊裝置</v>
      </c>
      <c r="Q223" s="37">
        <f>IFERROR(__xludf.DUMMYFUNCTION("""COMPUTED_VALUE"""),36.0)</f>
        <v>36</v>
      </c>
      <c r="R223" s="37">
        <f>IFERROR(__xludf.DUMMYFUNCTION("""COMPUTED_VALUE"""),36.0)</f>
        <v>36</v>
      </c>
      <c r="S223" s="37" t="str">
        <f>IFERROR(__xludf.DUMMYFUNCTION("""COMPUTED_VALUE"""),"NT$0")</f>
        <v>NT$0</v>
      </c>
      <c r="T223" s="37" t="str">
        <f>IFERROR(__xludf.DUMMYFUNCTION("""COMPUTED_VALUE"""),"Dell 24吋 U2412Mb")</f>
        <v>Dell 24吋 U2412Mb</v>
      </c>
      <c r="U223" s="37"/>
      <c r="V223" s="37"/>
      <c r="W223" s="37"/>
      <c r="X223" s="40" t="str">
        <f>IFERROR(__xludf.DUMMYFUNCTION("""COMPUTED_VALUE"""),"")</f>
        <v/>
      </c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</row>
    <row r="224">
      <c r="B224" s="37"/>
      <c r="C224" s="37" t="str">
        <f>IFERROR(__xludf.DUMMYFUNCTION("""COMPUTED_VALUE"""),"滿三年更換")</f>
        <v>滿三年更換</v>
      </c>
      <c r="D224" s="37" t="str">
        <f>IFERROR(__xludf.DUMMYFUNCTION("""COMPUTED_VALUE"""),"TW")</f>
        <v>TW</v>
      </c>
      <c r="E224" s="37"/>
      <c r="F224" s="37"/>
      <c r="G224" s="37"/>
      <c r="H224" s="44" t="str">
        <f>IFERROR(__xludf.DUMMYFUNCTION("""COMPUTED_VALUE"""),"行銷營運中心:銷售營運部:客戶導入團隊")</f>
        <v>行銷營運中心:銷售營運部:客戶導入團隊</v>
      </c>
      <c r="I224" s="37" t="str">
        <f>IFERROR(__xludf.DUMMYFUNCTION("""COMPUTED_VALUE"""),"資訊裝置")</f>
        <v>資訊裝置</v>
      </c>
      <c r="J224" s="37" t="str">
        <f>IFERROR(__xludf.DUMMYFUNCTION("""COMPUTED_VALUE"""),"AICHIP02006030")</f>
        <v>AICHIP02006030</v>
      </c>
      <c r="K224" s="37" t="str">
        <f>IFERROR(__xludf.DUMMYFUNCTION("""COMPUTED_VALUE"""),"iPad")</f>
        <v>iPad</v>
      </c>
      <c r="L224" s="37" t="str">
        <f>IFERROR(__xludf.DUMMYFUNCTION("""COMPUTED_VALUE"""),"GG7CQGMSMF3P")</f>
        <v>GG7CQGMSMF3P</v>
      </c>
      <c r="M224" s="37" t="str">
        <f>IFERROR(__xludf.DUMMYFUNCTION("""COMPUTED_VALUE"""),"潘逸巧")</f>
        <v>潘逸巧</v>
      </c>
      <c r="N224" s="44">
        <f>IFERROR(__xludf.DUMMYFUNCTION("""COMPUTED_VALUE"""),43998.0)</f>
        <v>43998</v>
      </c>
      <c r="O224" s="40">
        <f>IFERROR(__xludf.DUMMYFUNCTION("""COMPUTED_VALUE"""),9800.0)</f>
        <v>9800</v>
      </c>
      <c r="P224" s="37" t="str">
        <f>IFERROR(__xludf.DUMMYFUNCTION("""COMPUTED_VALUE"""),"資訊裝置")</f>
        <v>資訊裝置</v>
      </c>
      <c r="Q224" s="37">
        <f>IFERROR(__xludf.DUMMYFUNCTION("""COMPUTED_VALUE"""),36.0)</f>
        <v>36</v>
      </c>
      <c r="R224" s="37">
        <f>IFERROR(__xludf.DUMMYFUNCTION("""COMPUTED_VALUE"""),36.0)</f>
        <v>36</v>
      </c>
      <c r="S224" s="37" t="str">
        <f>IFERROR(__xludf.DUMMYFUNCTION("""COMPUTED_VALUE"""),"NT$9,800")</f>
        <v>NT$9,800</v>
      </c>
      <c r="T224" s="37" t="str">
        <f>IFERROR(__xludf.DUMMYFUNCTION("""COMPUTED_VALUE"""),"iPad (第七代) 32GB WIFI(MW762TA/A)")</f>
        <v>iPad (第七代) 32GB WIFI(MW762TA/A)</v>
      </c>
      <c r="U224" s="37"/>
      <c r="V224" s="37"/>
      <c r="W224" s="37"/>
      <c r="X224" s="40" t="str">
        <f>IFERROR(__xludf.DUMMYFUNCTION("""COMPUTED_VALUE"""),"")</f>
        <v/>
      </c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</row>
    <row r="225">
      <c r="B225" s="37"/>
      <c r="C225" s="37" t="str">
        <f>IFERROR(__xludf.DUMMYFUNCTION("""COMPUTED_VALUE"""),"滿三年更換")</f>
        <v>滿三年更換</v>
      </c>
      <c r="D225" s="37" t="str">
        <f>IFERROR(__xludf.DUMMYFUNCTION("""COMPUTED_VALUE"""),"TW")</f>
        <v>TW</v>
      </c>
      <c r="E225" s="37"/>
      <c r="F225" s="37"/>
      <c r="G225" s="37"/>
      <c r="H225" s="44" t="str">
        <f>IFERROR(__xludf.DUMMYFUNCTION("""COMPUTED_VALUE"""),"客戶價值中心:客戶關係管理部:客服團隊 POS/OMO")</f>
        <v>客戶價值中心:客戶關係管理部:客服團隊 POS/OMO</v>
      </c>
      <c r="I225" s="37" t="str">
        <f>IFERROR(__xludf.DUMMYFUNCTION("""COMPUTED_VALUE"""),"資訊裝置")</f>
        <v>資訊裝置</v>
      </c>
      <c r="J225" s="37" t="str">
        <f>IFERROR(__xludf.DUMMYFUNCTION("""COMPUTED_VALUE"""),"AICHMA02112044")</f>
        <v>AICHMA02112044</v>
      </c>
      <c r="K225" s="37" t="str">
        <f>IFERROR(__xludf.DUMMYFUNCTION("""COMPUTED_VALUE"""),"Macbook Air")</f>
        <v>Macbook Air</v>
      </c>
      <c r="L225" s="37" t="str">
        <f>IFERROR(__xludf.DUMMYFUNCTION("""COMPUTED_VALUE"""),"FVFG42QVQ6L7")</f>
        <v>FVFG42QVQ6L7</v>
      </c>
      <c r="M225" s="37" t="str">
        <f>IFERROR(__xludf.DUMMYFUNCTION("""COMPUTED_VALUE"""),"蔡仲惠")</f>
        <v>蔡仲惠</v>
      </c>
      <c r="N225" s="45">
        <f>IFERROR(__xludf.DUMMYFUNCTION("""COMPUTED_VALUE"""),44546.0)</f>
        <v>44546</v>
      </c>
      <c r="O225" s="40">
        <f>IFERROR(__xludf.DUMMYFUNCTION("""COMPUTED_VALUE"""),27075.0)</f>
        <v>27075</v>
      </c>
      <c r="P225" s="37" t="str">
        <f>IFERROR(__xludf.DUMMYFUNCTION("""COMPUTED_VALUE"""),"資訊裝置")</f>
        <v>資訊裝置</v>
      </c>
      <c r="Q225" s="37">
        <f>IFERROR(__xludf.DUMMYFUNCTION("""COMPUTED_VALUE"""),36.0)</f>
        <v>36</v>
      </c>
      <c r="R225" s="37">
        <f>IFERROR(__xludf.DUMMYFUNCTION("""COMPUTED_VALUE"""),36.0)</f>
        <v>36</v>
      </c>
      <c r="S225" s="37" t="str">
        <f>IFERROR(__xludf.DUMMYFUNCTION("""COMPUTED_VALUE"""),"NT$27,075")</f>
        <v>NT$27,075</v>
      </c>
      <c r="T225" s="37" t="str">
        <f>IFERROR(__xludf.DUMMYFUNCTION("""COMPUTED_VALUE"""),"MBA/M1/8GBRAM/256GBSSD")</f>
        <v>MBA/M1/8GBRAM/256GBSSD</v>
      </c>
      <c r="U225" s="37"/>
      <c r="V225" s="37"/>
      <c r="W225" s="37"/>
      <c r="X225" s="40" t="str">
        <f>IFERROR(__xludf.DUMMYFUNCTION("""COMPUTED_VALUE"""),"")</f>
        <v/>
      </c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</row>
    <row r="226">
      <c r="B226" s="37"/>
      <c r="C226" s="37" t="str">
        <f>IFERROR(__xludf.DUMMYFUNCTION("""COMPUTED_VALUE"""),"滿三年更換")</f>
        <v>滿三年更換</v>
      </c>
      <c r="D226" s="37" t="str">
        <f>IFERROR(__xludf.DUMMYFUNCTION("""COMPUTED_VALUE"""),"TW")</f>
        <v>TW</v>
      </c>
      <c r="E226" s="37"/>
      <c r="F226" s="37"/>
      <c r="G226" s="37"/>
      <c r="H226" s="44" t="str">
        <f>IFERROR(__xludf.DUMMYFUNCTION("""COMPUTED_VALUE"""),"客戶價值中心:客戶關係管理部:客服團隊 POS/OMO")</f>
        <v>客戶價值中心:客戶關係管理部:客服團隊 POS/OMO</v>
      </c>
      <c r="I226" s="37" t="str">
        <f>IFERROR(__xludf.DUMMYFUNCTION("""COMPUTED_VALUE"""),"資訊裝置")</f>
        <v>資訊裝置</v>
      </c>
      <c r="J226" s="37" t="str">
        <f>IFERROR(__xludf.DUMMYFUNCTION("""COMPUTED_VALUE"""),"AICHIP02105054")</f>
        <v>AICHIP02105054</v>
      </c>
      <c r="K226" s="37" t="str">
        <f>IFERROR(__xludf.DUMMYFUNCTION("""COMPUTED_VALUE"""),"iPad")</f>
        <v>iPad</v>
      </c>
      <c r="L226" s="37" t="str">
        <f>IFERROR(__xludf.DUMMYFUNCTION("""COMPUTED_VALUE"""),"DMPCPX4MMF3M")</f>
        <v>DMPCPX4MMF3M</v>
      </c>
      <c r="M226" s="37" t="str">
        <f>IFERROR(__xludf.DUMMYFUNCTION("""COMPUTED_VALUE"""),"蔡仲惠")</f>
        <v>蔡仲惠</v>
      </c>
      <c r="N226" s="44">
        <f>IFERROR(__xludf.DUMMYFUNCTION("""COMPUTED_VALUE"""),44327.0)</f>
        <v>44327</v>
      </c>
      <c r="O226" s="40">
        <f>IFERROR(__xludf.DUMMYFUNCTION("""COMPUTED_VALUE"""),8640.0)</f>
        <v>8640</v>
      </c>
      <c r="P226" s="37" t="str">
        <f>IFERROR(__xludf.DUMMYFUNCTION("""COMPUTED_VALUE"""),"資訊裝置")</f>
        <v>資訊裝置</v>
      </c>
      <c r="Q226" s="37">
        <f>IFERROR(__xludf.DUMMYFUNCTION("""COMPUTED_VALUE"""),36.0)</f>
        <v>36</v>
      </c>
      <c r="R226" s="37">
        <f>IFERROR(__xludf.DUMMYFUNCTION("""COMPUTED_VALUE"""),36.0)</f>
        <v>36</v>
      </c>
      <c r="S226" s="37" t="str">
        <f>IFERROR(__xludf.DUMMYFUNCTION("""COMPUTED_VALUE"""),"NT$8,640")</f>
        <v>NT$8,640</v>
      </c>
      <c r="T226" s="37" t="str">
        <f>IFERROR(__xludf.DUMMYFUNCTION("""COMPUTED_VALUE"""),"iPad (第七代) 32GB WIFI(MW742TA/A)")</f>
        <v>iPad (第七代) 32GB WIFI(MW742TA/A)</v>
      </c>
      <c r="U226" s="37"/>
      <c r="V226" s="37"/>
      <c r="W226" s="37"/>
      <c r="X226" s="40" t="str">
        <f>IFERROR(__xludf.DUMMYFUNCTION("""COMPUTED_VALUE"""),"")</f>
        <v/>
      </c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</row>
    <row r="227">
      <c r="B227" s="37"/>
      <c r="C227" s="37" t="str">
        <f>IFERROR(__xludf.DUMMYFUNCTION("""COMPUTED_VALUE"""),"滿三年更換")</f>
        <v>滿三年更換</v>
      </c>
      <c r="D227" s="37" t="str">
        <f>IFERROR(__xludf.DUMMYFUNCTION("""COMPUTED_VALUE"""),"TW")</f>
        <v>TW</v>
      </c>
      <c r="E227" s="37"/>
      <c r="F227" s="37"/>
      <c r="G227" s="37"/>
      <c r="H227" s="44" t="str">
        <f>IFERROR(__xludf.DUMMYFUNCTION("""COMPUTED_VALUE"""),"客戶價值中心:客戶關係管理部:客服團隊 POS/OMO")</f>
        <v>客戶價值中心:客戶關係管理部:客服團隊 POS/OMO</v>
      </c>
      <c r="I227" s="37" t="str">
        <f>IFERROR(__xludf.DUMMYFUNCTION("""COMPUTED_VALUE"""),"資訊裝置")</f>
        <v>資訊裝置</v>
      </c>
      <c r="J227" s="37" t="str">
        <f>IFERROR(__xludf.DUMMYFUNCTION("""COMPUTED_VALUE"""),"AICHMN01604016")</f>
        <v>AICHMN01604016</v>
      </c>
      <c r="K227" s="37" t="str">
        <f>IFERROR(__xludf.DUMMYFUNCTION("""COMPUTED_VALUE"""),"螢幕")</f>
        <v>螢幕</v>
      </c>
      <c r="L227" s="37" t="str">
        <f>IFERROR(__xludf.DUMMYFUNCTION("""COMPUTED_VALUE"""),"CN-03W9XD-74261-31A-1TES")</f>
        <v>CN-03W9XD-74261-31A-1TES</v>
      </c>
      <c r="M227" s="37" t="str">
        <f>IFERROR(__xludf.DUMMYFUNCTION("""COMPUTED_VALUE"""),"蔡仲惠")</f>
        <v>蔡仲惠</v>
      </c>
      <c r="N227" s="44">
        <f>IFERROR(__xludf.DUMMYFUNCTION("""COMPUTED_VALUE"""),42468.0)</f>
        <v>42468</v>
      </c>
      <c r="O227" s="37"/>
      <c r="P227" s="37" t="str">
        <f>IFERROR(__xludf.DUMMYFUNCTION("""COMPUTED_VALUE"""),"資訊裝置")</f>
        <v>資訊裝置</v>
      </c>
      <c r="Q227" s="37">
        <f>IFERROR(__xludf.DUMMYFUNCTION("""COMPUTED_VALUE"""),36.0)</f>
        <v>36</v>
      </c>
      <c r="R227" s="37">
        <f>IFERROR(__xludf.DUMMYFUNCTION("""COMPUTED_VALUE"""),36.0)</f>
        <v>36</v>
      </c>
      <c r="S227" s="37" t="str">
        <f>IFERROR(__xludf.DUMMYFUNCTION("""COMPUTED_VALUE"""),"NT$0")</f>
        <v>NT$0</v>
      </c>
      <c r="T227" s="37" t="str">
        <f>IFERROR(__xludf.DUMMYFUNCTION("""COMPUTED_VALUE"""),"Dell 24吋 U2412Mb")</f>
        <v>Dell 24吋 U2412Mb</v>
      </c>
      <c r="U227" s="37"/>
      <c r="V227" s="37"/>
      <c r="W227" s="37"/>
      <c r="X227" s="40" t="str">
        <f>IFERROR(__xludf.DUMMYFUNCTION("""COMPUTED_VALUE"""),"")</f>
        <v/>
      </c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</row>
    <row r="228">
      <c r="B228" s="37"/>
      <c r="C228" s="37" t="str">
        <f>IFERROR(__xludf.DUMMYFUNCTION("""COMPUTED_VALUE"""),"滿三年更換")</f>
        <v>滿三年更換</v>
      </c>
      <c r="D228" s="37" t="str">
        <f>IFERROR(__xludf.DUMMYFUNCTION("""COMPUTED_VALUE"""),"TW")</f>
        <v>TW</v>
      </c>
      <c r="E228" s="37"/>
      <c r="F228" s="37"/>
      <c r="G228" s="37"/>
      <c r="H228" s="44" t="str">
        <f>IFERROR(__xludf.DUMMYFUNCTION("""COMPUTED_VALUE"""),"客戶價值中心:客戶成功管理部:客戶成功團隊 MS 總部/POS/OMO")</f>
        <v>客戶價值中心:客戶成功管理部:客戶成功團隊 MS 總部/POS/OMO</v>
      </c>
      <c r="I228" s="37" t="str">
        <f>IFERROR(__xludf.DUMMYFUNCTION("""COMPUTED_VALUE"""),"資訊裝置")</f>
        <v>資訊裝置</v>
      </c>
      <c r="J228" s="37" t="str">
        <f>IFERROR(__xludf.DUMMYFUNCTION("""COMPUTED_VALUE"""),"AICHMA02112043")</f>
        <v>AICHMA02112043</v>
      </c>
      <c r="K228" s="37" t="str">
        <f>IFERROR(__xludf.DUMMYFUNCTION("""COMPUTED_VALUE"""),"Macbook Air")</f>
        <v>Macbook Air</v>
      </c>
      <c r="L228" s="37" t="str">
        <f>IFERROR(__xludf.DUMMYFUNCTION("""COMPUTED_VALUE"""),"FVFGJ2F7Q6L4")</f>
        <v>FVFGJ2F7Q6L4</v>
      </c>
      <c r="M228" s="37" t="str">
        <f>IFERROR(__xludf.DUMMYFUNCTION("""COMPUTED_VALUE"""),"蔡佳玲")</f>
        <v>蔡佳玲</v>
      </c>
      <c r="N228" s="45">
        <f>IFERROR(__xludf.DUMMYFUNCTION("""COMPUTED_VALUE"""),44544.0)</f>
        <v>44544</v>
      </c>
      <c r="O228" s="40">
        <f>IFERROR(__xludf.DUMMYFUNCTION("""COMPUTED_VALUE"""),27075.0)</f>
        <v>27075</v>
      </c>
      <c r="P228" s="37" t="str">
        <f>IFERROR(__xludf.DUMMYFUNCTION("""COMPUTED_VALUE"""),"資訊裝置")</f>
        <v>資訊裝置</v>
      </c>
      <c r="Q228" s="37">
        <f>IFERROR(__xludf.DUMMYFUNCTION("""COMPUTED_VALUE"""),36.0)</f>
        <v>36</v>
      </c>
      <c r="R228" s="37">
        <f>IFERROR(__xludf.DUMMYFUNCTION("""COMPUTED_VALUE"""),36.0)</f>
        <v>36</v>
      </c>
      <c r="S228" s="37" t="str">
        <f>IFERROR(__xludf.DUMMYFUNCTION("""COMPUTED_VALUE"""),"NT$27,075")</f>
        <v>NT$27,075</v>
      </c>
      <c r="T228" s="37" t="str">
        <f>IFERROR(__xludf.DUMMYFUNCTION("""COMPUTED_VALUE"""),"A2337 MBA13 (2020) M1/8GBRAM/256GBSSD(MGN63TA/A)/電池44正常")</f>
        <v>A2337 MBA13 (2020) M1/8GBRAM/256GBSSD(MGN63TA/A)/電池44正常</v>
      </c>
      <c r="U228" s="37"/>
      <c r="V228" s="37"/>
      <c r="W228" s="37"/>
      <c r="X228" s="40" t="str">
        <f>IFERROR(__xludf.DUMMYFUNCTION("""COMPUTED_VALUE"""),"")</f>
        <v/>
      </c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</row>
    <row r="229">
      <c r="B229" s="37"/>
      <c r="C229" s="37" t="str">
        <f>IFERROR(__xludf.DUMMYFUNCTION("""COMPUTED_VALUE"""),"滿三年更換")</f>
        <v>滿三年更換</v>
      </c>
      <c r="D229" s="37" t="str">
        <f>IFERROR(__xludf.DUMMYFUNCTION("""COMPUTED_VALUE"""),"TW")</f>
        <v>TW</v>
      </c>
      <c r="E229" s="37"/>
      <c r="F229" s="37"/>
      <c r="G229" s="37"/>
      <c r="H229" s="44" t="str">
        <f>IFERROR(__xludf.DUMMYFUNCTION("""COMPUTED_VALUE"""),"客戶價值中心:客戶成功管理部:客戶成功團隊 MS 總部/POS/OMO")</f>
        <v>客戶價值中心:客戶成功管理部:客戶成功團隊 MS 總部/POS/OMO</v>
      </c>
      <c r="I229" s="37" t="str">
        <f>IFERROR(__xludf.DUMMYFUNCTION("""COMPUTED_VALUE"""),"資訊裝置")</f>
        <v>資訊裝置</v>
      </c>
      <c r="J229" s="37" t="str">
        <f>IFERROR(__xludf.DUMMYFUNCTION("""COMPUTED_VALUE"""),"AICHIP02106064")</f>
        <v>AICHIP02106064</v>
      </c>
      <c r="K229" s="37" t="str">
        <f>IFERROR(__xludf.DUMMYFUNCTION("""COMPUTED_VALUE"""),"iPad")</f>
        <v>iPad</v>
      </c>
      <c r="L229" s="37" t="str">
        <f>IFERROR(__xludf.DUMMYFUNCTION("""COMPUTED_VALUE"""),"F9FFN1MEQ1GD")</f>
        <v>F9FFN1MEQ1GD</v>
      </c>
      <c r="M229" s="37" t="str">
        <f>IFERROR(__xludf.DUMMYFUNCTION("""COMPUTED_VALUE"""),"蔡佳玲")</f>
        <v>蔡佳玲</v>
      </c>
      <c r="N229" s="44">
        <f>IFERROR(__xludf.DUMMYFUNCTION("""COMPUTED_VALUE"""),44371.0)</f>
        <v>44371</v>
      </c>
      <c r="O229" s="40">
        <f>IFERROR(__xludf.DUMMYFUNCTION("""COMPUTED_VALUE"""),9450.0)</f>
        <v>9450</v>
      </c>
      <c r="P229" s="37" t="str">
        <f>IFERROR(__xludf.DUMMYFUNCTION("""COMPUTED_VALUE"""),"資訊裝置")</f>
        <v>資訊裝置</v>
      </c>
      <c r="Q229" s="37">
        <f>IFERROR(__xludf.DUMMYFUNCTION("""COMPUTED_VALUE"""),36.0)</f>
        <v>36</v>
      </c>
      <c r="R229" s="37">
        <f>IFERROR(__xludf.DUMMYFUNCTION("""COMPUTED_VALUE"""),36.0)</f>
        <v>36</v>
      </c>
      <c r="S229" s="37" t="str">
        <f>IFERROR(__xludf.DUMMYFUNCTION("""COMPUTED_VALUE"""),"NT$9,450")</f>
        <v>NT$9,450</v>
      </c>
      <c r="T229" s="37" t="str">
        <f>IFERROR(__xludf.DUMMYFUNCTION("""COMPUTED_VALUE"""),"iPad (第八代) WI-FI 32GB(MYLA2TA/A)")</f>
        <v>iPad (第八代) WI-FI 32GB(MYLA2TA/A)</v>
      </c>
      <c r="U229" s="37"/>
      <c r="V229" s="37"/>
      <c r="W229" s="37"/>
      <c r="X229" s="40" t="str">
        <f>IFERROR(__xludf.DUMMYFUNCTION("""COMPUTED_VALUE"""),"")</f>
        <v/>
      </c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</row>
    <row r="230">
      <c r="B230" s="37"/>
      <c r="C230" s="37" t="str">
        <f>IFERROR(__xludf.DUMMYFUNCTION("""COMPUTED_VALUE"""),"滿三年更換")</f>
        <v>滿三年更換</v>
      </c>
      <c r="D230" s="37" t="str">
        <f>IFERROR(__xludf.DUMMYFUNCTION("""COMPUTED_VALUE"""),"TW")</f>
        <v>TW</v>
      </c>
      <c r="E230" s="37"/>
      <c r="F230" s="37"/>
      <c r="G230" s="37"/>
      <c r="H230" s="44" t="str">
        <f>IFERROR(__xludf.DUMMYFUNCTION("""COMPUTED_VALUE"""),"研發中心:產品設計部:產品經理團隊")</f>
        <v>研發中心:產品設計部:產品經理團隊</v>
      </c>
      <c r="I230" s="37" t="str">
        <f>IFERROR(__xludf.DUMMYFUNCTION("""COMPUTED_VALUE"""),"資訊裝置")</f>
        <v>資訊裝置</v>
      </c>
      <c r="J230" s="37" t="str">
        <f>IFERROR(__xludf.DUMMYFUNCTION("""COMPUTED_VALUE"""),"AICHMP02108036")</f>
        <v>AICHMP02108036</v>
      </c>
      <c r="K230" s="37" t="str">
        <f>IFERROR(__xludf.DUMMYFUNCTION("""COMPUTED_VALUE"""),"Macbook Pro")</f>
        <v>Macbook Pro</v>
      </c>
      <c r="L230" s="37" t="str">
        <f>IFERROR(__xludf.DUMMYFUNCTION("""COMPUTED_VALUE"""),"C02G44M2Q05N")</f>
        <v>C02G44M2Q05N</v>
      </c>
      <c r="M230" s="37" t="str">
        <f>IFERROR(__xludf.DUMMYFUNCTION("""COMPUTED_VALUE"""),"蔡依伶")</f>
        <v>蔡依伶</v>
      </c>
      <c r="N230" s="44">
        <f>IFERROR(__xludf.DUMMYFUNCTION("""COMPUTED_VALUE"""),44414.0)</f>
        <v>44414</v>
      </c>
      <c r="O230" s="40">
        <f>IFERROR(__xludf.DUMMYFUNCTION("""COMPUTED_VALUE"""),40300.0)</f>
        <v>40300</v>
      </c>
      <c r="P230" s="37" t="str">
        <f>IFERROR(__xludf.DUMMYFUNCTION("""COMPUTED_VALUE"""),"資訊裝置")</f>
        <v>資訊裝置</v>
      </c>
      <c r="Q230" s="37">
        <f>IFERROR(__xludf.DUMMYFUNCTION("""COMPUTED_VALUE"""),36.0)</f>
        <v>36</v>
      </c>
      <c r="R230" s="37">
        <f>IFERROR(__xludf.DUMMYFUNCTION("""COMPUTED_VALUE"""),36.0)</f>
        <v>36</v>
      </c>
      <c r="S230" s="37" t="str">
        <f>IFERROR(__xludf.DUMMYFUNCTION("""COMPUTED_VALUE"""),"NT$40,300")</f>
        <v>NT$40,300</v>
      </c>
      <c r="T230" s="37" t="str">
        <f>IFERROR(__xludf.DUMMYFUNCTION("""COMPUTED_VALUE"""),"MBP13 (2020) M1/16GBRAM/256GBSSD")</f>
        <v>MBP13 (2020) M1/16GBRAM/256GBSSD</v>
      </c>
      <c r="U230" s="37"/>
      <c r="V230" s="37"/>
      <c r="W230" s="37"/>
      <c r="X230" s="40" t="str">
        <f>IFERROR(__xludf.DUMMYFUNCTION("""COMPUTED_VALUE"""),"")</f>
        <v/>
      </c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</row>
    <row r="231">
      <c r="B231" s="37"/>
      <c r="C231" s="37" t="str">
        <f>IFERROR(__xludf.DUMMYFUNCTION("""COMPUTED_VALUE"""),"滿三年更換")</f>
        <v>滿三年更換</v>
      </c>
      <c r="D231" s="37" t="str">
        <f>IFERROR(__xludf.DUMMYFUNCTION("""COMPUTED_VALUE"""),"TW")</f>
        <v>TW</v>
      </c>
      <c r="E231" s="37"/>
      <c r="F231" s="37"/>
      <c r="G231" s="37"/>
      <c r="H231" s="44" t="str">
        <f>IFERROR(__xludf.DUMMYFUNCTION("""COMPUTED_VALUE"""),"研發中心:產品設計部:產品經理團隊")</f>
        <v>研發中心:產品設計部:產品經理團隊</v>
      </c>
      <c r="I231" s="37" t="str">
        <f>IFERROR(__xludf.DUMMYFUNCTION("""COMPUTED_VALUE"""),"資訊裝置")</f>
        <v>資訊裝置</v>
      </c>
      <c r="J231" s="37" t="str">
        <f>IFERROR(__xludf.DUMMYFUNCTION("""COMPUTED_VALUE"""),"AICHIP02107068")</f>
        <v>AICHIP02107068</v>
      </c>
      <c r="K231" s="37" t="str">
        <f>IFERROR(__xludf.DUMMYFUNCTION("""COMPUTED_VALUE"""),"iPad")</f>
        <v>iPad</v>
      </c>
      <c r="L231" s="37" t="str">
        <f>IFERROR(__xludf.DUMMYFUNCTION("""COMPUTED_VALUE"""),"F9FFT3NDQ1GD")</f>
        <v>F9FFT3NDQ1GD</v>
      </c>
      <c r="M231" s="37" t="str">
        <f>IFERROR(__xludf.DUMMYFUNCTION("""COMPUTED_VALUE"""),"蔡依伶")</f>
        <v>蔡依伶</v>
      </c>
      <c r="N231" s="44">
        <f>IFERROR(__xludf.DUMMYFUNCTION("""COMPUTED_VALUE"""),44398.0)</f>
        <v>44398</v>
      </c>
      <c r="O231" s="40">
        <f>IFERROR(__xludf.DUMMYFUNCTION("""COMPUTED_VALUE"""),9450.0)</f>
        <v>9450</v>
      </c>
      <c r="P231" s="37" t="str">
        <f>IFERROR(__xludf.DUMMYFUNCTION("""COMPUTED_VALUE"""),"資訊裝置")</f>
        <v>資訊裝置</v>
      </c>
      <c r="Q231" s="37">
        <f>IFERROR(__xludf.DUMMYFUNCTION("""COMPUTED_VALUE"""),36.0)</f>
        <v>36</v>
      </c>
      <c r="R231" s="37">
        <f>IFERROR(__xludf.DUMMYFUNCTION("""COMPUTED_VALUE"""),36.0)</f>
        <v>36</v>
      </c>
      <c r="S231" s="37" t="str">
        <f>IFERROR(__xludf.DUMMYFUNCTION("""COMPUTED_VALUE"""),"NT$9,450")</f>
        <v>NT$9,450</v>
      </c>
      <c r="T231" s="37" t="str">
        <f>IFERROR(__xludf.DUMMYFUNCTION("""COMPUTED_VALUE"""),"iPad (第八代) WI-FI 32GB(MYLA2TA/A)")</f>
        <v>iPad (第八代) WI-FI 32GB(MYLA2TA/A)</v>
      </c>
      <c r="U231" s="37"/>
      <c r="V231" s="37"/>
      <c r="W231" s="37"/>
      <c r="X231" s="40" t="str">
        <f>IFERROR(__xludf.DUMMYFUNCTION("""COMPUTED_VALUE"""),"")</f>
        <v/>
      </c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</row>
    <row r="232">
      <c r="B232" s="37"/>
      <c r="C232" s="37" t="str">
        <f>IFERROR(__xludf.DUMMYFUNCTION("""COMPUTED_VALUE"""),"滿三年更換")</f>
        <v>滿三年更換</v>
      </c>
      <c r="D232" s="37" t="str">
        <f>IFERROR(__xludf.DUMMYFUNCTION("""COMPUTED_VALUE"""),"TW")</f>
        <v>TW</v>
      </c>
      <c r="E232" s="37"/>
      <c r="F232" s="37"/>
      <c r="G232" s="37"/>
      <c r="H232" s="44" t="str">
        <f>IFERROR(__xludf.DUMMYFUNCTION("""COMPUTED_VALUE"""),"行銷營運中心:產品行銷部:數位行銷團隊")</f>
        <v>行銷營運中心:產品行銷部:數位行銷團隊</v>
      </c>
      <c r="I232" s="37" t="str">
        <f>IFERROR(__xludf.DUMMYFUNCTION("""COMPUTED_VALUE"""),"資訊裝置")</f>
        <v>資訊裝置</v>
      </c>
      <c r="J232" s="37" t="str">
        <f>IFERROR(__xludf.DUMMYFUNCTION("""COMPUTED_VALUE"""),"AICHMN01705039")</f>
        <v>AICHMN01705039</v>
      </c>
      <c r="K232" s="37" t="str">
        <f>IFERROR(__xludf.DUMMYFUNCTION("""COMPUTED_VALUE"""),"螢幕")</f>
        <v>螢幕</v>
      </c>
      <c r="L232" s="37" t="str">
        <f>IFERROR(__xludf.DUMMYFUNCTION("""COMPUTED_VALUE"""),"CN-07N2FG-TV100-83M-04AS-A07")</f>
        <v>CN-07N2FG-TV100-83M-04AS-A07</v>
      </c>
      <c r="M232" s="37" t="str">
        <f>IFERROR(__xludf.DUMMYFUNCTION("""COMPUTED_VALUE"""),"蔡承芳")</f>
        <v>蔡承芳</v>
      </c>
      <c r="N232" s="44">
        <f>IFERROR(__xludf.DUMMYFUNCTION("""COMPUTED_VALUE"""),43245.0)</f>
        <v>43245</v>
      </c>
      <c r="O232" s="37"/>
      <c r="P232" s="37" t="str">
        <f>IFERROR(__xludf.DUMMYFUNCTION("""COMPUTED_VALUE"""),"資訊裝置")</f>
        <v>資訊裝置</v>
      </c>
      <c r="Q232" s="37">
        <f>IFERROR(__xludf.DUMMYFUNCTION("""COMPUTED_VALUE"""),36.0)</f>
        <v>36</v>
      </c>
      <c r="R232" s="37">
        <f>IFERROR(__xludf.DUMMYFUNCTION("""COMPUTED_VALUE"""),36.0)</f>
        <v>36</v>
      </c>
      <c r="S232" s="37" t="str">
        <f>IFERROR(__xludf.DUMMYFUNCTION("""COMPUTED_VALUE"""),"NT$0")</f>
        <v>NT$0</v>
      </c>
      <c r="T232" s="37" t="str">
        <f>IFERROR(__xludf.DUMMYFUNCTION("""COMPUTED_VALUE"""),"Dell 24吋 U2412Mc")</f>
        <v>Dell 24吋 U2412Mc</v>
      </c>
      <c r="U232" s="37"/>
      <c r="V232" s="37"/>
      <c r="W232" s="37"/>
      <c r="X232" s="40" t="str">
        <f>IFERROR(__xludf.DUMMYFUNCTION("""COMPUTED_VALUE"""),"")</f>
        <v/>
      </c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</row>
    <row r="233">
      <c r="B233" s="37"/>
      <c r="C233" s="37" t="str">
        <f>IFERROR(__xludf.DUMMYFUNCTION("""COMPUTED_VALUE"""),"滿三年更換")</f>
        <v>滿三年更換</v>
      </c>
      <c r="D233" s="37" t="str">
        <f>IFERROR(__xludf.DUMMYFUNCTION("""COMPUTED_VALUE"""),"TW")</f>
        <v>TW</v>
      </c>
      <c r="E233" s="37"/>
      <c r="F233" s="37"/>
      <c r="G233" s="37"/>
      <c r="H233" s="44" t="str">
        <f>IFERROR(__xludf.DUMMYFUNCTION("""COMPUTED_VALUE"""),"行銷營運中心:銷售營運部:線上開發團隊")</f>
        <v>行銷營運中心:銷售營運部:線上開發團隊</v>
      </c>
      <c r="I233" s="37" t="str">
        <f>IFERROR(__xludf.DUMMYFUNCTION("""COMPUTED_VALUE"""),"資訊裝置")</f>
        <v>資訊裝置</v>
      </c>
      <c r="J233" s="37" t="str">
        <f>IFERROR(__xludf.DUMMYFUNCTION("""COMPUTED_VALUE"""),"AICHMA02209049")</f>
        <v>AICHMA02209049</v>
      </c>
      <c r="K233" s="37" t="str">
        <f>IFERROR(__xludf.DUMMYFUNCTION("""COMPUTED_VALUE"""),"Macbook Air")</f>
        <v>Macbook Air</v>
      </c>
      <c r="L233" s="37" t="str">
        <f>IFERROR(__xludf.DUMMYFUNCTION("""COMPUTED_VALUE"""),"FVFJC0651WG7")</f>
        <v>FVFJC0651WG7</v>
      </c>
      <c r="M233" s="37" t="str">
        <f>IFERROR(__xludf.DUMMYFUNCTION("""COMPUTED_VALUE"""),"蔡於蓉")</f>
        <v>蔡於蓉</v>
      </c>
      <c r="N233" s="44">
        <f>IFERROR(__xludf.DUMMYFUNCTION("""COMPUTED_VALUE"""),44819.0)</f>
        <v>44819</v>
      </c>
      <c r="O233" s="40">
        <f>IFERROR(__xludf.DUMMYFUNCTION("""COMPUTED_VALUE"""),32400.0)</f>
        <v>32400</v>
      </c>
      <c r="P233" s="37" t="str">
        <f>IFERROR(__xludf.DUMMYFUNCTION("""COMPUTED_VALUE"""),"資訊裝置")</f>
        <v>資訊裝置</v>
      </c>
      <c r="Q233" s="37">
        <f>IFERROR(__xludf.DUMMYFUNCTION("""COMPUTED_VALUE"""),36.0)</f>
        <v>36</v>
      </c>
      <c r="R233" s="37">
        <f>IFERROR(__xludf.DUMMYFUNCTION("""COMPUTED_VALUE"""),37.0)</f>
        <v>37</v>
      </c>
      <c r="S233" s="37" t="str">
        <f>IFERROR(__xludf.DUMMYFUNCTION("""COMPUTED_VALUE"""),"NT$33,300")</f>
        <v>NT$33,300</v>
      </c>
      <c r="T233" s="37" t="str">
        <f>IFERROR(__xludf.DUMMYFUNCTION("""COMPUTED_VALUE"""),"A2337 MBA13 (2020) M1/16GBRAM/256GBSSD")</f>
        <v>A2337 MBA13 (2020) M1/16GBRAM/256GBSSD</v>
      </c>
      <c r="U233" s="37"/>
      <c r="V233" s="37"/>
      <c r="W233" s="37"/>
      <c r="X233" s="40" t="str">
        <f>IFERROR(__xludf.DUMMYFUNCTION("""COMPUTED_VALUE"""),"")</f>
        <v/>
      </c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</row>
    <row r="234">
      <c r="B234" s="37"/>
      <c r="C234" s="37" t="str">
        <f>IFERROR(__xludf.DUMMYFUNCTION("""COMPUTED_VALUE"""),"滿三年更換")</f>
        <v>滿三年更換</v>
      </c>
      <c r="D234" s="37" t="str">
        <f>IFERROR(__xludf.DUMMYFUNCTION("""COMPUTED_VALUE"""),"TW")</f>
        <v>TW</v>
      </c>
      <c r="E234" s="37"/>
      <c r="F234" s="37"/>
      <c r="G234" s="37"/>
      <c r="H234" s="44" t="str">
        <f>IFERROR(__xludf.DUMMYFUNCTION("""COMPUTED_VALUE"""),"行銷營運中心:銷售營運部:線上開發團隊")</f>
        <v>行銷營運中心:銷售營運部:線上開發團隊</v>
      </c>
      <c r="I234" s="37" t="str">
        <f>IFERROR(__xludf.DUMMYFUNCTION("""COMPUTED_VALUE"""),"資訊裝置")</f>
        <v>資訊裝置</v>
      </c>
      <c r="J234" s="37" t="str">
        <f>IFERROR(__xludf.DUMMYFUNCTION("""COMPUTED_VALUE"""),"AICHIP02006025")</f>
        <v>AICHIP02006025</v>
      </c>
      <c r="K234" s="37" t="str">
        <f>IFERROR(__xludf.DUMMYFUNCTION("""COMPUTED_VALUE"""),"iPad")</f>
        <v>iPad</v>
      </c>
      <c r="L234" s="37" t="str">
        <f>IFERROR(__xludf.DUMMYFUNCTION("""COMPUTED_VALUE"""),"DMPCPDTHMF3P")</f>
        <v>DMPCPDTHMF3P</v>
      </c>
      <c r="M234" s="37" t="str">
        <f>IFERROR(__xludf.DUMMYFUNCTION("""COMPUTED_VALUE"""),"蔡於蓉")</f>
        <v>蔡於蓉</v>
      </c>
      <c r="N234" s="44">
        <f>IFERROR(__xludf.DUMMYFUNCTION("""COMPUTED_VALUE"""),43985.0)</f>
        <v>43985</v>
      </c>
      <c r="O234" s="40">
        <f>IFERROR(__xludf.DUMMYFUNCTION("""COMPUTED_VALUE"""),9800.0)</f>
        <v>9800</v>
      </c>
      <c r="P234" s="37" t="str">
        <f>IFERROR(__xludf.DUMMYFUNCTION("""COMPUTED_VALUE"""),"資訊裝置")</f>
        <v>資訊裝置</v>
      </c>
      <c r="Q234" s="37">
        <f>IFERROR(__xludf.DUMMYFUNCTION("""COMPUTED_VALUE"""),36.0)</f>
        <v>36</v>
      </c>
      <c r="R234" s="37">
        <f>IFERROR(__xludf.DUMMYFUNCTION("""COMPUTED_VALUE"""),36.0)</f>
        <v>36</v>
      </c>
      <c r="S234" s="37" t="str">
        <f>IFERROR(__xludf.DUMMYFUNCTION("""COMPUTED_VALUE"""),"NT$9,800")</f>
        <v>NT$9,800</v>
      </c>
      <c r="T234" s="37" t="str">
        <f>IFERROR(__xludf.DUMMYFUNCTION("""COMPUTED_VALUE"""),"iPad (第七代) 32GB WIFI(A2197)")</f>
        <v>iPad (第七代) 32GB WIFI(A2197)</v>
      </c>
      <c r="U234" s="37"/>
      <c r="V234" s="37"/>
      <c r="W234" s="37"/>
      <c r="X234" s="40" t="str">
        <f>IFERROR(__xludf.DUMMYFUNCTION("""COMPUTED_VALUE"""),"")</f>
        <v/>
      </c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</row>
    <row r="235">
      <c r="B235" s="37"/>
      <c r="C235" s="37" t="str">
        <f>IFERROR(__xludf.DUMMYFUNCTION("""COMPUTED_VALUE"""),"滿三年更換")</f>
        <v>滿三年更換</v>
      </c>
      <c r="D235" s="37" t="str">
        <f>IFERROR(__xludf.DUMMYFUNCTION("""COMPUTED_VALUE"""),"TW")</f>
        <v>TW</v>
      </c>
      <c r="E235" s="37"/>
      <c r="F235" s="37"/>
      <c r="G235" s="37"/>
      <c r="H235" s="44" t="str">
        <f>IFERROR(__xludf.DUMMYFUNCTION("""COMPUTED_VALUE"""),"行銷營運中心:銷售營運部:線上開發團隊")</f>
        <v>行銷營運中心:銷售營運部:線上開發團隊</v>
      </c>
      <c r="I235" s="37" t="str">
        <f>IFERROR(__xludf.DUMMYFUNCTION("""COMPUTED_VALUE"""),"資訊裝置")</f>
        <v>資訊裝置</v>
      </c>
      <c r="J235" s="37" t="str">
        <f>IFERROR(__xludf.DUMMYFUNCTION("""COMPUTED_VALUE"""),"AICHMN02108106")</f>
        <v>AICHMN02108106</v>
      </c>
      <c r="K235" s="37" t="str">
        <f>IFERROR(__xludf.DUMMYFUNCTION("""COMPUTED_VALUE"""),"螢幕")</f>
        <v>螢幕</v>
      </c>
      <c r="L235" s="37" t="str">
        <f>IFERROR(__xludf.DUMMYFUNCTION("""COMPUTED_VALUE"""),"CN-0458FC-WSL00-16M-022B-A04")</f>
        <v>CN-0458FC-WSL00-16M-022B-A04</v>
      </c>
      <c r="M235" s="37" t="str">
        <f>IFERROR(__xludf.DUMMYFUNCTION("""COMPUTED_VALUE"""),"蔡於蓉")</f>
        <v>蔡於蓉</v>
      </c>
      <c r="N235" s="44">
        <f>IFERROR(__xludf.DUMMYFUNCTION("""COMPUTED_VALUE"""),44418.0)</f>
        <v>44418</v>
      </c>
      <c r="O235" s="40">
        <f>IFERROR(__xludf.DUMMYFUNCTION("""COMPUTED_VALUE"""),5417.0)</f>
        <v>5417</v>
      </c>
      <c r="P235" s="37" t="str">
        <f>IFERROR(__xludf.DUMMYFUNCTION("""COMPUTED_VALUE"""),"資訊裝置")</f>
        <v>資訊裝置</v>
      </c>
      <c r="Q235" s="37">
        <f>IFERROR(__xludf.DUMMYFUNCTION("""COMPUTED_VALUE"""),36.0)</f>
        <v>36</v>
      </c>
      <c r="R235" s="37">
        <f>IFERROR(__xludf.DUMMYFUNCTION("""COMPUTED_VALUE"""),36.0)</f>
        <v>36</v>
      </c>
      <c r="S235" s="37" t="str">
        <f>IFERROR(__xludf.DUMMYFUNCTION("""COMPUTED_VALUE"""),"NT$5,417")</f>
        <v>NT$5,417</v>
      </c>
      <c r="T235" s="37" t="str">
        <f>IFERROR(__xludf.DUMMYFUNCTION("""COMPUTED_VALUE"""),"Dell 24吋 S2412HSX")</f>
        <v>Dell 24吋 S2412HSX</v>
      </c>
      <c r="U235" s="37"/>
      <c r="V235" s="37"/>
      <c r="W235" s="37"/>
      <c r="X235" s="40" t="str">
        <f>IFERROR(__xludf.DUMMYFUNCTION("""COMPUTED_VALUE"""),"")</f>
        <v/>
      </c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</row>
    <row r="236">
      <c r="B236" s="37"/>
      <c r="C236" s="37" t="str">
        <f>IFERROR(__xludf.DUMMYFUNCTION("""COMPUTED_VALUE"""),"滿三年更換")</f>
        <v>滿三年更換</v>
      </c>
      <c r="D236" s="37" t="str">
        <f>IFERROR(__xludf.DUMMYFUNCTION("""COMPUTED_VALUE"""),"TW")</f>
        <v>TW</v>
      </c>
      <c r="E236" s="37"/>
      <c r="F236" s="37"/>
      <c r="G236" s="37"/>
      <c r="H236" s="44" t="str">
        <f>IFERROR(__xludf.DUMMYFUNCTION("""COMPUTED_VALUE"""),"行銷營運中心:社群關係部:餐廳社群團隊")</f>
        <v>行銷營運中心:社群關係部:餐廳社群團隊</v>
      </c>
      <c r="I236" s="37" t="str">
        <f>IFERROR(__xludf.DUMMYFUNCTION("""COMPUTED_VALUE"""),"資訊裝置")</f>
        <v>資訊裝置</v>
      </c>
      <c r="J236" s="37" t="str">
        <f>IFERROR(__xludf.DUMMYFUNCTION("""COMPUTED_VALUE"""),"AICHMN01604023")</f>
        <v>AICHMN01604023</v>
      </c>
      <c r="K236" s="37" t="str">
        <f>IFERROR(__xludf.DUMMYFUNCTION("""COMPUTED_VALUE"""),"螢幕")</f>
        <v>螢幕</v>
      </c>
      <c r="L236" s="37" t="str">
        <f>IFERROR(__xludf.DUMMYFUNCTION("""COMPUTED_VALUE"""),"CN-0MTYGK-64180-61T-04CL-A02")</f>
        <v>CN-0MTYGK-64180-61T-04CL-A02</v>
      </c>
      <c r="M236" s="37" t="str">
        <f>IFERROR(__xludf.DUMMYFUNCTION("""COMPUTED_VALUE"""),"蔡育沛")</f>
        <v>蔡育沛</v>
      </c>
      <c r="N236" s="44">
        <f>IFERROR(__xludf.DUMMYFUNCTION("""COMPUTED_VALUE"""),42468.0)</f>
        <v>42468</v>
      </c>
      <c r="O236" s="37"/>
      <c r="P236" s="37" t="str">
        <f>IFERROR(__xludf.DUMMYFUNCTION("""COMPUTED_VALUE"""),"資訊裝置")</f>
        <v>資訊裝置</v>
      </c>
      <c r="Q236" s="37">
        <f>IFERROR(__xludf.DUMMYFUNCTION("""COMPUTED_VALUE"""),36.0)</f>
        <v>36</v>
      </c>
      <c r="R236" s="37">
        <f>IFERROR(__xludf.DUMMYFUNCTION("""COMPUTED_VALUE"""),36.0)</f>
        <v>36</v>
      </c>
      <c r="S236" s="37" t="str">
        <f>IFERROR(__xludf.DUMMYFUNCTION("""COMPUTED_VALUE"""),"NT$0")</f>
        <v>NT$0</v>
      </c>
      <c r="T236" s="37" t="str">
        <f>IFERROR(__xludf.DUMMYFUNCTION("""COMPUTED_VALUE"""),"Dell 24吋 U2412Mc")</f>
        <v>Dell 24吋 U2412Mc</v>
      </c>
      <c r="U236" s="37"/>
      <c r="V236" s="37"/>
      <c r="W236" s="37"/>
      <c r="X236" s="40" t="str">
        <f>IFERROR(__xludf.DUMMYFUNCTION("""COMPUTED_VALUE"""),"")</f>
        <v/>
      </c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</row>
    <row r="237">
      <c r="B237" s="37"/>
      <c r="C237" s="37" t="str">
        <f>IFERROR(__xludf.DUMMYFUNCTION("""COMPUTED_VALUE"""),"滿三年更換")</f>
        <v>滿三年更換</v>
      </c>
      <c r="D237" s="37" t="str">
        <f>IFERROR(__xludf.DUMMYFUNCTION("""COMPUTED_VALUE"""),"TW")</f>
        <v>TW</v>
      </c>
      <c r="E237" s="37"/>
      <c r="F237" s="37"/>
      <c r="G237" s="37"/>
      <c r="H237" s="37" t="str">
        <f>IFERROR(__xludf.DUMMYFUNCTION("""COMPUTED_VALUE"""),"研發中心:產品設計部")</f>
        <v>研發中心:產品設計部</v>
      </c>
      <c r="I237" s="37" t="str">
        <f>IFERROR(__xludf.DUMMYFUNCTION("""COMPUTED_VALUE"""),"資訊裝置")</f>
        <v>資訊裝置</v>
      </c>
      <c r="J237" s="37" t="str">
        <f>IFERROR(__xludf.DUMMYFUNCTION("""COMPUTED_VALUE"""),"AICHIP02102046")</f>
        <v>AICHIP02102046</v>
      </c>
      <c r="K237" s="37" t="str">
        <f>IFERROR(__xludf.DUMMYFUNCTION("""COMPUTED_VALUE"""),"iPad")</f>
        <v>iPad</v>
      </c>
      <c r="L237" s="37" t="str">
        <f>IFERROR(__xludf.DUMMYFUNCTION("""COMPUTED_VALUE"""),"DMPCW2VUMP2N")</f>
        <v>DMPCW2VUMP2N</v>
      </c>
      <c r="M237" s="37" t="str">
        <f>IFERROR(__xludf.DUMMYFUNCTION("""COMPUTED_VALUE"""),"鄧羽廷")</f>
        <v>鄧羽廷</v>
      </c>
      <c r="N237" s="44">
        <f>IFERROR(__xludf.DUMMYFUNCTION("""COMPUTED_VALUE"""),44236.0)</f>
        <v>44236</v>
      </c>
      <c r="O237" s="40">
        <f>IFERROR(__xludf.DUMMYFUNCTION("""COMPUTED_VALUE"""),11550.0)</f>
        <v>11550</v>
      </c>
      <c r="P237" s="37" t="str">
        <f>IFERROR(__xludf.DUMMYFUNCTION("""COMPUTED_VALUE"""),"資訊裝置")</f>
        <v>資訊裝置</v>
      </c>
      <c r="Q237" s="37">
        <f>IFERROR(__xludf.DUMMYFUNCTION("""COMPUTED_VALUE"""),36.0)</f>
        <v>36</v>
      </c>
      <c r="R237" s="37">
        <f>IFERROR(__xludf.DUMMYFUNCTION("""COMPUTED_VALUE"""),36.0)</f>
        <v>36</v>
      </c>
      <c r="S237" s="37" t="str">
        <f>IFERROR(__xludf.DUMMYFUNCTION("""COMPUTED_VALUE"""),"NT$11,550")</f>
        <v>NT$11,550</v>
      </c>
      <c r="T237" s="37" t="str">
        <f>IFERROR(__xludf.DUMMYFUNCTION("""COMPUTED_VALUE"""),"iPad (第七代) 32GB WiFi(A2197)")</f>
        <v>iPad (第七代) 32GB WiFi(A2197)</v>
      </c>
      <c r="U237" s="37"/>
      <c r="V237" s="37"/>
      <c r="W237" s="37"/>
      <c r="X237" s="40" t="str">
        <f>IFERROR(__xludf.DUMMYFUNCTION("""COMPUTED_VALUE"""),"")</f>
        <v/>
      </c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</row>
    <row r="238">
      <c r="B238" s="37"/>
      <c r="C238" s="37" t="str">
        <f>IFERROR(__xludf.DUMMYFUNCTION("""COMPUTED_VALUE"""),"滿三年更換")</f>
        <v>滿三年更換</v>
      </c>
      <c r="D238" s="37" t="str">
        <f>IFERROR(__xludf.DUMMYFUNCTION("""COMPUTED_VALUE"""),"TW")</f>
        <v>TW</v>
      </c>
      <c r="E238" s="37"/>
      <c r="F238" s="37"/>
      <c r="G238" s="37"/>
      <c r="H238" s="37" t="str">
        <f>IFERROR(__xludf.DUMMYFUNCTION("""COMPUTED_VALUE"""),"研發中心:產品設計部")</f>
        <v>研發中心:產品設計部</v>
      </c>
      <c r="I238" s="37" t="str">
        <f>IFERROR(__xludf.DUMMYFUNCTION("""COMPUTED_VALUE"""),"資訊裝置")</f>
        <v>資訊裝置</v>
      </c>
      <c r="J238" s="37" t="str">
        <f>IFERROR(__xludf.DUMMYFUNCTION("""COMPUTED_VALUE"""),"AICHMN02102094")</f>
        <v>AICHMN02102094</v>
      </c>
      <c r="K238" s="37" t="str">
        <f>IFERROR(__xludf.DUMMYFUNCTION("""COMPUTED_VALUE"""),"螢幕")</f>
        <v>螢幕</v>
      </c>
      <c r="L238" s="37" t="str">
        <f>IFERROR(__xludf.DUMMYFUNCTION("""COMPUTED_VALUE"""),"CN-0941GG-QDC00-0CL-854B-A13")</f>
        <v>CN-0941GG-QDC00-0CL-854B-A13</v>
      </c>
      <c r="M238" s="37" t="str">
        <f>IFERROR(__xludf.DUMMYFUNCTION("""COMPUTED_VALUE"""),"鄧羽廷")</f>
        <v>鄧羽廷</v>
      </c>
      <c r="N238" s="44">
        <f>IFERROR(__xludf.DUMMYFUNCTION("""COMPUTED_VALUE"""),44229.0)</f>
        <v>44229</v>
      </c>
      <c r="O238" s="37"/>
      <c r="P238" s="37" t="str">
        <f>IFERROR(__xludf.DUMMYFUNCTION("""COMPUTED_VALUE"""),"資訊裝置")</f>
        <v>資訊裝置</v>
      </c>
      <c r="Q238" s="37">
        <f>IFERROR(__xludf.DUMMYFUNCTION("""COMPUTED_VALUE"""),36.0)</f>
        <v>36</v>
      </c>
      <c r="R238" s="37">
        <f>IFERROR(__xludf.DUMMYFUNCTION("""COMPUTED_VALUE"""),36.0)</f>
        <v>36</v>
      </c>
      <c r="S238" s="37" t="str">
        <f>IFERROR(__xludf.DUMMYFUNCTION("""COMPUTED_VALUE"""),"NT$0")</f>
        <v>NT$0</v>
      </c>
      <c r="T238" s="37" t="str">
        <f>IFERROR(__xludf.DUMMYFUNCTION("""COMPUTED_VALUE"""),"Dell 24吋 P2419H")</f>
        <v>Dell 24吋 P2419H</v>
      </c>
      <c r="U238" s="37"/>
      <c r="V238" s="37"/>
      <c r="W238" s="37"/>
      <c r="X238" s="40" t="str">
        <f>IFERROR(__xludf.DUMMYFUNCTION("""COMPUTED_VALUE"""),"")</f>
        <v/>
      </c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</row>
    <row r="239">
      <c r="B239" s="37"/>
      <c r="C239" s="37" t="str">
        <f>IFERROR(__xludf.DUMMYFUNCTION("""COMPUTED_VALUE"""),"滿三年更換")</f>
        <v>滿三年更換</v>
      </c>
      <c r="D239" s="37" t="str">
        <f>IFERROR(__xludf.DUMMYFUNCTION("""COMPUTED_VALUE"""),"TW")</f>
        <v>TW</v>
      </c>
      <c r="E239" s="37"/>
      <c r="F239" s="37"/>
      <c r="G239" s="37"/>
      <c r="H239" s="44" t="str">
        <f>IFERROR(__xludf.DUMMYFUNCTION("""COMPUTED_VALUE"""),"研發中心:產品設計部:數據分析團隊")</f>
        <v>研發中心:產品設計部:數據分析團隊</v>
      </c>
      <c r="I239" s="37" t="str">
        <f>IFERROR(__xludf.DUMMYFUNCTION("""COMPUTED_VALUE"""),"資訊裝置")</f>
        <v>資訊裝置</v>
      </c>
      <c r="J239" s="37" t="str">
        <f>IFERROR(__xludf.DUMMYFUNCTION("""COMPUTED_VALUE"""),"AICHMN02009074")</f>
        <v>AICHMN02009074</v>
      </c>
      <c r="K239" s="37" t="str">
        <f>IFERROR(__xludf.DUMMYFUNCTION("""COMPUTED_VALUE"""),"螢幕")</f>
        <v>螢幕</v>
      </c>
      <c r="L239" s="37" t="str">
        <f>IFERROR(__xludf.DUMMYFUNCTION("""COMPUTED_VALUE"""),"CN-0Y2YF1-QDC00-07S-090S-A16")</f>
        <v>CN-0Y2YF1-QDC00-07S-090S-A16</v>
      </c>
      <c r="M239" s="37" t="str">
        <f>IFERROR(__xludf.DUMMYFUNCTION("""COMPUTED_VALUE"""),"鄭敏弘")</f>
        <v>鄭敏弘</v>
      </c>
      <c r="N239" s="44">
        <f>IFERROR(__xludf.DUMMYFUNCTION("""COMPUTED_VALUE"""),44097.0)</f>
        <v>44097</v>
      </c>
      <c r="O239" s="40">
        <f>IFERROR(__xludf.DUMMYFUNCTION("""COMPUTED_VALUE"""),9567.0)</f>
        <v>9567</v>
      </c>
      <c r="P239" s="37" t="str">
        <f>IFERROR(__xludf.DUMMYFUNCTION("""COMPUTED_VALUE"""),"資訊裝置")</f>
        <v>資訊裝置</v>
      </c>
      <c r="Q239" s="37">
        <f>IFERROR(__xludf.DUMMYFUNCTION("""COMPUTED_VALUE"""),36.0)</f>
        <v>36</v>
      </c>
      <c r="R239" s="37">
        <f>IFERROR(__xludf.DUMMYFUNCTION("""COMPUTED_VALUE"""),36.0)</f>
        <v>36</v>
      </c>
      <c r="S239" s="37" t="str">
        <f>IFERROR(__xludf.DUMMYFUNCTION("""COMPUTED_VALUE"""),"NT$9,567")</f>
        <v>NT$9,567</v>
      </c>
      <c r="T239" s="37" t="str">
        <f>IFERROR(__xludf.DUMMYFUNCTION("""COMPUTED_VALUE"""),"Dell 24吋 U2415")</f>
        <v>Dell 24吋 U2415</v>
      </c>
      <c r="U239" s="37"/>
      <c r="V239" s="37"/>
      <c r="W239" s="37"/>
      <c r="X239" s="40" t="str">
        <f>IFERROR(__xludf.DUMMYFUNCTION("""COMPUTED_VALUE"""),"")</f>
        <v/>
      </c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</row>
    <row r="240">
      <c r="B240" s="37"/>
      <c r="C240" s="37" t="str">
        <f>IFERROR(__xludf.DUMMYFUNCTION("""COMPUTED_VALUE"""),"滿三年更換")</f>
        <v>滿三年更換</v>
      </c>
      <c r="D240" s="37" t="str">
        <f>IFERROR(__xludf.DUMMYFUNCTION("""COMPUTED_VALUE"""),"TW")</f>
        <v>TW</v>
      </c>
      <c r="E240" s="37"/>
      <c r="F240" s="37"/>
      <c r="G240" s="37"/>
      <c r="H240" s="44" t="str">
        <f>IFERROR(__xludf.DUMMYFUNCTION("""COMPUTED_VALUE"""),"研發中心:產品設計部:數據分析團隊")</f>
        <v>研發中心:產品設計部:數據分析團隊</v>
      </c>
      <c r="I240" s="37" t="str">
        <f>IFERROR(__xludf.DUMMYFUNCTION("""COMPUTED_VALUE"""),"資訊裝置")</f>
        <v>資訊裝置</v>
      </c>
      <c r="J240" s="37" t="str">
        <f>IFERROR(__xludf.DUMMYFUNCTION("""COMPUTED_VALUE"""),"AICHMN02108100")</f>
        <v>AICHMN02108100</v>
      </c>
      <c r="K240" s="37" t="str">
        <f>IFERROR(__xludf.DUMMYFUNCTION("""COMPUTED_VALUE"""),"螢幕")</f>
        <v>螢幕</v>
      </c>
      <c r="L240" s="37" t="str">
        <f>IFERROR(__xludf.DUMMYFUNCTION("""COMPUTED_VALUE"""),"CN-0458FC-WSL00-163-016B-A04")</f>
        <v>CN-0458FC-WSL00-163-016B-A04</v>
      </c>
      <c r="M240" s="37" t="str">
        <f>IFERROR(__xludf.DUMMYFUNCTION("""COMPUTED_VALUE"""),"鄭敏弘")</f>
        <v>鄭敏弘</v>
      </c>
      <c r="N240" s="44">
        <f>IFERROR(__xludf.DUMMYFUNCTION("""COMPUTED_VALUE"""),44418.0)</f>
        <v>44418</v>
      </c>
      <c r="O240" s="40">
        <f>IFERROR(__xludf.DUMMYFUNCTION("""COMPUTED_VALUE"""),8754.0)</f>
        <v>8754</v>
      </c>
      <c r="P240" s="37" t="str">
        <f>IFERROR(__xludf.DUMMYFUNCTION("""COMPUTED_VALUE"""),"資訊裝置")</f>
        <v>資訊裝置</v>
      </c>
      <c r="Q240" s="37">
        <f>IFERROR(__xludf.DUMMYFUNCTION("""COMPUTED_VALUE"""),36.0)</f>
        <v>36</v>
      </c>
      <c r="R240" s="37">
        <f>IFERROR(__xludf.DUMMYFUNCTION("""COMPUTED_VALUE"""),36.0)</f>
        <v>36</v>
      </c>
      <c r="S240" s="37" t="str">
        <f>IFERROR(__xludf.DUMMYFUNCTION("""COMPUTED_VALUE"""),"NT$8,754")</f>
        <v>NT$8,754</v>
      </c>
      <c r="T240" s="37" t="str">
        <f>IFERROR(__xludf.DUMMYFUNCTION("""COMPUTED_VALUE"""),"Dell 24吋 S2421HSX")</f>
        <v>Dell 24吋 S2421HSX</v>
      </c>
      <c r="U240" s="37"/>
      <c r="V240" s="37"/>
      <c r="W240" s="37"/>
      <c r="X240" s="40" t="str">
        <f>IFERROR(__xludf.DUMMYFUNCTION("""COMPUTED_VALUE"""),"")</f>
        <v/>
      </c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</row>
    <row r="241">
      <c r="B241" s="37"/>
      <c r="C241" s="37" t="str">
        <f>IFERROR(__xludf.DUMMYFUNCTION("""COMPUTED_VALUE"""),"滿三年更換")</f>
        <v>滿三年更換</v>
      </c>
      <c r="D241" s="37" t="str">
        <f>IFERROR(__xludf.DUMMYFUNCTION("""COMPUTED_VALUE"""),"TW")</f>
        <v>TW</v>
      </c>
      <c r="E241" s="37"/>
      <c r="F241" s="37"/>
      <c r="G241" s="37"/>
      <c r="H241" s="44" t="str">
        <f>IFERROR(__xludf.DUMMYFUNCTION("""COMPUTED_VALUE"""),"研發中心:產品設計部:產品經理團隊")</f>
        <v>研發中心:產品設計部:產品經理團隊</v>
      </c>
      <c r="I241" s="37" t="str">
        <f>IFERROR(__xludf.DUMMYFUNCTION("""COMPUTED_VALUE"""),"資訊裝置")</f>
        <v>資訊裝置</v>
      </c>
      <c r="J241" s="37" t="str">
        <f>IFERROR(__xludf.DUMMYFUNCTION("""COMPUTED_VALUE"""),"AICHMN01910063")</f>
        <v>AICHMN01910063</v>
      </c>
      <c r="K241" s="37" t="str">
        <f>IFERROR(__xludf.DUMMYFUNCTION("""COMPUTED_VALUE"""),"螢幕")</f>
        <v>螢幕</v>
      </c>
      <c r="L241" s="37" t="str">
        <f>IFERROR(__xludf.DUMMYFUNCTION("""COMPUTED_VALUE"""),"CN-043D22-TV100-96F-04NB-A06")</f>
        <v>CN-043D22-TV100-96F-04NB-A06</v>
      </c>
      <c r="M241" s="37" t="str">
        <f>IFERROR(__xludf.DUMMYFUNCTION("""COMPUTED_VALUE"""),"鄭惠文")</f>
        <v>鄭惠文</v>
      </c>
      <c r="N241" s="45">
        <f>IFERROR(__xludf.DUMMYFUNCTION("""COMPUTED_VALUE"""),43769.0)</f>
        <v>43769</v>
      </c>
      <c r="O241" s="37"/>
      <c r="P241" s="37" t="str">
        <f>IFERROR(__xludf.DUMMYFUNCTION("""COMPUTED_VALUE"""),"資訊裝置")</f>
        <v>資訊裝置</v>
      </c>
      <c r="Q241" s="37">
        <f>IFERROR(__xludf.DUMMYFUNCTION("""COMPUTED_VALUE"""),36.0)</f>
        <v>36</v>
      </c>
      <c r="R241" s="37">
        <f>IFERROR(__xludf.DUMMYFUNCTION("""COMPUTED_VALUE"""),36.0)</f>
        <v>36</v>
      </c>
      <c r="S241" s="37" t="str">
        <f>IFERROR(__xludf.DUMMYFUNCTION("""COMPUTED_VALUE"""),"NT$0")</f>
        <v>NT$0</v>
      </c>
      <c r="T241" s="37" t="str">
        <f>IFERROR(__xludf.DUMMYFUNCTION("""COMPUTED_VALUE"""),"Dell 24吋 SE2416H")</f>
        <v>Dell 24吋 SE2416H</v>
      </c>
      <c r="U241" s="37"/>
      <c r="V241" s="37"/>
      <c r="W241" s="37"/>
      <c r="X241" s="40" t="str">
        <f>IFERROR(__xludf.DUMMYFUNCTION("""COMPUTED_VALUE"""),"")</f>
        <v/>
      </c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</row>
    <row r="242">
      <c r="B242" s="37"/>
      <c r="C242" s="37" t="str">
        <f>IFERROR(__xludf.DUMMYFUNCTION("""COMPUTED_VALUE"""),"滿三年更換")</f>
        <v>滿三年更換</v>
      </c>
      <c r="D242" s="37" t="str">
        <f>IFERROR(__xludf.DUMMYFUNCTION("""COMPUTED_VALUE"""),"TW")</f>
        <v>TW</v>
      </c>
      <c r="E242" s="37"/>
      <c r="F242" s="37"/>
      <c r="G242" s="37"/>
      <c r="H242" s="44" t="str">
        <f>IFERROR(__xludf.DUMMYFUNCTION("""COMPUTED_VALUE"""),"研發中心:軟體工程部:前端團隊")</f>
        <v>研發中心:軟體工程部:前端團隊</v>
      </c>
      <c r="I242" s="37" t="str">
        <f>IFERROR(__xludf.DUMMYFUNCTION("""COMPUTED_VALUE"""),"資訊裝置")</f>
        <v>資訊裝置</v>
      </c>
      <c r="J242" s="37" t="str">
        <f>IFERROR(__xludf.DUMMYFUNCTION("""COMPUTED_VALUE"""),"AICHMN01910061")</f>
        <v>AICHMN01910061</v>
      </c>
      <c r="K242" s="37" t="str">
        <f>IFERROR(__xludf.DUMMYFUNCTION("""COMPUTED_VALUE"""),"螢幕")</f>
        <v>螢幕</v>
      </c>
      <c r="L242" s="37" t="str">
        <f>IFERROR(__xludf.DUMMYFUNCTION("""COMPUTED_VALUE"""),"CN-07N2FG-TV100-969-01MB-A10")</f>
        <v>CN-07N2FG-TV100-969-01MB-A10</v>
      </c>
      <c r="M242" s="37" t="str">
        <f>IFERROR(__xludf.DUMMYFUNCTION("""COMPUTED_VALUE"""),"蕭佑霖")</f>
        <v>蕭佑霖</v>
      </c>
      <c r="N242" s="45">
        <f>IFERROR(__xludf.DUMMYFUNCTION("""COMPUTED_VALUE"""),43769.0)</f>
        <v>43769</v>
      </c>
      <c r="O242" s="40">
        <f>IFERROR(__xludf.DUMMYFUNCTION("""COMPUTED_VALUE"""),5705.0)</f>
        <v>5705</v>
      </c>
      <c r="P242" s="37" t="str">
        <f>IFERROR(__xludf.DUMMYFUNCTION("""COMPUTED_VALUE"""),"資訊裝置")</f>
        <v>資訊裝置</v>
      </c>
      <c r="Q242" s="37">
        <f>IFERROR(__xludf.DUMMYFUNCTION("""COMPUTED_VALUE"""),36.0)</f>
        <v>36</v>
      </c>
      <c r="R242" s="37">
        <f>IFERROR(__xludf.DUMMYFUNCTION("""COMPUTED_VALUE"""),36.0)</f>
        <v>36</v>
      </c>
      <c r="S242" s="37" t="str">
        <f>IFERROR(__xludf.DUMMYFUNCTION("""COMPUTED_VALUE"""),"NT$5,705")</f>
        <v>NT$5,705</v>
      </c>
      <c r="T242" s="37" t="str">
        <f>IFERROR(__xludf.DUMMYFUNCTION("""COMPUTED_VALUE"""),"Dell 24吋 U2412Mc")</f>
        <v>Dell 24吋 U2412Mc</v>
      </c>
      <c r="U242" s="37"/>
      <c r="V242" s="37"/>
      <c r="W242" s="37"/>
      <c r="X242" s="40" t="str">
        <f>IFERROR(__xludf.DUMMYFUNCTION("""COMPUTED_VALUE"""),"")</f>
        <v/>
      </c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</row>
    <row r="243">
      <c r="B243" s="37"/>
      <c r="C243" s="37" t="str">
        <f>IFERROR(__xludf.DUMMYFUNCTION("""COMPUTED_VALUE"""),"滿三年更換")</f>
        <v>滿三年更換</v>
      </c>
      <c r="D243" s="37" t="str">
        <f>IFERROR(__xludf.DUMMYFUNCTION("""COMPUTED_VALUE"""),"TW")</f>
        <v>TW</v>
      </c>
      <c r="E243" s="37"/>
      <c r="F243" s="37"/>
      <c r="G243" s="37"/>
      <c r="H243" s="37" t="str">
        <f>IFERROR(__xludf.DUMMYFUNCTION("""COMPUTED_VALUE"""),"行銷營運中心:產品行銷部")</f>
        <v>行銷營運中心:產品行銷部</v>
      </c>
      <c r="I243" s="37" t="str">
        <f>IFERROR(__xludf.DUMMYFUNCTION("""COMPUTED_VALUE"""),"資訊裝置")</f>
        <v>資訊裝置</v>
      </c>
      <c r="J243" s="37" t="str">
        <f>IFERROR(__xludf.DUMMYFUNCTION("""COMPUTED_VALUE"""),"AICHMP02105028")</f>
        <v>AICHMP02105028</v>
      </c>
      <c r="K243" s="37" t="str">
        <f>IFERROR(__xludf.DUMMYFUNCTION("""COMPUTED_VALUE"""),"Macbook Pro")</f>
        <v>Macbook Pro</v>
      </c>
      <c r="L243" s="37" t="str">
        <f>IFERROR(__xludf.DUMMYFUNCTION("""COMPUTED_VALUE"""),"C02FN4MRQ05N")</f>
        <v>C02FN4MRQ05N</v>
      </c>
      <c r="M243" s="37" t="str">
        <f>IFERROR(__xludf.DUMMYFUNCTION("""COMPUTED_VALUE"""),"賴誼禎")</f>
        <v>賴誼禎</v>
      </c>
      <c r="N243" s="44">
        <f>IFERROR(__xludf.DUMMYFUNCTION("""COMPUTED_VALUE"""),44341.0)</f>
        <v>44341</v>
      </c>
      <c r="O243" s="40">
        <f>IFERROR(__xludf.DUMMYFUNCTION("""COMPUTED_VALUE"""),40300.0)</f>
        <v>40300</v>
      </c>
      <c r="P243" s="37" t="str">
        <f>IFERROR(__xludf.DUMMYFUNCTION("""COMPUTED_VALUE"""),"資訊裝置")</f>
        <v>資訊裝置</v>
      </c>
      <c r="Q243" s="37">
        <f>IFERROR(__xludf.DUMMYFUNCTION("""COMPUTED_VALUE"""),36.0)</f>
        <v>36</v>
      </c>
      <c r="R243" s="37">
        <f>IFERROR(__xludf.DUMMYFUNCTION("""COMPUTED_VALUE"""),36.0)</f>
        <v>36</v>
      </c>
      <c r="S243" s="37" t="str">
        <f>IFERROR(__xludf.DUMMYFUNCTION("""COMPUTED_VALUE"""),"NT$40,300")</f>
        <v>NT$40,300</v>
      </c>
      <c r="T243" s="37" t="str">
        <f>IFERROR(__xludf.DUMMYFUNCTION("""COMPUTED_VALUE"""),"MBP13 (2020) M1/16GBRAM/256GBSSD")</f>
        <v>MBP13 (2020) M1/16GBRAM/256GBSSD</v>
      </c>
      <c r="U243" s="37"/>
      <c r="V243" s="37"/>
      <c r="W243" s="37"/>
      <c r="X243" s="40" t="str">
        <f>IFERROR(__xludf.DUMMYFUNCTION("""COMPUTED_VALUE"""),"")</f>
        <v/>
      </c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</row>
    <row r="244">
      <c r="B244" s="37"/>
      <c r="C244" s="37" t="str">
        <f>IFERROR(__xludf.DUMMYFUNCTION("""COMPUTED_VALUE"""),"滿三年更換")</f>
        <v>滿三年更換</v>
      </c>
      <c r="D244" s="37" t="str">
        <f>IFERROR(__xludf.DUMMYFUNCTION("""COMPUTED_VALUE"""),"TW")</f>
        <v>TW</v>
      </c>
      <c r="E244" s="37"/>
      <c r="F244" s="37"/>
      <c r="G244" s="37"/>
      <c r="H244" s="44" t="str">
        <f>IFERROR(__xludf.DUMMYFUNCTION("""COMPUTED_VALUE"""),"行銷營運中心:銷售營運部:客戶導入團隊")</f>
        <v>行銷營運中心:銷售營運部:客戶導入團隊</v>
      </c>
      <c r="I244" s="37" t="str">
        <f>IFERROR(__xludf.DUMMYFUNCTION("""COMPUTED_VALUE"""),"資訊裝置")</f>
        <v>資訊裝置</v>
      </c>
      <c r="J244" s="37" t="str">
        <f>IFERROR(__xludf.DUMMYFUNCTION("""COMPUTED_VALUE"""),"AICHMA02108038")</f>
        <v>AICHMA02108038</v>
      </c>
      <c r="K244" s="37" t="str">
        <f>IFERROR(__xludf.DUMMYFUNCTION("""COMPUTED_VALUE"""),"Macbook Air")</f>
        <v>Macbook Air</v>
      </c>
      <c r="L244" s="37" t="str">
        <f>IFERROR(__xludf.DUMMYFUNCTION("""COMPUTED_VALUE"""),"FVFG3WBWQ6LC")</f>
        <v>FVFG3WBWQ6LC</v>
      </c>
      <c r="M244" s="37" t="str">
        <f>IFERROR(__xludf.DUMMYFUNCTION("""COMPUTED_VALUE"""),"戴亞琪")</f>
        <v>戴亞琪</v>
      </c>
      <c r="N244" s="44">
        <f>IFERROR(__xludf.DUMMYFUNCTION("""COMPUTED_VALUE"""),44411.0)</f>
        <v>44411</v>
      </c>
      <c r="O244" s="40">
        <f>IFERROR(__xludf.DUMMYFUNCTION("""COMPUTED_VALUE"""),27075.0)</f>
        <v>27075</v>
      </c>
      <c r="P244" s="37" t="str">
        <f>IFERROR(__xludf.DUMMYFUNCTION("""COMPUTED_VALUE"""),"資訊裝置")</f>
        <v>資訊裝置</v>
      </c>
      <c r="Q244" s="37">
        <f>IFERROR(__xludf.DUMMYFUNCTION("""COMPUTED_VALUE"""),36.0)</f>
        <v>36</v>
      </c>
      <c r="R244" s="37">
        <f>IFERROR(__xludf.DUMMYFUNCTION("""COMPUTED_VALUE"""),36.0)</f>
        <v>36</v>
      </c>
      <c r="S244" s="37" t="str">
        <f>IFERROR(__xludf.DUMMYFUNCTION("""COMPUTED_VALUE"""),"NT$27,075")</f>
        <v>NT$27,075</v>
      </c>
      <c r="T244" s="37" t="str">
        <f>IFERROR(__xludf.DUMMYFUNCTION("""COMPUTED_VALUE"""),"MBA13 (2020) M1/8GBRAM/256GBSSD")</f>
        <v>MBA13 (2020) M1/8GBRAM/256GBSSD</v>
      </c>
      <c r="U244" s="37"/>
      <c r="V244" s="37"/>
      <c r="W244" s="37"/>
      <c r="X244" s="40" t="str">
        <f>IFERROR(__xludf.DUMMYFUNCTION("""COMPUTED_VALUE"""),"")</f>
        <v/>
      </c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</row>
    <row r="245">
      <c r="B245" s="37"/>
      <c r="C245" s="37" t="str">
        <f>IFERROR(__xludf.DUMMYFUNCTION("""COMPUTED_VALUE"""),"滿三年更換")</f>
        <v>滿三年更換</v>
      </c>
      <c r="D245" s="37" t="str">
        <f>IFERROR(__xludf.DUMMYFUNCTION("""COMPUTED_VALUE"""),"TW")</f>
        <v>TW</v>
      </c>
      <c r="E245" s="37"/>
      <c r="F245" s="37"/>
      <c r="G245" s="37"/>
      <c r="H245" s="44" t="str">
        <f>IFERROR(__xludf.DUMMYFUNCTION("""COMPUTED_VALUE"""),"行銷營運中心:銷售營運部:客戶導入團隊")</f>
        <v>行銷營運中心:銷售營運部:客戶導入團隊</v>
      </c>
      <c r="I245" s="37" t="str">
        <f>IFERROR(__xludf.DUMMYFUNCTION("""COMPUTED_VALUE"""),"資訊裝置")</f>
        <v>資訊裝置</v>
      </c>
      <c r="J245" s="37" t="str">
        <f>IFERROR(__xludf.DUMMYFUNCTION("""COMPUTED_VALUE"""),"AICHIP02107073")</f>
        <v>AICHIP02107073</v>
      </c>
      <c r="K245" s="37" t="str">
        <f>IFERROR(__xludf.DUMMYFUNCTION("""COMPUTED_VALUE"""),"iPad")</f>
        <v>iPad</v>
      </c>
      <c r="L245" s="37" t="str">
        <f>IFERROR(__xludf.DUMMYFUNCTION("""COMPUTED_VALUE"""),"F9FFVGT0Q1GF")</f>
        <v>F9FFVGT0Q1GF</v>
      </c>
      <c r="M245" s="37" t="str">
        <f>IFERROR(__xludf.DUMMYFUNCTION("""COMPUTED_VALUE"""),"戴亞琪")</f>
        <v>戴亞琪</v>
      </c>
      <c r="N245" s="44">
        <f>IFERROR(__xludf.DUMMYFUNCTION("""COMPUTED_VALUE"""),44400.0)</f>
        <v>44400</v>
      </c>
      <c r="O245" s="40">
        <f>IFERROR(__xludf.DUMMYFUNCTION("""COMPUTED_VALUE"""),9450.0)</f>
        <v>9450</v>
      </c>
      <c r="P245" s="37" t="str">
        <f>IFERROR(__xludf.DUMMYFUNCTION("""COMPUTED_VALUE"""),"資訊裝置")</f>
        <v>資訊裝置</v>
      </c>
      <c r="Q245" s="37">
        <f>IFERROR(__xludf.DUMMYFUNCTION("""COMPUTED_VALUE"""),36.0)</f>
        <v>36</v>
      </c>
      <c r="R245" s="37">
        <f>IFERROR(__xludf.DUMMYFUNCTION("""COMPUTED_VALUE"""),36.0)</f>
        <v>36</v>
      </c>
      <c r="S245" s="37" t="str">
        <f>IFERROR(__xludf.DUMMYFUNCTION("""COMPUTED_VALUE"""),"NT$9,450")</f>
        <v>NT$9,450</v>
      </c>
      <c r="T245" s="37" t="str">
        <f>IFERROR(__xludf.DUMMYFUNCTION("""COMPUTED_VALUE"""),"iPad (第八代) 32GB WIFI(MYLC2TA/A)")</f>
        <v>iPad (第八代) 32GB WIFI(MYLC2TA/A)</v>
      </c>
      <c r="U245" s="37"/>
      <c r="V245" s="37"/>
      <c r="W245" s="37"/>
      <c r="X245" s="40" t="str">
        <f>IFERROR(__xludf.DUMMYFUNCTION("""COMPUTED_VALUE"""),"")</f>
        <v/>
      </c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</row>
    <row r="246">
      <c r="B246" s="37"/>
      <c r="C246" s="37" t="str">
        <f>IFERROR(__xludf.DUMMYFUNCTION("""COMPUTED_VALUE"""),"滿三年更換")</f>
        <v>滿三年更換</v>
      </c>
      <c r="D246" s="37" t="str">
        <f>IFERROR(__xludf.DUMMYFUNCTION("""COMPUTED_VALUE"""),"TW")</f>
        <v>TW</v>
      </c>
      <c r="E246" s="37"/>
      <c r="F246" s="37"/>
      <c r="G246" s="37"/>
      <c r="H246" s="44" t="str">
        <f>IFERROR(__xludf.DUMMYFUNCTION("""COMPUTED_VALUE"""),"客戶價值中心:客戶關係管理部:客服團隊 POS/OMO")</f>
        <v>客戶價值中心:客戶關係管理部:客服團隊 POS/OMO</v>
      </c>
      <c r="I246" s="37" t="str">
        <f>IFERROR(__xludf.DUMMYFUNCTION("""COMPUTED_VALUE"""),"資訊裝置")</f>
        <v>資訊裝置</v>
      </c>
      <c r="J246" s="37" t="str">
        <f>IFERROR(__xludf.DUMMYFUNCTION("""COMPUTED_VALUE"""),"AICHIP02105055")</f>
        <v>AICHIP02105055</v>
      </c>
      <c r="K246" s="37" t="str">
        <f>IFERROR(__xludf.DUMMYFUNCTION("""COMPUTED_VALUE"""),"iPad")</f>
        <v>iPad</v>
      </c>
      <c r="L246" s="37" t="str">
        <f>IFERROR(__xludf.DUMMYFUNCTION("""COMPUTED_VALUE"""),"GG7CN2EMMF3M")</f>
        <v>GG7CN2EMMF3M</v>
      </c>
      <c r="M246" s="37" t="str">
        <f>IFERROR(__xludf.DUMMYFUNCTION("""COMPUTED_VALUE"""),"戴馨妤")</f>
        <v>戴馨妤</v>
      </c>
      <c r="N246" s="44">
        <f>IFERROR(__xludf.DUMMYFUNCTION("""COMPUTED_VALUE"""),44327.0)</f>
        <v>44327</v>
      </c>
      <c r="O246" s="40">
        <f>IFERROR(__xludf.DUMMYFUNCTION("""COMPUTED_VALUE"""),8640.0)</f>
        <v>8640</v>
      </c>
      <c r="P246" s="37" t="str">
        <f>IFERROR(__xludf.DUMMYFUNCTION("""COMPUTED_VALUE"""),"資訊裝置")</f>
        <v>資訊裝置</v>
      </c>
      <c r="Q246" s="37">
        <f>IFERROR(__xludf.DUMMYFUNCTION("""COMPUTED_VALUE"""),36.0)</f>
        <v>36</v>
      </c>
      <c r="R246" s="37">
        <f>IFERROR(__xludf.DUMMYFUNCTION("""COMPUTED_VALUE"""),36.0)</f>
        <v>36</v>
      </c>
      <c r="S246" s="37" t="str">
        <f>IFERROR(__xludf.DUMMYFUNCTION("""COMPUTED_VALUE"""),"NT$8,640")</f>
        <v>NT$8,640</v>
      </c>
      <c r="T246" s="37" t="str">
        <f>IFERROR(__xludf.DUMMYFUNCTION("""COMPUTED_VALUE"""),"iPad (第七代) 32GB WIFI(MW742TA/A)")</f>
        <v>iPad (第七代) 32GB WIFI(MW742TA/A)</v>
      </c>
      <c r="U246" s="37"/>
      <c r="V246" s="37"/>
      <c r="W246" s="37"/>
      <c r="X246" s="40" t="str">
        <f>IFERROR(__xludf.DUMMYFUNCTION("""COMPUTED_VALUE"""),"")</f>
        <v/>
      </c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</row>
    <row r="247">
      <c r="B247" s="37"/>
      <c r="C247" s="37" t="str">
        <f>IFERROR(__xludf.DUMMYFUNCTION("""COMPUTED_VALUE"""),"滿三年更換")</f>
        <v>滿三年更換</v>
      </c>
      <c r="D247" s="37" t="str">
        <f>IFERROR(__xludf.DUMMYFUNCTION("""COMPUTED_VALUE"""),"TW")</f>
        <v>TW</v>
      </c>
      <c r="E247" s="37"/>
      <c r="F247" s="37"/>
      <c r="G247" s="37"/>
      <c r="H247" s="44" t="str">
        <f>IFERROR(__xludf.DUMMYFUNCTION("""COMPUTED_VALUE"""),"客戶價值中心:客戶關係管理部:客服團隊 POS/OMO")</f>
        <v>客戶價值中心:客戶關係管理部:客服團隊 POS/OMO</v>
      </c>
      <c r="I247" s="37" t="str">
        <f>IFERROR(__xludf.DUMMYFUNCTION("""COMPUTED_VALUE"""),"資訊裝置")</f>
        <v>資訊裝置</v>
      </c>
      <c r="J247" s="37" t="str">
        <f>IFERROR(__xludf.DUMMYFUNCTION("""COMPUTED_VALUE"""),"AICHMN02206114")</f>
        <v>AICHMN02206114</v>
      </c>
      <c r="K247" s="37" t="str">
        <f>IFERROR(__xludf.DUMMYFUNCTION("""COMPUTED_VALUE"""),"螢幕")</f>
        <v>螢幕</v>
      </c>
      <c r="L247" s="37" t="str">
        <f>IFERROR(__xludf.DUMMYFUNCTION("""COMPUTED_VALUE"""),"CN-0RCKX9-TV200-233-070V-A03")</f>
        <v>CN-0RCKX9-TV200-233-070V-A03</v>
      </c>
      <c r="M247" s="37" t="str">
        <f>IFERROR(__xludf.DUMMYFUNCTION("""COMPUTED_VALUE"""),"戴馨妤")</f>
        <v>戴馨妤</v>
      </c>
      <c r="N247" s="44">
        <f>IFERROR(__xludf.DUMMYFUNCTION("""COMPUTED_VALUE"""),44733.0)</f>
        <v>44733</v>
      </c>
      <c r="O247" s="40">
        <f>IFERROR(__xludf.DUMMYFUNCTION("""COMPUTED_VALUE"""),4370.0)</f>
        <v>4370</v>
      </c>
      <c r="P247" s="37" t="str">
        <f>IFERROR(__xludf.DUMMYFUNCTION("""COMPUTED_VALUE"""),"資訊裝置")</f>
        <v>資訊裝置</v>
      </c>
      <c r="Q247" s="37">
        <f>IFERROR(__xludf.DUMMYFUNCTION("""COMPUTED_VALUE"""),36.0)</f>
        <v>36</v>
      </c>
      <c r="R247" s="37">
        <f>IFERROR(__xludf.DUMMYFUNCTION("""COMPUTED_VALUE"""),36.0)</f>
        <v>36</v>
      </c>
      <c r="S247" s="37" t="str">
        <f>IFERROR(__xludf.DUMMYFUNCTION("""COMPUTED_VALUE"""),"NT$4,370")</f>
        <v>NT$4,370</v>
      </c>
      <c r="T247" s="37" t="str">
        <f>IFERROR(__xludf.DUMMYFUNCTION("""COMPUTED_VALUE"""),"Dell 27吋 SE2722H")</f>
        <v>Dell 27吋 SE2722H</v>
      </c>
      <c r="U247" s="37"/>
      <c r="V247" s="37"/>
      <c r="W247" s="37"/>
      <c r="X247" s="40" t="str">
        <f>IFERROR(__xludf.DUMMYFUNCTION("""COMPUTED_VALUE"""),"")</f>
        <v/>
      </c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</row>
    <row r="248">
      <c r="B248" s="37"/>
      <c r="C248" s="37" t="str">
        <f>IFERROR(__xludf.DUMMYFUNCTION("""COMPUTED_VALUE"""),"滿三年更換")</f>
        <v>滿三年更換</v>
      </c>
      <c r="D248" s="37" t="str">
        <f>IFERROR(__xludf.DUMMYFUNCTION("""COMPUTED_VALUE"""),"TW")</f>
        <v>TW</v>
      </c>
      <c r="E248" s="37"/>
      <c r="F248" s="37"/>
      <c r="G248" s="37"/>
      <c r="H248" s="44" t="str">
        <f>IFERROR(__xludf.DUMMYFUNCTION("""COMPUTED_VALUE"""),"客戶價值中心:客戶關係管理部:客服團隊 POS/OMO")</f>
        <v>客戶價值中心:客戶關係管理部:客服團隊 POS/OMO</v>
      </c>
      <c r="I248" s="37" t="str">
        <f>IFERROR(__xludf.DUMMYFUNCTION("""COMPUTED_VALUE"""),"資訊裝置")</f>
        <v>資訊裝置</v>
      </c>
      <c r="J248" s="37" t="str">
        <f>IFERROR(__xludf.DUMMYFUNCTION("""COMPUTED_VALUE"""),"AICHIP02107070")</f>
        <v>AICHIP02107070</v>
      </c>
      <c r="K248" s="37" t="str">
        <f>IFERROR(__xludf.DUMMYFUNCTION("""COMPUTED_VALUE"""),"iPad")</f>
        <v>iPad</v>
      </c>
      <c r="L248" s="37" t="str">
        <f>IFERROR(__xludf.DUMMYFUNCTION("""COMPUTED_VALUE"""),"F9FFT2XZQ1GD")</f>
        <v>F9FFT2XZQ1GD</v>
      </c>
      <c r="M248" s="37" t="str">
        <f>IFERROR(__xludf.DUMMYFUNCTION("""COMPUTED_VALUE"""),"謝尹蘋")</f>
        <v>謝尹蘋</v>
      </c>
      <c r="N248" s="44">
        <f>IFERROR(__xludf.DUMMYFUNCTION("""COMPUTED_VALUE"""),44398.0)</f>
        <v>44398</v>
      </c>
      <c r="O248" s="40">
        <f>IFERROR(__xludf.DUMMYFUNCTION("""COMPUTED_VALUE"""),9450.0)</f>
        <v>9450</v>
      </c>
      <c r="P248" s="37" t="str">
        <f>IFERROR(__xludf.DUMMYFUNCTION("""COMPUTED_VALUE"""),"資訊裝置")</f>
        <v>資訊裝置</v>
      </c>
      <c r="Q248" s="37">
        <f>IFERROR(__xludf.DUMMYFUNCTION("""COMPUTED_VALUE"""),36.0)</f>
        <v>36</v>
      </c>
      <c r="R248" s="37">
        <f>IFERROR(__xludf.DUMMYFUNCTION("""COMPUTED_VALUE"""),36.0)</f>
        <v>36</v>
      </c>
      <c r="S248" s="37" t="str">
        <f>IFERROR(__xludf.DUMMYFUNCTION("""COMPUTED_VALUE"""),"NT$9,450")</f>
        <v>NT$9,450</v>
      </c>
      <c r="T248" s="37" t="str">
        <f>IFERROR(__xludf.DUMMYFUNCTION("""COMPUTED_VALUE"""),"iPad (第八代) WI-FI 32GB(MYLA2TA/A)")</f>
        <v>iPad (第八代) WI-FI 32GB(MYLA2TA/A)</v>
      </c>
      <c r="U248" s="37"/>
      <c r="V248" s="37"/>
      <c r="W248" s="37"/>
      <c r="X248" s="40" t="str">
        <f>IFERROR(__xludf.DUMMYFUNCTION("""COMPUTED_VALUE"""),"")</f>
        <v/>
      </c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</row>
    <row r="249">
      <c r="B249" s="37"/>
      <c r="C249" s="37" t="str">
        <f>IFERROR(__xludf.DUMMYFUNCTION("""COMPUTED_VALUE"""),"滿三年更換")</f>
        <v>滿三年更換</v>
      </c>
      <c r="D249" s="37" t="str">
        <f>IFERROR(__xludf.DUMMYFUNCTION("""COMPUTED_VALUE"""),"TW")</f>
        <v>TW</v>
      </c>
      <c r="E249" s="37"/>
      <c r="F249" s="37"/>
      <c r="G249" s="37"/>
      <c r="H249" s="44" t="str">
        <f>IFERROR(__xludf.DUMMYFUNCTION("""COMPUTED_VALUE"""),"客戶價值中心:客戶關係管理部:客服團隊 POS/OMO")</f>
        <v>客戶價值中心:客戶關係管理部:客服團隊 POS/OMO</v>
      </c>
      <c r="I249" s="37" t="str">
        <f>IFERROR(__xludf.DUMMYFUNCTION("""COMPUTED_VALUE"""),"資訊裝置")</f>
        <v>資訊裝置</v>
      </c>
      <c r="J249" s="37" t="str">
        <f>IFERROR(__xludf.DUMMYFUNCTION("""COMPUTED_VALUE"""),"AICHMN02108104")</f>
        <v>AICHMN02108104</v>
      </c>
      <c r="K249" s="37" t="str">
        <f>IFERROR(__xludf.DUMMYFUNCTION("""COMPUTED_VALUE"""),"螢幕")</f>
        <v>螢幕</v>
      </c>
      <c r="L249" s="37" t="str">
        <f>IFERROR(__xludf.DUMMYFUNCTION("""COMPUTED_VALUE"""),"CN-0458FC-WSL00-163-006B-A04")</f>
        <v>CN-0458FC-WSL00-163-006B-A04</v>
      </c>
      <c r="M249" s="37" t="str">
        <f>IFERROR(__xludf.DUMMYFUNCTION("""COMPUTED_VALUE"""),"謝尹蘋")</f>
        <v>謝尹蘋</v>
      </c>
      <c r="N249" s="44">
        <f>IFERROR(__xludf.DUMMYFUNCTION("""COMPUTED_VALUE"""),44418.0)</f>
        <v>44418</v>
      </c>
      <c r="O249" s="40">
        <f>IFERROR(__xludf.DUMMYFUNCTION("""COMPUTED_VALUE"""),5417.0)</f>
        <v>5417</v>
      </c>
      <c r="P249" s="37" t="str">
        <f>IFERROR(__xludf.DUMMYFUNCTION("""COMPUTED_VALUE"""),"資訊裝置")</f>
        <v>資訊裝置</v>
      </c>
      <c r="Q249" s="37">
        <f>IFERROR(__xludf.DUMMYFUNCTION("""COMPUTED_VALUE"""),36.0)</f>
        <v>36</v>
      </c>
      <c r="R249" s="37">
        <f>IFERROR(__xludf.DUMMYFUNCTION("""COMPUTED_VALUE"""),36.0)</f>
        <v>36</v>
      </c>
      <c r="S249" s="37" t="str">
        <f>IFERROR(__xludf.DUMMYFUNCTION("""COMPUTED_VALUE"""),"NT$5,417")</f>
        <v>NT$5,417</v>
      </c>
      <c r="T249" s="37" t="str">
        <f>IFERROR(__xludf.DUMMYFUNCTION("""COMPUTED_VALUE"""),"Dell 24吋 S2421HSX")</f>
        <v>Dell 24吋 S2421HSX</v>
      </c>
      <c r="U249" s="37"/>
      <c r="V249" s="37"/>
      <c r="W249" s="37"/>
      <c r="X249" s="40" t="str">
        <f>IFERROR(__xludf.DUMMYFUNCTION("""COMPUTED_VALUE"""),"")</f>
        <v/>
      </c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</row>
    <row r="250">
      <c r="B250" s="37"/>
      <c r="C250" s="37" t="str">
        <f>IFERROR(__xludf.DUMMYFUNCTION("""COMPUTED_VALUE"""),"滿三年更換")</f>
        <v>滿三年更換</v>
      </c>
      <c r="D250" s="37" t="str">
        <f>IFERROR(__xludf.DUMMYFUNCTION("""COMPUTED_VALUE"""),"TW")</f>
        <v>TW</v>
      </c>
      <c r="E250" s="37"/>
      <c r="F250" s="37"/>
      <c r="G250" s="37"/>
      <c r="H250" s="37" t="str">
        <f>IFERROR(__xludf.DUMMYFUNCTION("""COMPUTED_VALUE"""),"客戶價值中心:客戶成功管理部")</f>
        <v>客戶價值中心:客戶成功管理部</v>
      </c>
      <c r="I250" s="37" t="str">
        <f>IFERROR(__xludf.DUMMYFUNCTION("""COMPUTED_VALUE"""),"資訊裝置")</f>
        <v>資訊裝置</v>
      </c>
      <c r="J250" s="37" t="str">
        <f>IFERROR(__xludf.DUMMYFUNCTION("""COMPUTED_VALUE"""),"AICHMA02104015")</f>
        <v>AICHMA02104015</v>
      </c>
      <c r="K250" s="37" t="str">
        <f>IFERROR(__xludf.DUMMYFUNCTION("""COMPUTED_VALUE"""),"Macbook Air")</f>
        <v>Macbook Air</v>
      </c>
      <c r="L250" s="37" t="str">
        <f>IFERROR(__xludf.DUMMYFUNCTION("""COMPUTED_VALUE"""),"FVFFC6P9Q6L7")</f>
        <v>FVFFC6P9Q6L7</v>
      </c>
      <c r="M250" s="37" t="str">
        <f>IFERROR(__xludf.DUMMYFUNCTION("""COMPUTED_VALUE"""),"謝孟娟")</f>
        <v>謝孟娟</v>
      </c>
      <c r="N250" s="44">
        <f>IFERROR(__xludf.DUMMYFUNCTION("""COMPUTED_VALUE"""),44294.0)</f>
        <v>44294</v>
      </c>
      <c r="O250" s="40">
        <f>IFERROR(__xludf.DUMMYFUNCTION("""COMPUTED_VALUE"""),27663.0)</f>
        <v>27663</v>
      </c>
      <c r="P250" s="37" t="str">
        <f>IFERROR(__xludf.DUMMYFUNCTION("""COMPUTED_VALUE"""),"資訊裝置")</f>
        <v>資訊裝置</v>
      </c>
      <c r="Q250" s="37">
        <f>IFERROR(__xludf.DUMMYFUNCTION("""COMPUTED_VALUE"""),36.0)</f>
        <v>36</v>
      </c>
      <c r="R250" s="37">
        <f>IFERROR(__xludf.DUMMYFUNCTION("""COMPUTED_VALUE"""),36.0)</f>
        <v>36</v>
      </c>
      <c r="S250" s="37" t="str">
        <f>IFERROR(__xludf.DUMMYFUNCTION("""COMPUTED_VALUE"""),"NT$27,663")</f>
        <v>NT$27,663</v>
      </c>
      <c r="T250" s="37" t="str">
        <f>IFERROR(__xludf.DUMMYFUNCTION("""COMPUTED_VALUE"""),"MBA13 (2020) M1/8GBRAM/256GBSSD")</f>
        <v>MBA13 (2020) M1/8GBRAM/256GBSSD</v>
      </c>
      <c r="U250" s="37"/>
      <c r="V250" s="37"/>
      <c r="W250" s="37"/>
      <c r="X250" s="40" t="str">
        <f>IFERROR(__xludf.DUMMYFUNCTION("""COMPUTED_VALUE"""),"")</f>
        <v/>
      </c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</row>
    <row r="251">
      <c r="B251" s="37"/>
      <c r="C251" s="37" t="str">
        <f>IFERROR(__xludf.DUMMYFUNCTION("""COMPUTED_VALUE"""),"滿三年更換")</f>
        <v>滿三年更換</v>
      </c>
      <c r="D251" s="37" t="str">
        <f>IFERROR(__xludf.DUMMYFUNCTION("""COMPUTED_VALUE"""),"TW")</f>
        <v>TW</v>
      </c>
      <c r="E251" s="37"/>
      <c r="F251" s="37"/>
      <c r="G251" s="37"/>
      <c r="H251" s="37" t="str">
        <f>IFERROR(__xludf.DUMMYFUNCTION("""COMPUTED_VALUE"""),"客戶價值中心:客戶成功管理部")</f>
        <v>客戶價值中心:客戶成功管理部</v>
      </c>
      <c r="I251" s="37" t="str">
        <f>IFERROR(__xludf.DUMMYFUNCTION("""COMPUTED_VALUE"""),"資訊裝置")</f>
        <v>資訊裝置</v>
      </c>
      <c r="J251" s="37" t="str">
        <f>IFERROR(__xludf.DUMMYFUNCTION("""COMPUTED_VALUE"""),"AICHIP02011044")</f>
        <v>AICHIP02011044</v>
      </c>
      <c r="K251" s="37" t="str">
        <f>IFERROR(__xludf.DUMMYFUNCTION("""COMPUTED_VALUE"""),"iPad")</f>
        <v>iPad</v>
      </c>
      <c r="L251" s="37" t="str">
        <f>IFERROR(__xludf.DUMMYFUNCTION("""COMPUTED_VALUE"""),"F9FDRGD6Q1GF")</f>
        <v>F9FDRGD6Q1GF</v>
      </c>
      <c r="M251" s="37" t="str">
        <f>IFERROR(__xludf.DUMMYFUNCTION("""COMPUTED_VALUE"""),"謝孟娟")</f>
        <v>謝孟娟</v>
      </c>
      <c r="N251" s="44">
        <f>IFERROR(__xludf.DUMMYFUNCTION("""COMPUTED_VALUE"""),44194.0)</f>
        <v>44194</v>
      </c>
      <c r="O251" s="40">
        <f>IFERROR(__xludf.DUMMYFUNCTION("""COMPUTED_VALUE"""),9450.0)</f>
        <v>9450</v>
      </c>
      <c r="P251" s="37" t="str">
        <f>IFERROR(__xludf.DUMMYFUNCTION("""COMPUTED_VALUE"""),"資訊裝置")</f>
        <v>資訊裝置</v>
      </c>
      <c r="Q251" s="37">
        <f>IFERROR(__xludf.DUMMYFUNCTION("""COMPUTED_VALUE"""),36.0)</f>
        <v>36</v>
      </c>
      <c r="R251" s="37">
        <f>IFERROR(__xludf.DUMMYFUNCTION("""COMPUTED_VALUE"""),36.0)</f>
        <v>36</v>
      </c>
      <c r="S251" s="37" t="str">
        <f>IFERROR(__xludf.DUMMYFUNCTION("""COMPUTED_VALUE"""),"NT$9,450")</f>
        <v>NT$9,450</v>
      </c>
      <c r="T251" s="37" t="str">
        <f>IFERROR(__xludf.DUMMYFUNCTION("""COMPUTED_VALUE"""),"iPad (第八代) 32GB WIFI(MYLC2TA/A)")</f>
        <v>iPad (第八代) 32GB WIFI(MYLC2TA/A)</v>
      </c>
      <c r="U251" s="37"/>
      <c r="V251" s="37"/>
      <c r="W251" s="37"/>
      <c r="X251" s="40" t="str">
        <f>IFERROR(__xludf.DUMMYFUNCTION("""COMPUTED_VALUE"""),"")</f>
        <v/>
      </c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</row>
    <row r="252">
      <c r="B252" s="37"/>
      <c r="C252" s="37" t="str">
        <f>IFERROR(__xludf.DUMMYFUNCTION("""COMPUTED_VALUE"""),"滿三年更換")</f>
        <v>滿三年更換</v>
      </c>
      <c r="D252" s="37" t="str">
        <f>IFERROR(__xludf.DUMMYFUNCTION("""COMPUTED_VALUE"""),"TW")</f>
        <v>TW</v>
      </c>
      <c r="E252" s="37"/>
      <c r="F252" s="37"/>
      <c r="G252" s="37"/>
      <c r="H252" s="37" t="str">
        <f>IFERROR(__xludf.DUMMYFUNCTION("""COMPUTED_VALUE"""),"客戶價值中心:客戶成功管理部")</f>
        <v>客戶價值中心:客戶成功管理部</v>
      </c>
      <c r="I252" s="37" t="str">
        <f>IFERROR(__xludf.DUMMYFUNCTION("""COMPUTED_VALUE"""),"資訊裝置")</f>
        <v>資訊裝置</v>
      </c>
      <c r="J252" s="37" t="str">
        <f>IFERROR(__xludf.DUMMYFUNCTION("""COMPUTED_VALUE"""),"AICHMN02010088")</f>
        <v>AICHMN02010088</v>
      </c>
      <c r="K252" s="37" t="str">
        <f>IFERROR(__xludf.DUMMYFUNCTION("""COMPUTED_VALUE"""),"螢幕")</f>
        <v>螢幕</v>
      </c>
      <c r="L252" s="37" t="str">
        <f>IFERROR(__xludf.DUMMYFUNCTION("""COMPUTED_VALUE"""),"CN-0CYKT7-WSL00-09F-DD6W-A09")</f>
        <v>CN-0CYKT7-WSL00-09F-DD6W-A09</v>
      </c>
      <c r="M252" s="37" t="str">
        <f>IFERROR(__xludf.DUMMYFUNCTION("""COMPUTED_VALUE"""),"謝孟娟")</f>
        <v>謝孟娟</v>
      </c>
      <c r="N252" s="45">
        <f>IFERROR(__xludf.DUMMYFUNCTION("""COMPUTED_VALUE"""),44180.0)</f>
        <v>44180</v>
      </c>
      <c r="O252" s="40">
        <f>IFERROR(__xludf.DUMMYFUNCTION("""COMPUTED_VALUE"""),58990.0)</f>
        <v>58990</v>
      </c>
      <c r="P252" s="37" t="str">
        <f>IFERROR(__xludf.DUMMYFUNCTION("""COMPUTED_VALUE"""),"資訊裝置")</f>
        <v>資訊裝置</v>
      </c>
      <c r="Q252" s="37">
        <f>IFERROR(__xludf.DUMMYFUNCTION("""COMPUTED_VALUE"""),36.0)</f>
        <v>36</v>
      </c>
      <c r="R252" s="37">
        <f>IFERROR(__xludf.DUMMYFUNCTION("""COMPUTED_VALUE"""),36.0)</f>
        <v>36</v>
      </c>
      <c r="S252" s="37" t="str">
        <f>IFERROR(__xludf.DUMMYFUNCTION("""COMPUTED_VALUE"""),"NT$58,990")</f>
        <v>NT$58,990</v>
      </c>
      <c r="T252" s="37" t="str">
        <f>IFERROR(__xludf.DUMMYFUNCTION("""COMPUTED_VALUE"""),"Dell 24吋 U2419H")</f>
        <v>Dell 24吋 U2419H</v>
      </c>
      <c r="U252" s="37"/>
      <c r="V252" s="37"/>
      <c r="W252" s="37"/>
      <c r="X252" s="40" t="str">
        <f>IFERROR(__xludf.DUMMYFUNCTION("""COMPUTED_VALUE"""),"")</f>
        <v/>
      </c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</row>
    <row r="253">
      <c r="B253" s="37"/>
      <c r="C253" s="37" t="str">
        <f>IFERROR(__xludf.DUMMYFUNCTION("""COMPUTED_VALUE"""),"滿三年更換")</f>
        <v>滿三年更換</v>
      </c>
      <c r="D253" s="37" t="str">
        <f>IFERROR(__xludf.DUMMYFUNCTION("""COMPUTED_VALUE"""),"TW")</f>
        <v>TW</v>
      </c>
      <c r="E253" s="37"/>
      <c r="F253" s="37"/>
      <c r="G253" s="37"/>
      <c r="H253" s="44" t="str">
        <f>IFERROR(__xludf.DUMMYFUNCTION("""COMPUTED_VALUE"""),"研發中心:軟體工程部:前端團隊")</f>
        <v>研發中心:軟體工程部:前端團隊</v>
      </c>
      <c r="I253" s="37" t="str">
        <f>IFERROR(__xludf.DUMMYFUNCTION("""COMPUTED_VALUE"""),"資訊裝置")</f>
        <v>資訊裝置</v>
      </c>
      <c r="J253" s="37" t="str">
        <f>IFERROR(__xludf.DUMMYFUNCTION("""COMPUTED_VALUE"""),"AICHMN01604031")</f>
        <v>AICHMN01604031</v>
      </c>
      <c r="K253" s="37" t="str">
        <f>IFERROR(__xludf.DUMMYFUNCTION("""COMPUTED_VALUE"""),"螢幕")</f>
        <v>螢幕</v>
      </c>
      <c r="L253" s="37" t="str">
        <f>IFERROR(__xludf.DUMMYFUNCTION("""COMPUTED_VALUE"""),"CN-0YR48V-74261-21T-0UNL")</f>
        <v>CN-0YR48V-74261-21T-0UNL</v>
      </c>
      <c r="M253" s="37" t="str">
        <f>IFERROR(__xludf.DUMMYFUNCTION("""COMPUTED_VALUE"""),"謝明哲")</f>
        <v>謝明哲</v>
      </c>
      <c r="N253" s="44">
        <f>IFERROR(__xludf.DUMMYFUNCTION("""COMPUTED_VALUE"""),42468.0)</f>
        <v>42468</v>
      </c>
      <c r="O253" s="37"/>
      <c r="P253" s="37" t="str">
        <f>IFERROR(__xludf.DUMMYFUNCTION("""COMPUTED_VALUE"""),"資訊裝置")</f>
        <v>資訊裝置</v>
      </c>
      <c r="Q253" s="37">
        <f>IFERROR(__xludf.DUMMYFUNCTION("""COMPUTED_VALUE"""),36.0)</f>
        <v>36</v>
      </c>
      <c r="R253" s="37">
        <f>IFERROR(__xludf.DUMMYFUNCTION("""COMPUTED_VALUE"""),36.0)</f>
        <v>36</v>
      </c>
      <c r="S253" s="37" t="str">
        <f>IFERROR(__xludf.DUMMYFUNCTION("""COMPUTED_VALUE"""),"NT$0")</f>
        <v>NT$0</v>
      </c>
      <c r="T253" s="37" t="str">
        <f>IFERROR(__xludf.DUMMYFUNCTION("""COMPUTED_VALUE"""),"Dell 24吋 U2412Mb")</f>
        <v>Dell 24吋 U2412Mb</v>
      </c>
      <c r="U253" s="37"/>
      <c r="V253" s="37"/>
      <c r="W253" s="37"/>
      <c r="X253" s="40" t="str">
        <f>IFERROR(__xludf.DUMMYFUNCTION("""COMPUTED_VALUE"""),"")</f>
        <v/>
      </c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</row>
    <row r="254">
      <c r="B254" s="37"/>
      <c r="C254" s="37" t="str">
        <f>IFERROR(__xludf.DUMMYFUNCTION("""COMPUTED_VALUE"""),"滿三年更換")</f>
        <v>滿三年更換</v>
      </c>
      <c r="D254" s="37" t="str">
        <f>IFERROR(__xludf.DUMMYFUNCTION("""COMPUTED_VALUE"""),"TW")</f>
        <v>TW</v>
      </c>
      <c r="E254" s="37"/>
      <c r="F254" s="37"/>
      <c r="G254" s="37"/>
      <c r="H254" s="44" t="str">
        <f>IFERROR(__xludf.DUMMYFUNCTION("""COMPUTED_VALUE"""),"研發中心:軟體工程部:前端團隊")</f>
        <v>研發中心:軟體工程部:前端團隊</v>
      </c>
      <c r="I254" s="37" t="str">
        <f>IFERROR(__xludf.DUMMYFUNCTION("""COMPUTED_VALUE"""),"資訊裝置")</f>
        <v>資訊裝置</v>
      </c>
      <c r="J254" s="37" t="str">
        <f>IFERROR(__xludf.DUMMYFUNCTION("""COMPUTED_VALUE"""),"AICHMN02101089")</f>
        <v>AICHMN02101089</v>
      </c>
      <c r="K254" s="37" t="str">
        <f>IFERROR(__xludf.DUMMYFUNCTION("""COMPUTED_VALUE"""),"螢幕")</f>
        <v>螢幕</v>
      </c>
      <c r="L254" s="37" t="str">
        <f>IFERROR(__xludf.DUMMYFUNCTION("""COMPUTED_VALUE"""),"CN-0941GG-QDC00-08N-12KB-A09")</f>
        <v>CN-0941GG-QDC00-08N-12KB-A09</v>
      </c>
      <c r="M254" s="37" t="str">
        <f>IFERROR(__xludf.DUMMYFUNCTION("""COMPUTED_VALUE"""),"謝明哲")</f>
        <v>謝明哲</v>
      </c>
      <c r="N254" s="44">
        <f>IFERROR(__xludf.DUMMYFUNCTION("""COMPUTED_VALUE"""),44215.0)</f>
        <v>44215</v>
      </c>
      <c r="O254" s="40">
        <f>IFERROR(__xludf.DUMMYFUNCTION("""COMPUTED_VALUE"""),40300.0)</f>
        <v>40300</v>
      </c>
      <c r="P254" s="37" t="str">
        <f>IFERROR(__xludf.DUMMYFUNCTION("""COMPUTED_VALUE"""),"資訊裝置")</f>
        <v>資訊裝置</v>
      </c>
      <c r="Q254" s="37">
        <f>IFERROR(__xludf.DUMMYFUNCTION("""COMPUTED_VALUE"""),36.0)</f>
        <v>36</v>
      </c>
      <c r="R254" s="37">
        <f>IFERROR(__xludf.DUMMYFUNCTION("""COMPUTED_VALUE"""),36.0)</f>
        <v>36</v>
      </c>
      <c r="S254" s="37" t="str">
        <f>IFERROR(__xludf.DUMMYFUNCTION("""COMPUTED_VALUE"""),"NT$40,300")</f>
        <v>NT$40,300</v>
      </c>
      <c r="T254" s="37" t="str">
        <f>IFERROR(__xludf.DUMMYFUNCTION("""COMPUTED_VALUE"""),"Dell 24吋 P2419H")</f>
        <v>Dell 24吋 P2419H</v>
      </c>
      <c r="U254" s="37"/>
      <c r="V254" s="37"/>
      <c r="W254" s="37"/>
      <c r="X254" s="40" t="str">
        <f>IFERROR(__xludf.DUMMYFUNCTION("""COMPUTED_VALUE"""),"")</f>
        <v/>
      </c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</row>
    <row r="255">
      <c r="B255" s="37"/>
      <c r="C255" s="37" t="str">
        <f>IFERROR(__xludf.DUMMYFUNCTION("""COMPUTED_VALUE"""),"滿三年更換")</f>
        <v>滿三年更換</v>
      </c>
      <c r="D255" s="37" t="str">
        <f>IFERROR(__xludf.DUMMYFUNCTION("""COMPUTED_VALUE"""),"TW")</f>
        <v>TW</v>
      </c>
      <c r="E255" s="37"/>
      <c r="F255" s="37"/>
      <c r="G255" s="37"/>
      <c r="H255" s="44" t="str">
        <f>IFERROR(__xludf.DUMMYFUNCTION("""COMPUTED_VALUE"""),"行銷營運中心:銷售營運部:銷售顧問團隊")</f>
        <v>行銷營運中心:銷售營運部:銷售顧問團隊</v>
      </c>
      <c r="I255" s="37" t="str">
        <f>IFERROR(__xludf.DUMMYFUNCTION("""COMPUTED_VALUE"""),"資訊裝置")</f>
        <v>資訊裝置</v>
      </c>
      <c r="J255" s="37" t="str">
        <f>IFERROR(__xludf.DUMMYFUNCTION("""COMPUTED_VALUE"""),"AICHMA02110041")</f>
        <v>AICHMA02110041</v>
      </c>
      <c r="K255" s="37" t="str">
        <f>IFERROR(__xludf.DUMMYFUNCTION("""COMPUTED_VALUE"""),"Macbook Air")</f>
        <v>Macbook Air</v>
      </c>
      <c r="L255" s="37" t="str">
        <f>IFERROR(__xludf.DUMMYFUNCTION("""COMPUTED_VALUE"""),"FVFG6DD2Q6LC")</f>
        <v>FVFG6DD2Q6LC</v>
      </c>
      <c r="M255" s="37" t="str">
        <f>IFERROR(__xludf.DUMMYFUNCTION("""COMPUTED_VALUE"""),"鍾志杰")</f>
        <v>鍾志杰</v>
      </c>
      <c r="N255" s="44">
        <f>IFERROR(__xludf.DUMMYFUNCTION("""COMPUTED_VALUE"""),44474.0)</f>
        <v>44474</v>
      </c>
      <c r="O255" s="40">
        <f>IFERROR(__xludf.DUMMYFUNCTION("""COMPUTED_VALUE"""),27075.0)</f>
        <v>27075</v>
      </c>
      <c r="P255" s="37" t="str">
        <f>IFERROR(__xludf.DUMMYFUNCTION("""COMPUTED_VALUE"""),"資訊裝置")</f>
        <v>資訊裝置</v>
      </c>
      <c r="Q255" s="37">
        <f>IFERROR(__xludf.DUMMYFUNCTION("""COMPUTED_VALUE"""),36.0)</f>
        <v>36</v>
      </c>
      <c r="R255" s="37">
        <f>IFERROR(__xludf.DUMMYFUNCTION("""COMPUTED_VALUE"""),36.0)</f>
        <v>36</v>
      </c>
      <c r="S255" s="37" t="str">
        <f>IFERROR(__xludf.DUMMYFUNCTION("""COMPUTED_VALUE"""),"NT$27,075")</f>
        <v>NT$27,075</v>
      </c>
      <c r="T255" s="37" t="str">
        <f>IFERROR(__xludf.DUMMYFUNCTION("""COMPUTED_VALUE"""),"A2337 MBA13 (2020) M1/8GBRAM/256GBSSD")</f>
        <v>A2337 MBA13 (2020) M1/8GBRAM/256GBSSD</v>
      </c>
      <c r="U255" s="37"/>
      <c r="V255" s="37"/>
      <c r="W255" s="37"/>
      <c r="X255" s="40" t="str">
        <f>IFERROR(__xludf.DUMMYFUNCTION("""COMPUTED_VALUE"""),"")</f>
        <v/>
      </c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</row>
    <row r="256">
      <c r="B256" s="37"/>
      <c r="C256" s="37" t="str">
        <f>IFERROR(__xludf.DUMMYFUNCTION("""COMPUTED_VALUE"""),"滿三年更換")</f>
        <v>滿三年更換</v>
      </c>
      <c r="D256" s="37" t="str">
        <f>IFERROR(__xludf.DUMMYFUNCTION("""COMPUTED_VALUE"""),"TW")</f>
        <v>TW</v>
      </c>
      <c r="E256" s="37"/>
      <c r="F256" s="37"/>
      <c r="G256" s="37"/>
      <c r="H256" s="44" t="str">
        <f>IFERROR(__xludf.DUMMYFUNCTION("""COMPUTED_VALUE"""),"研發中心:產品設計部:產品設計師團隊")</f>
        <v>研發中心:產品設計部:產品設計師團隊</v>
      </c>
      <c r="I256" s="37" t="str">
        <f>IFERROR(__xludf.DUMMYFUNCTION("""COMPUTED_VALUE"""),"資訊裝置")</f>
        <v>資訊裝置</v>
      </c>
      <c r="J256" s="37" t="str">
        <f>IFERROR(__xludf.DUMMYFUNCTION("""COMPUTED_VALUE"""),"AICHIP02008039")</f>
        <v>AICHIP02008039</v>
      </c>
      <c r="K256" s="37" t="str">
        <f>IFERROR(__xludf.DUMMYFUNCTION("""COMPUTED_VALUE"""),"iPad")</f>
        <v>iPad</v>
      </c>
      <c r="L256" s="37" t="str">
        <f>IFERROR(__xludf.DUMMYFUNCTION("""COMPUTED_VALUE"""),"DMPD33ZLMF3N")</f>
        <v>DMPD33ZLMF3N</v>
      </c>
      <c r="M256" s="37" t="str">
        <f>IFERROR(__xludf.DUMMYFUNCTION("""COMPUTED_VALUE"""),"鍾宛儒")</f>
        <v>鍾宛儒</v>
      </c>
      <c r="N256" s="44">
        <f>IFERROR(__xludf.DUMMYFUNCTION("""COMPUTED_VALUE"""),44074.0)</f>
        <v>44074</v>
      </c>
      <c r="O256" s="40">
        <f>IFERROR(__xludf.DUMMYFUNCTION("""COMPUTED_VALUE"""),27663.0)</f>
        <v>27663</v>
      </c>
      <c r="P256" s="37" t="str">
        <f>IFERROR(__xludf.DUMMYFUNCTION("""COMPUTED_VALUE"""),"資訊裝置")</f>
        <v>資訊裝置</v>
      </c>
      <c r="Q256" s="37">
        <f>IFERROR(__xludf.DUMMYFUNCTION("""COMPUTED_VALUE"""),36.0)</f>
        <v>36</v>
      </c>
      <c r="R256" s="37">
        <f>IFERROR(__xludf.DUMMYFUNCTION("""COMPUTED_VALUE"""),36.0)</f>
        <v>36</v>
      </c>
      <c r="S256" s="37" t="str">
        <f>IFERROR(__xludf.DUMMYFUNCTION("""COMPUTED_VALUE"""),"NT$27,663")</f>
        <v>NT$27,663</v>
      </c>
      <c r="T256" s="37" t="str">
        <f>IFERROR(__xludf.DUMMYFUNCTION("""COMPUTED_VALUE"""),"iPad (第七代) 32GB WIFI (A2197)")</f>
        <v>iPad (第七代) 32GB WIFI (A2197)</v>
      </c>
      <c r="U256" s="37"/>
      <c r="V256" s="37"/>
      <c r="W256" s="37"/>
      <c r="X256" s="40" t="str">
        <f>IFERROR(__xludf.DUMMYFUNCTION("""COMPUTED_VALUE"""),"")</f>
        <v/>
      </c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</row>
    <row r="257">
      <c r="B257" s="37"/>
      <c r="C257" s="37" t="str">
        <f>IFERROR(__xludf.DUMMYFUNCTION("""COMPUTED_VALUE"""),"滿三年更換")</f>
        <v>滿三年更換</v>
      </c>
      <c r="D257" s="37" t="str">
        <f>IFERROR(__xludf.DUMMYFUNCTION("""COMPUTED_VALUE"""),"TW")</f>
        <v>TW</v>
      </c>
      <c r="E257" s="37"/>
      <c r="F257" s="37"/>
      <c r="G257" s="37"/>
      <c r="H257" s="44" t="str">
        <f>IFERROR(__xludf.DUMMYFUNCTION("""COMPUTED_VALUE"""),"研發中心:產品設計部:產品設計師團隊")</f>
        <v>研發中心:產品設計部:產品設計師團隊</v>
      </c>
      <c r="I257" s="37" t="str">
        <f>IFERROR(__xludf.DUMMYFUNCTION("""COMPUTED_VALUE"""),"資訊裝置")</f>
        <v>資訊裝置</v>
      </c>
      <c r="J257" s="37" t="str">
        <f>IFERROR(__xludf.DUMMYFUNCTION("""COMPUTED_VALUE"""),"AICHMN02003064")</f>
        <v>AICHMN02003064</v>
      </c>
      <c r="K257" s="37" t="str">
        <f>IFERROR(__xludf.DUMMYFUNCTION("""COMPUTED_VALUE"""),"螢幕")</f>
        <v>螢幕</v>
      </c>
      <c r="L257" s="37" t="str">
        <f>IFERROR(__xludf.DUMMYFUNCTION("""COMPUTED_VALUE"""),"CN-043D22-TV100-9AE-034L-A07")</f>
        <v>CN-043D22-TV100-9AE-034L-A07</v>
      </c>
      <c r="M257" s="37" t="str">
        <f>IFERROR(__xludf.DUMMYFUNCTION("""COMPUTED_VALUE"""),"鍾宛儒")</f>
        <v>鍾宛儒</v>
      </c>
      <c r="N257" s="44">
        <f>IFERROR(__xludf.DUMMYFUNCTION("""COMPUTED_VALUE"""),43888.0)</f>
        <v>43888</v>
      </c>
      <c r="O257" s="37"/>
      <c r="P257" s="37" t="str">
        <f>IFERROR(__xludf.DUMMYFUNCTION("""COMPUTED_VALUE"""),"資訊裝置")</f>
        <v>資訊裝置</v>
      </c>
      <c r="Q257" s="37">
        <f>IFERROR(__xludf.DUMMYFUNCTION("""COMPUTED_VALUE"""),36.0)</f>
        <v>36</v>
      </c>
      <c r="R257" s="37">
        <f>IFERROR(__xludf.DUMMYFUNCTION("""COMPUTED_VALUE"""),36.0)</f>
        <v>36</v>
      </c>
      <c r="S257" s="37" t="str">
        <f>IFERROR(__xludf.DUMMYFUNCTION("""COMPUTED_VALUE"""),"NT$0")</f>
        <v>NT$0</v>
      </c>
      <c r="T257" s="37" t="str">
        <f>IFERROR(__xludf.DUMMYFUNCTION("""COMPUTED_VALUE"""),"Dell 24吋 SE2416H")</f>
        <v>Dell 24吋 SE2416H</v>
      </c>
      <c r="U257" s="37"/>
      <c r="V257" s="37"/>
      <c r="W257" s="37"/>
      <c r="X257" s="40" t="str">
        <f>IFERROR(__xludf.DUMMYFUNCTION("""COMPUTED_VALUE"""),"")</f>
        <v/>
      </c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</row>
    <row r="258">
      <c r="B258" s="37"/>
      <c r="C258" s="37" t="str">
        <f>IFERROR(__xludf.DUMMYFUNCTION("""COMPUTED_VALUE"""),"滿三年更換")</f>
        <v>滿三年更換</v>
      </c>
      <c r="D258" s="37" t="str">
        <f>IFERROR(__xludf.DUMMYFUNCTION("""COMPUTED_VALUE"""),"TW")</f>
        <v>TW</v>
      </c>
      <c r="E258" s="37"/>
      <c r="F258" s="37"/>
      <c r="G258" s="37"/>
      <c r="H258" s="37" t="str">
        <f>IFERROR(__xludf.DUMMYFUNCTION("""COMPUTED_VALUE"""),"管理中心:採購部")</f>
        <v>管理中心:採購部</v>
      </c>
      <c r="I258" s="37" t="str">
        <f>IFERROR(__xludf.DUMMYFUNCTION("""COMPUTED_VALUE"""),"資訊裝置")</f>
        <v>資訊裝置</v>
      </c>
      <c r="J258" s="37" t="str">
        <f>IFERROR(__xludf.DUMMYFUNCTION("""COMPUTED_VALUE"""),"AICHMN01604007")</f>
        <v>AICHMN01604007</v>
      </c>
      <c r="K258" s="37" t="str">
        <f>IFERROR(__xludf.DUMMYFUNCTION("""COMPUTED_VALUE"""),"螢幕")</f>
        <v>螢幕</v>
      </c>
      <c r="L258" s="37" t="str">
        <f>IFERROR(__xludf.DUMMYFUNCTION("""COMPUTED_VALUE"""),"ZX6VHTRD500014V")</f>
        <v>ZX6VHTRD500014V</v>
      </c>
      <c r="M258" s="37" t="str">
        <f>IFERROR(__xludf.DUMMYFUNCTION("""COMPUTED_VALUE"""),"簡亦秀")</f>
        <v>簡亦秀</v>
      </c>
      <c r="N258" s="44">
        <f>IFERROR(__xludf.DUMMYFUNCTION("""COMPUTED_VALUE"""),42468.0)</f>
        <v>42468</v>
      </c>
      <c r="O258" s="37"/>
      <c r="P258" s="37" t="str">
        <f>IFERROR(__xludf.DUMMYFUNCTION("""COMPUTED_VALUE"""),"資訊裝置")</f>
        <v>資訊裝置</v>
      </c>
      <c r="Q258" s="37">
        <f>IFERROR(__xludf.DUMMYFUNCTION("""COMPUTED_VALUE"""),36.0)</f>
        <v>36</v>
      </c>
      <c r="R258" s="37">
        <f>IFERROR(__xludf.DUMMYFUNCTION("""COMPUTED_VALUE"""),36.0)</f>
        <v>36</v>
      </c>
      <c r="S258" s="37" t="str">
        <f>IFERROR(__xludf.DUMMYFUNCTION("""COMPUTED_VALUE"""),"NT$0")</f>
        <v>NT$0</v>
      </c>
      <c r="T258" s="37" t="str">
        <f>IFERROR(__xludf.DUMMYFUNCTION("""COMPUTED_VALUE"""),"Samsung S23B350")</f>
        <v>Samsung S23B350</v>
      </c>
      <c r="U258" s="37"/>
      <c r="V258" s="37"/>
      <c r="W258" s="37"/>
      <c r="X258" s="40" t="str">
        <f>IFERROR(__xludf.DUMMYFUNCTION("""COMPUTED_VALUE"""),"")</f>
        <v/>
      </c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</row>
    <row r="259">
      <c r="B259" s="37"/>
      <c r="C259" s="37" t="str">
        <f>IFERROR(__xludf.DUMMYFUNCTION("""COMPUTED_VALUE"""),"滿三年更換")</f>
        <v>滿三年更換</v>
      </c>
      <c r="D259" s="37" t="str">
        <f>IFERROR(__xludf.DUMMYFUNCTION("""COMPUTED_VALUE"""),"TW")</f>
        <v>TW</v>
      </c>
      <c r="E259" s="37"/>
      <c r="F259" s="37"/>
      <c r="G259" s="37"/>
      <c r="H259" s="37" t="str">
        <f>IFERROR(__xludf.DUMMYFUNCTION("""COMPUTED_VALUE"""),"策略資料中心:策略規劃部")</f>
        <v>策略資料中心:策略規劃部</v>
      </c>
      <c r="I259" s="37" t="str">
        <f>IFERROR(__xludf.DUMMYFUNCTION("""COMPUTED_VALUE"""),"資訊裝置")</f>
        <v>資訊裝置</v>
      </c>
      <c r="J259" s="37" t="str">
        <f>IFERROR(__xludf.DUMMYFUNCTION("""COMPUTED_VALUE"""),"AICHMA02209048")</f>
        <v>AICHMA02209048</v>
      </c>
      <c r="K259" s="37" t="str">
        <f>IFERROR(__xludf.DUMMYFUNCTION("""COMPUTED_VALUE"""),"Macbook Air")</f>
        <v>Macbook Air</v>
      </c>
      <c r="L259" s="37" t="str">
        <f>IFERROR(__xludf.DUMMYFUNCTION("""COMPUTED_VALUE"""),"FVFJ705V1WGG")</f>
        <v>FVFJ705V1WGG</v>
      </c>
      <c r="M259" s="37" t="str">
        <f>IFERROR(__xludf.DUMMYFUNCTION("""COMPUTED_VALUE"""),"魏妤庭")</f>
        <v>魏妤庭</v>
      </c>
      <c r="N259" s="44">
        <f>IFERROR(__xludf.DUMMYFUNCTION("""COMPUTED_VALUE"""),44810.0)</f>
        <v>44810</v>
      </c>
      <c r="O259" s="40">
        <f>IFERROR(__xludf.DUMMYFUNCTION("""COMPUTED_VALUE"""),32400.0)</f>
        <v>32400</v>
      </c>
      <c r="P259" s="37" t="str">
        <f>IFERROR(__xludf.DUMMYFUNCTION("""COMPUTED_VALUE"""),"資訊裝置")</f>
        <v>資訊裝置</v>
      </c>
      <c r="Q259" s="37">
        <f>IFERROR(__xludf.DUMMYFUNCTION("""COMPUTED_VALUE"""),36.0)</f>
        <v>36</v>
      </c>
      <c r="R259" s="37">
        <f>IFERROR(__xludf.DUMMYFUNCTION("""COMPUTED_VALUE"""),36.0)</f>
        <v>36</v>
      </c>
      <c r="S259" s="37" t="str">
        <f>IFERROR(__xludf.DUMMYFUNCTION("""COMPUTED_VALUE"""),"NT$32,400")</f>
        <v>NT$32,400</v>
      </c>
      <c r="T259" s="37" t="str">
        <f>IFERROR(__xludf.DUMMYFUNCTION("""COMPUTED_VALUE"""),"MBA13 (2020) M1/16GBRAM/256GBSSD")</f>
        <v>MBA13 (2020) M1/16GBRAM/256GBSSD</v>
      </c>
      <c r="U259" s="37"/>
      <c r="V259" s="37"/>
      <c r="W259" s="37"/>
      <c r="X259" s="40" t="str">
        <f>IFERROR(__xludf.DUMMYFUNCTION("""COMPUTED_VALUE"""),"")</f>
        <v/>
      </c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</row>
    <row r="260">
      <c r="B260" s="37"/>
      <c r="C260" s="37" t="str">
        <f>IFERROR(__xludf.DUMMYFUNCTION("""COMPUTED_VALUE"""),"滿三年更換")</f>
        <v>滿三年更換</v>
      </c>
      <c r="D260" s="37" t="str">
        <f>IFERROR(__xludf.DUMMYFUNCTION("""COMPUTED_VALUE"""),"TW")</f>
        <v>TW</v>
      </c>
      <c r="E260" s="37"/>
      <c r="F260" s="37"/>
      <c r="G260" s="37"/>
      <c r="H260" s="37" t="str">
        <f>IFERROR(__xludf.DUMMYFUNCTION("""COMPUTED_VALUE"""),"策略資料中心:策略規劃部")</f>
        <v>策略資料中心:策略規劃部</v>
      </c>
      <c r="I260" s="37" t="str">
        <f>IFERROR(__xludf.DUMMYFUNCTION("""COMPUTED_VALUE"""),"資訊裝置")</f>
        <v>資訊裝置</v>
      </c>
      <c r="J260" s="37" t="str">
        <f>IFERROR(__xludf.DUMMYFUNCTION("""COMPUTED_VALUE"""),"AICHMN01705042")</f>
        <v>AICHMN01705042</v>
      </c>
      <c r="K260" s="37" t="str">
        <f>IFERROR(__xludf.DUMMYFUNCTION("""COMPUTED_VALUE"""),"螢幕")</f>
        <v>螢幕</v>
      </c>
      <c r="L260" s="37" t="str">
        <f>IFERROR(__xludf.DUMMYFUNCTION("""COMPUTED_VALUE"""),"CN-07N2FG-TV100-88G-034U-A08")</f>
        <v>CN-07N2FG-TV100-88G-034U-A08</v>
      </c>
      <c r="M260" s="37" t="str">
        <f>IFERROR(__xludf.DUMMYFUNCTION("""COMPUTED_VALUE"""),"魏妤庭")</f>
        <v>魏妤庭</v>
      </c>
      <c r="N260" s="44">
        <f>IFERROR(__xludf.DUMMYFUNCTION("""COMPUTED_VALUE"""),43245.0)</f>
        <v>43245</v>
      </c>
      <c r="O260" s="37"/>
      <c r="P260" s="37" t="str">
        <f>IFERROR(__xludf.DUMMYFUNCTION("""COMPUTED_VALUE"""),"資訊裝置")</f>
        <v>資訊裝置</v>
      </c>
      <c r="Q260" s="37">
        <f>IFERROR(__xludf.DUMMYFUNCTION("""COMPUTED_VALUE"""),36.0)</f>
        <v>36</v>
      </c>
      <c r="R260" s="37">
        <f>IFERROR(__xludf.DUMMYFUNCTION("""COMPUTED_VALUE"""),36.0)</f>
        <v>36</v>
      </c>
      <c r="S260" s="37" t="str">
        <f>IFERROR(__xludf.DUMMYFUNCTION("""COMPUTED_VALUE"""),"NT$0")</f>
        <v>NT$0</v>
      </c>
      <c r="T260" s="37" t="str">
        <f>IFERROR(__xludf.DUMMYFUNCTION("""COMPUTED_VALUE"""),"Dell 24吋 U2412Mc")</f>
        <v>Dell 24吋 U2412Mc</v>
      </c>
      <c r="U260" s="37"/>
      <c r="V260" s="37"/>
      <c r="W260" s="37"/>
      <c r="X260" s="40" t="str">
        <f>IFERROR(__xludf.DUMMYFUNCTION("""COMPUTED_VALUE"""),"")</f>
        <v/>
      </c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</row>
    <row r="261">
      <c r="B261" s="37"/>
      <c r="C261" s="37" t="str">
        <f>IFERROR(__xludf.DUMMYFUNCTION("""COMPUTED_VALUE"""),"滿三年更換")</f>
        <v>滿三年更換</v>
      </c>
      <c r="D261" s="37" t="str">
        <f>IFERROR(__xludf.DUMMYFUNCTION("""COMPUTED_VALUE"""),"TW")</f>
        <v>TW</v>
      </c>
      <c r="E261" s="37"/>
      <c r="F261" s="37"/>
      <c r="G261" s="37"/>
      <c r="H261" s="37" t="str">
        <f>IFERROR(__xludf.DUMMYFUNCTION("""COMPUTED_VALUE"""),"執行長室:稽核室")</f>
        <v>執行長室:稽核室</v>
      </c>
      <c r="I261" s="37" t="str">
        <f>IFERROR(__xludf.DUMMYFUNCTION("""COMPUTED_VALUE"""),"資訊裝置")</f>
        <v>資訊裝置</v>
      </c>
      <c r="J261" s="37" t="str">
        <f>IFERROR(__xludf.DUMMYFUNCTION("""COMPUTED_VALUE"""),"AICHMN01604011")</f>
        <v>AICHMN01604011</v>
      </c>
      <c r="K261" s="37" t="str">
        <f>IFERROR(__xludf.DUMMYFUNCTION("""COMPUTED_VALUE"""),"螢幕")</f>
        <v>螢幕</v>
      </c>
      <c r="L261" s="37" t="str">
        <f>IFERROR(__xludf.DUMMYFUNCTION("""COMPUTED_VALUE"""),"CN-0YR48V-74261-21T-0NPL")</f>
        <v>CN-0YR48V-74261-21T-0NPL</v>
      </c>
      <c r="M261" s="37" t="str">
        <f>IFERROR(__xludf.DUMMYFUNCTION("""COMPUTED_VALUE"""),"魏宜婷")</f>
        <v>魏宜婷</v>
      </c>
      <c r="N261" s="44">
        <f>IFERROR(__xludf.DUMMYFUNCTION("""COMPUTED_VALUE"""),42468.0)</f>
        <v>42468</v>
      </c>
      <c r="O261" s="37"/>
      <c r="P261" s="37" t="str">
        <f>IFERROR(__xludf.DUMMYFUNCTION("""COMPUTED_VALUE"""),"資訊裝置")</f>
        <v>資訊裝置</v>
      </c>
      <c r="Q261" s="37">
        <f>IFERROR(__xludf.DUMMYFUNCTION("""COMPUTED_VALUE"""),36.0)</f>
        <v>36</v>
      </c>
      <c r="R261" s="37">
        <f>IFERROR(__xludf.DUMMYFUNCTION("""COMPUTED_VALUE"""),36.0)</f>
        <v>36</v>
      </c>
      <c r="S261" s="37" t="str">
        <f>IFERROR(__xludf.DUMMYFUNCTION("""COMPUTED_VALUE"""),"NT$0")</f>
        <v>NT$0</v>
      </c>
      <c r="T261" s="37" t="str">
        <f>IFERROR(__xludf.DUMMYFUNCTION("""COMPUTED_VALUE"""),"Dell 24吋 U2412Mc")</f>
        <v>Dell 24吋 U2412Mc</v>
      </c>
      <c r="U261" s="37"/>
      <c r="V261" s="37"/>
      <c r="W261" s="37"/>
      <c r="X261" s="40" t="str">
        <f>IFERROR(__xludf.DUMMYFUNCTION("""COMPUTED_VALUE"""),"")</f>
        <v/>
      </c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</row>
    <row r="262">
      <c r="B262" s="37"/>
      <c r="C262" s="37" t="str">
        <f>IFERROR(__xludf.DUMMYFUNCTION("""COMPUTED_VALUE"""),"滿三年更換")</f>
        <v>滿三年更換</v>
      </c>
      <c r="D262" s="37" t="str">
        <f>IFERROR(__xludf.DUMMYFUNCTION("""COMPUTED_VALUE"""),"TW")</f>
        <v>TW</v>
      </c>
      <c r="E262" s="37"/>
      <c r="F262" s="37"/>
      <c r="G262" s="37"/>
      <c r="H262" s="44" t="str">
        <f>IFERROR(__xludf.DUMMYFUNCTION("""COMPUTED_VALUE"""),"行銷營運中心:銷售營運部:線上開發團隊")</f>
        <v>行銷營運中心:銷售營運部:線上開發團隊</v>
      </c>
      <c r="I262" s="37" t="str">
        <f>IFERROR(__xludf.DUMMYFUNCTION("""COMPUTED_VALUE"""),"資訊裝置")</f>
        <v>資訊裝置</v>
      </c>
      <c r="J262" s="37" t="str">
        <f>IFERROR(__xludf.DUMMYFUNCTION("""COMPUTED_VALUE"""),"AICHMA02112046")</f>
        <v>AICHMA02112046</v>
      </c>
      <c r="K262" s="37" t="str">
        <f>IFERROR(__xludf.DUMMYFUNCTION("""COMPUTED_VALUE"""),"Macbook Air")</f>
        <v>Macbook Air</v>
      </c>
      <c r="L262" s="37" t="str">
        <f>IFERROR(__xludf.DUMMYFUNCTION("""COMPUTED_VALUE"""),"FVFG430XQ6L7")</f>
        <v>FVFG430XQ6L7</v>
      </c>
      <c r="M262" s="37" t="str">
        <f>IFERROR(__xludf.DUMMYFUNCTION("""COMPUTED_VALUE"""),"魏梓穎")</f>
        <v>魏梓穎</v>
      </c>
      <c r="N262" s="45">
        <f>IFERROR(__xludf.DUMMYFUNCTION("""COMPUTED_VALUE"""),44557.0)</f>
        <v>44557</v>
      </c>
      <c r="O262" s="40">
        <f>IFERROR(__xludf.DUMMYFUNCTION("""COMPUTED_VALUE"""),27075.0)</f>
        <v>27075</v>
      </c>
      <c r="P262" s="37" t="str">
        <f>IFERROR(__xludf.DUMMYFUNCTION("""COMPUTED_VALUE"""),"資訊裝置")</f>
        <v>資訊裝置</v>
      </c>
      <c r="Q262" s="37">
        <f>IFERROR(__xludf.DUMMYFUNCTION("""COMPUTED_VALUE"""),36.0)</f>
        <v>36</v>
      </c>
      <c r="R262" s="37">
        <f>IFERROR(__xludf.DUMMYFUNCTION("""COMPUTED_VALUE"""),36.0)</f>
        <v>36</v>
      </c>
      <c r="S262" s="37" t="str">
        <f>IFERROR(__xludf.DUMMYFUNCTION("""COMPUTED_VALUE"""),"NT$27,075")</f>
        <v>NT$27,075</v>
      </c>
      <c r="T262" s="37" t="str">
        <f>IFERROR(__xludf.DUMMYFUNCTION("""COMPUTED_VALUE"""),"A2337 MBA13 (2020) M1/8GBRAM/256GBSSD")</f>
        <v>A2337 MBA13 (2020) M1/8GBRAM/256GBSSD</v>
      </c>
      <c r="U262" s="37"/>
      <c r="V262" s="37"/>
      <c r="W262" s="37"/>
      <c r="X262" s="40" t="str">
        <f>IFERROR(__xludf.DUMMYFUNCTION("""COMPUTED_VALUE"""),"")</f>
        <v/>
      </c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</row>
    <row r="263">
      <c r="B263" s="37"/>
      <c r="C263" s="37" t="str">
        <f>IFERROR(__xludf.DUMMYFUNCTION("""COMPUTED_VALUE"""),"滿三年更換")</f>
        <v>滿三年更換</v>
      </c>
      <c r="D263" s="37" t="str">
        <f>IFERROR(__xludf.DUMMYFUNCTION("""COMPUTED_VALUE"""),"TW")</f>
        <v>TW</v>
      </c>
      <c r="E263" s="37"/>
      <c r="F263" s="37"/>
      <c r="G263" s="37"/>
      <c r="H263" s="44" t="str">
        <f>IFERROR(__xludf.DUMMYFUNCTION("""COMPUTED_VALUE"""),"行銷營運中心:銷售營運部:線上開發團隊")</f>
        <v>行銷營運中心:銷售營運部:線上開發團隊</v>
      </c>
      <c r="I263" s="37" t="str">
        <f>IFERROR(__xludf.DUMMYFUNCTION("""COMPUTED_VALUE"""),"資訊裝置")</f>
        <v>資訊裝置</v>
      </c>
      <c r="J263" s="37" t="str">
        <f>IFERROR(__xludf.DUMMYFUNCTION("""COMPUTED_VALUE"""),"AICHMN02201111")</f>
        <v>AICHMN02201111</v>
      </c>
      <c r="K263" s="37" t="str">
        <f>IFERROR(__xludf.DUMMYFUNCTION("""COMPUTED_VALUE"""),"螢幕")</f>
        <v>螢幕</v>
      </c>
      <c r="L263" s="37" t="str">
        <f>IFERROR(__xludf.DUMMYFUNCTION("""COMPUTED_VALUE"""),"CN-0RCKX9-TV200-1AS-058V-A01")</f>
        <v>CN-0RCKX9-TV200-1AS-058V-A01</v>
      </c>
      <c r="M263" s="37" t="str">
        <f>IFERROR(__xludf.DUMMYFUNCTION("""COMPUTED_VALUE"""),"魏梓穎")</f>
        <v>魏梓穎</v>
      </c>
      <c r="N263" s="44">
        <f>IFERROR(__xludf.DUMMYFUNCTION("""COMPUTED_VALUE"""),44585.0)</f>
        <v>44585</v>
      </c>
      <c r="O263" s="40">
        <f>IFERROR(__xludf.DUMMYFUNCTION("""COMPUTED_VALUE"""),4370.0)</f>
        <v>4370</v>
      </c>
      <c r="P263" s="37" t="str">
        <f>IFERROR(__xludf.DUMMYFUNCTION("""COMPUTED_VALUE"""),"資訊裝置")</f>
        <v>資訊裝置</v>
      </c>
      <c r="Q263" s="37">
        <f>IFERROR(__xludf.DUMMYFUNCTION("""COMPUTED_VALUE"""),36.0)</f>
        <v>36</v>
      </c>
      <c r="R263" s="37">
        <f>IFERROR(__xludf.DUMMYFUNCTION("""COMPUTED_VALUE"""),36.0)</f>
        <v>36</v>
      </c>
      <c r="S263" s="37" t="str">
        <f>IFERROR(__xludf.DUMMYFUNCTION("""COMPUTED_VALUE"""),"NT$4,370")</f>
        <v>NT$4,370</v>
      </c>
      <c r="T263" s="37" t="str">
        <f>IFERROR(__xludf.DUMMYFUNCTION("""COMPUTED_VALUE"""),"Dell 27吋 SE2722H")</f>
        <v>Dell 27吋 SE2722H</v>
      </c>
      <c r="U263" s="37"/>
      <c r="V263" s="37"/>
      <c r="W263" s="37"/>
      <c r="X263" s="40" t="str">
        <f>IFERROR(__xludf.DUMMYFUNCTION("""COMPUTED_VALUE"""),"")</f>
        <v/>
      </c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</row>
    <row r="264">
      <c r="B264" s="37"/>
      <c r="C264" s="37" t="str">
        <f>IFERROR(__xludf.DUMMYFUNCTION("""COMPUTED_VALUE"""),"滿三年更換")</f>
        <v>滿三年更換</v>
      </c>
      <c r="D264" s="37" t="str">
        <f>IFERROR(__xludf.DUMMYFUNCTION("""COMPUTED_VALUE"""),"TW")</f>
        <v>TW</v>
      </c>
      <c r="E264" s="37"/>
      <c r="F264" s="37"/>
      <c r="G264" s="37"/>
      <c r="H264" s="44" t="str">
        <f>IFERROR(__xludf.DUMMYFUNCTION("""COMPUTED_VALUE"""),"研發中心:軟體工程部:後端團隊")</f>
        <v>研發中心:軟體工程部:後端團隊</v>
      </c>
      <c r="I264" s="37" t="str">
        <f>IFERROR(__xludf.DUMMYFUNCTION("""COMPUTED_VALUE"""),"資訊裝置")</f>
        <v>資訊裝置</v>
      </c>
      <c r="J264" s="37" t="str">
        <f>IFERROR(__xludf.DUMMYFUNCTION("""COMPUTED_VALUE"""),"AICHMP02102024")</f>
        <v>AICHMP02102024</v>
      </c>
      <c r="K264" s="37" t="str">
        <f>IFERROR(__xludf.DUMMYFUNCTION("""COMPUTED_VALUE"""),"Macbook Pro")</f>
        <v>Macbook Pro</v>
      </c>
      <c r="L264" s="37" t="str">
        <f>IFERROR(__xludf.DUMMYFUNCTION("""COMPUTED_VALUE"""),"C02F527LML85")</f>
        <v>C02F527LML85</v>
      </c>
      <c r="M264" s="37" t="str">
        <f>IFERROR(__xludf.DUMMYFUNCTION("""COMPUTED_VALUE"""),"羅芃")</f>
        <v>羅芃</v>
      </c>
      <c r="N264" s="44">
        <f>IFERROR(__xludf.DUMMYFUNCTION("""COMPUTED_VALUE"""),44230.0)</f>
        <v>44230</v>
      </c>
      <c r="O264" s="40">
        <f>IFERROR(__xludf.DUMMYFUNCTION("""COMPUTED_VALUE"""),61250.0)</f>
        <v>61250</v>
      </c>
      <c r="P264" s="37" t="str">
        <f>IFERROR(__xludf.DUMMYFUNCTION("""COMPUTED_VALUE"""),"資訊裝置")</f>
        <v>資訊裝置</v>
      </c>
      <c r="Q264" s="37">
        <f>IFERROR(__xludf.DUMMYFUNCTION("""COMPUTED_VALUE"""),36.0)</f>
        <v>36</v>
      </c>
      <c r="R264" s="37">
        <f>IFERROR(__xludf.DUMMYFUNCTION("""COMPUTED_VALUE"""),36.0)</f>
        <v>36</v>
      </c>
      <c r="S264" s="37" t="str">
        <f>IFERROR(__xludf.DUMMYFUNCTION("""COMPUTED_VALUE"""),"NT$61,250")</f>
        <v>NT$61,250</v>
      </c>
      <c r="T264" s="37" t="str">
        <f>IFERROR(__xludf.DUMMYFUNCTION("""COMPUTED_VALUE"""),"MBP13 (2020, Four Thunderbolt 3 ports) I7/32GBRAM/512GBSSD")</f>
        <v>MBP13 (2020, Four Thunderbolt 3 ports) I7/32GBRAM/512GBSSD</v>
      </c>
      <c r="U264" s="37"/>
      <c r="V264" s="37"/>
      <c r="W264" s="37"/>
      <c r="X264" s="40" t="str">
        <f>IFERROR(__xludf.DUMMYFUNCTION("""COMPUTED_VALUE"""),"")</f>
        <v/>
      </c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</row>
    <row r="265">
      <c r="B265" s="37"/>
      <c r="C265" s="37" t="str">
        <f>IFERROR(__xludf.DUMMYFUNCTION("""COMPUTED_VALUE"""),"滿三年更換")</f>
        <v>滿三年更換</v>
      </c>
      <c r="D265" s="37" t="str">
        <f>IFERROR(__xludf.DUMMYFUNCTION("""COMPUTED_VALUE"""),"TW")</f>
        <v>TW</v>
      </c>
      <c r="E265" s="37"/>
      <c r="F265" s="37"/>
      <c r="G265" s="37"/>
      <c r="H265" s="44" t="str">
        <f>IFERROR(__xludf.DUMMYFUNCTION("""COMPUTED_VALUE"""),"研發中心:軟體工程部:後端團隊")</f>
        <v>研發中心:軟體工程部:後端團隊</v>
      </c>
      <c r="I265" s="37" t="str">
        <f>IFERROR(__xludf.DUMMYFUNCTION("""COMPUTED_VALUE"""),"資訊裝置")</f>
        <v>資訊裝置</v>
      </c>
      <c r="J265" s="37" t="str">
        <f>IFERROR(__xludf.DUMMYFUNCTION("""COMPUTED_VALUE"""),"AICHMN02101092")</f>
        <v>AICHMN02101092</v>
      </c>
      <c r="K265" s="37" t="str">
        <f>IFERROR(__xludf.DUMMYFUNCTION("""COMPUTED_VALUE"""),"螢幕")</f>
        <v>螢幕</v>
      </c>
      <c r="L265" s="37" t="str">
        <f>IFERROR(__xludf.DUMMYFUNCTION("""COMPUTED_VALUE"""),"CN-0CYKT7-WSL00-0BR-C75W-A09")</f>
        <v>CN-0CYKT7-WSL00-0BR-C75W-A09</v>
      </c>
      <c r="M265" s="37" t="str">
        <f>IFERROR(__xludf.DUMMYFUNCTION("""COMPUTED_VALUE"""),"羅芃")</f>
        <v>羅芃</v>
      </c>
      <c r="N265" s="44">
        <f>IFERROR(__xludf.DUMMYFUNCTION("""COMPUTED_VALUE"""),44215.0)</f>
        <v>44215</v>
      </c>
      <c r="O265" s="40">
        <f>IFERROR(__xludf.DUMMYFUNCTION("""COMPUTED_VALUE"""),8400.0)</f>
        <v>8400</v>
      </c>
      <c r="P265" s="37" t="str">
        <f>IFERROR(__xludf.DUMMYFUNCTION("""COMPUTED_VALUE"""),"資訊裝置")</f>
        <v>資訊裝置</v>
      </c>
      <c r="Q265" s="37">
        <f>IFERROR(__xludf.DUMMYFUNCTION("""COMPUTED_VALUE"""),36.0)</f>
        <v>36</v>
      </c>
      <c r="R265" s="37">
        <f>IFERROR(__xludf.DUMMYFUNCTION("""COMPUTED_VALUE"""),36.0)</f>
        <v>36</v>
      </c>
      <c r="S265" s="37" t="str">
        <f>IFERROR(__xludf.DUMMYFUNCTION("""COMPUTED_VALUE"""),"NT$8,400")</f>
        <v>NT$8,400</v>
      </c>
      <c r="T265" s="37" t="str">
        <f>IFERROR(__xludf.DUMMYFUNCTION("""COMPUTED_VALUE"""),"Dell 24吋 U2419H")</f>
        <v>Dell 24吋 U2419H</v>
      </c>
      <c r="U265" s="37"/>
      <c r="V265" s="37"/>
      <c r="W265" s="37"/>
      <c r="X265" s="40" t="str">
        <f>IFERROR(__xludf.DUMMYFUNCTION("""COMPUTED_VALUE"""),"")</f>
        <v/>
      </c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</row>
    <row r="266">
      <c r="B266" s="37"/>
      <c r="C266" s="37" t="str">
        <f>IFERROR(__xludf.DUMMYFUNCTION("""COMPUTED_VALUE"""),"滿三年更換")</f>
        <v>滿三年更換</v>
      </c>
      <c r="D266" s="37" t="str">
        <f>IFERROR(__xludf.DUMMYFUNCTION("""COMPUTED_VALUE"""),"TW")</f>
        <v>TW</v>
      </c>
      <c r="E266" s="37"/>
      <c r="F266" s="37"/>
      <c r="G266" s="37"/>
      <c r="H266" s="44" t="str">
        <f>IFERROR(__xludf.DUMMYFUNCTION("""COMPUTED_VALUE"""),"研發中心:軟體工程部:後端團隊")</f>
        <v>研發中心:軟體工程部:後端團隊</v>
      </c>
      <c r="I266" s="37" t="str">
        <f>IFERROR(__xludf.DUMMYFUNCTION("""COMPUTED_VALUE"""),"資訊裝置")</f>
        <v>資訊裝置</v>
      </c>
      <c r="J266" s="37" t="str">
        <f>IFERROR(__xludf.DUMMYFUNCTION("""COMPUTED_VALUE"""),"AICHMN02101093")</f>
        <v>AICHMN02101093</v>
      </c>
      <c r="K266" s="37" t="str">
        <f>IFERROR(__xludf.DUMMYFUNCTION("""COMPUTED_VALUE"""),"螢幕")</f>
        <v>螢幕</v>
      </c>
      <c r="L266" s="37" t="str">
        <f>IFERROR(__xludf.DUMMYFUNCTION("""COMPUTED_VALUE"""),"CN-0941GG-QDC00-08N-4Y7S-A09")</f>
        <v>CN-0941GG-QDC00-08N-4Y7S-A09</v>
      </c>
      <c r="M266" s="37" t="str">
        <f>IFERROR(__xludf.DUMMYFUNCTION("""COMPUTED_VALUE"""),"羅芃")</f>
        <v>羅芃</v>
      </c>
      <c r="N266" s="44">
        <f>IFERROR(__xludf.DUMMYFUNCTION("""COMPUTED_VALUE"""),44216.0)</f>
        <v>44216</v>
      </c>
      <c r="O266" s="40">
        <f>IFERROR(__xludf.DUMMYFUNCTION("""COMPUTED_VALUE"""),7216.0)</f>
        <v>7216</v>
      </c>
      <c r="P266" s="37" t="str">
        <f>IFERROR(__xludf.DUMMYFUNCTION("""COMPUTED_VALUE"""),"資訊裝置")</f>
        <v>資訊裝置</v>
      </c>
      <c r="Q266" s="37">
        <f>IFERROR(__xludf.DUMMYFUNCTION("""COMPUTED_VALUE"""),36.0)</f>
        <v>36</v>
      </c>
      <c r="R266" s="37">
        <f>IFERROR(__xludf.DUMMYFUNCTION("""COMPUTED_VALUE"""),36.0)</f>
        <v>36</v>
      </c>
      <c r="S266" s="37" t="str">
        <f>IFERROR(__xludf.DUMMYFUNCTION("""COMPUTED_VALUE"""),"NT$7,216")</f>
        <v>NT$7,216</v>
      </c>
      <c r="T266" s="37" t="str">
        <f>IFERROR(__xludf.DUMMYFUNCTION("""COMPUTED_VALUE"""),"Dell 24吋 U2419H")</f>
        <v>Dell 24吋 U2419H</v>
      </c>
      <c r="U266" s="37"/>
      <c r="V266" s="37"/>
      <c r="W266" s="37"/>
      <c r="X266" s="40" t="str">
        <f>IFERROR(__xludf.DUMMYFUNCTION("""COMPUTED_VALUE"""),"")</f>
        <v/>
      </c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</row>
    <row r="267">
      <c r="B267" s="37"/>
      <c r="C267" s="37" t="str">
        <f>IFERROR(__xludf.DUMMYFUNCTION("""COMPUTED_VALUE"""),"滿三年更換")</f>
        <v>滿三年更換</v>
      </c>
      <c r="D267" s="37" t="str">
        <f>IFERROR(__xludf.DUMMYFUNCTION("""COMPUTED_VALUE"""),"TW")</f>
        <v>TW</v>
      </c>
      <c r="E267" s="37"/>
      <c r="F267" s="37"/>
      <c r="G267" s="37"/>
      <c r="H267" s="44" t="str">
        <f>IFERROR(__xludf.DUMMYFUNCTION("""COMPUTED_VALUE"""),"研發中心:軟體工程部:IOS團隊")</f>
        <v>研發中心:軟體工程部:IOS團隊</v>
      </c>
      <c r="I267" s="37" t="str">
        <f>IFERROR(__xludf.DUMMYFUNCTION("""COMPUTED_VALUE"""),"資訊裝置")</f>
        <v>資訊裝置</v>
      </c>
      <c r="J267" s="37" t="str">
        <f>IFERROR(__xludf.DUMMYFUNCTION("""COMPUTED_VALUE"""),"AICHMP02203046")</f>
        <v>AICHMP02203046</v>
      </c>
      <c r="K267" s="37" t="str">
        <f>IFERROR(__xludf.DUMMYFUNCTION("""COMPUTED_VALUE"""),"Macbook Pro")</f>
        <v>Macbook Pro</v>
      </c>
      <c r="L267" s="37" t="str">
        <f>IFERROR(__xludf.DUMMYFUNCTION("""COMPUTED_VALUE"""),"NQF9VJV4GM")</f>
        <v>NQF9VJV4GM</v>
      </c>
      <c r="M267" s="37" t="str">
        <f>IFERROR(__xludf.DUMMYFUNCTION("""COMPUTED_VALUE"""),"蘇健豪")</f>
        <v>蘇健豪</v>
      </c>
      <c r="N267" s="44">
        <f>IFERROR(__xludf.DUMMYFUNCTION("""COMPUTED_VALUE"""),44644.0)</f>
        <v>44644</v>
      </c>
      <c r="O267" s="40">
        <f>IFERROR(__xludf.DUMMYFUNCTION("""COMPUTED_VALUE"""),68300.0)</f>
        <v>68300</v>
      </c>
      <c r="P267" s="37" t="str">
        <f>IFERROR(__xludf.DUMMYFUNCTION("""COMPUTED_VALUE"""),"資訊裝置")</f>
        <v>資訊裝置</v>
      </c>
      <c r="Q267" s="37">
        <f>IFERROR(__xludf.DUMMYFUNCTION("""COMPUTED_VALUE"""),36.0)</f>
        <v>36</v>
      </c>
      <c r="R267" s="37">
        <f>IFERROR(__xludf.DUMMYFUNCTION("""COMPUTED_VALUE"""),36.0)</f>
        <v>36</v>
      </c>
      <c r="S267" s="37" t="str">
        <f>IFERROR(__xludf.DUMMYFUNCTION("""COMPUTED_VALUE"""),"NT$68,300")</f>
        <v>NT$68,300</v>
      </c>
      <c r="T267" s="37" t="str">
        <f>IFERROR(__xludf.DUMMYFUNCTION("""COMPUTED_VALUE"""),"MBP14 (2021) M1Pro/32GBRAM/512GBSSD")</f>
        <v>MBP14 (2021) M1Pro/32GBRAM/512GBSSD</v>
      </c>
      <c r="U267" s="37"/>
      <c r="V267" s="37"/>
      <c r="W267" s="37"/>
      <c r="X267" s="40" t="str">
        <f>IFERROR(__xludf.DUMMYFUNCTION("""COMPUTED_VALUE"""),"")</f>
        <v/>
      </c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</row>
    <row r="268">
      <c r="B268" s="37"/>
      <c r="C268" s="37" t="str">
        <f>IFERROR(__xludf.DUMMYFUNCTION("""COMPUTED_VALUE"""),"滿三年更換")</f>
        <v>滿三年更換</v>
      </c>
      <c r="D268" s="37" t="str">
        <f>IFERROR(__xludf.DUMMYFUNCTION("""COMPUTED_VALUE"""),"TW")</f>
        <v>TW</v>
      </c>
      <c r="E268" s="37"/>
      <c r="F268" s="37"/>
      <c r="G268" s="37"/>
      <c r="H268" s="44" t="str">
        <f>IFERROR(__xludf.DUMMYFUNCTION("""COMPUTED_VALUE"""),"研發中心:軟體工程部:IOS團隊")</f>
        <v>研發中心:軟體工程部:IOS團隊</v>
      </c>
      <c r="I268" s="37" t="str">
        <f>IFERROR(__xludf.DUMMYFUNCTION("""COMPUTED_VALUE"""),"資訊裝置")</f>
        <v>資訊裝置</v>
      </c>
      <c r="J268" s="37" t="str">
        <f>IFERROR(__xludf.DUMMYFUNCTION("""COMPUTED_VALUE"""),"AICHIP02102049")</f>
        <v>AICHIP02102049</v>
      </c>
      <c r="K268" s="37" t="str">
        <f>IFERROR(__xludf.DUMMYFUNCTION("""COMPUTED_VALUE"""),"iPad")</f>
        <v>iPad</v>
      </c>
      <c r="L268" s="37" t="str">
        <f>IFERROR(__xludf.DUMMYFUNCTION("""COMPUTED_VALUE"""),"DMPCPQ15MF3M")</f>
        <v>DMPCPQ15MF3M</v>
      </c>
      <c r="M268" s="37" t="str">
        <f>IFERROR(__xludf.DUMMYFUNCTION("""COMPUTED_VALUE"""),"蘇健豪")</f>
        <v>蘇健豪</v>
      </c>
      <c r="N268" s="44">
        <f>IFERROR(__xludf.DUMMYFUNCTION("""COMPUTED_VALUE"""),44236.0)</f>
        <v>44236</v>
      </c>
      <c r="O268" s="40">
        <f>IFERROR(__xludf.DUMMYFUNCTION("""COMPUTED_VALUE"""),8640.0)</f>
        <v>8640</v>
      </c>
      <c r="P268" s="37" t="str">
        <f>IFERROR(__xludf.DUMMYFUNCTION("""COMPUTED_VALUE"""),"資訊裝置")</f>
        <v>資訊裝置</v>
      </c>
      <c r="Q268" s="37">
        <f>IFERROR(__xludf.DUMMYFUNCTION("""COMPUTED_VALUE"""),36.0)</f>
        <v>36</v>
      </c>
      <c r="R268" s="37">
        <f>IFERROR(__xludf.DUMMYFUNCTION("""COMPUTED_VALUE"""),36.0)</f>
        <v>36</v>
      </c>
      <c r="S268" s="37" t="str">
        <f>IFERROR(__xludf.DUMMYFUNCTION("""COMPUTED_VALUE"""),"NT$8,640")</f>
        <v>NT$8,640</v>
      </c>
      <c r="T268" s="37" t="str">
        <f>IFERROR(__xludf.DUMMYFUNCTION("""COMPUTED_VALUE"""),"iPad (第七代) 32GB WIFI(A2197)")</f>
        <v>iPad (第七代) 32GB WIFI(A2197)</v>
      </c>
      <c r="U268" s="37"/>
      <c r="V268" s="37"/>
      <c r="W268" s="37"/>
      <c r="X268" s="40" t="str">
        <f>IFERROR(__xludf.DUMMYFUNCTION("""COMPUTED_VALUE"""),"")</f>
        <v/>
      </c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</row>
    <row r="269">
      <c r="B269" s="37"/>
      <c r="C269" s="37" t="str">
        <f>IFERROR(__xludf.DUMMYFUNCTION("""COMPUTED_VALUE"""),"滿三年更換")</f>
        <v>滿三年更換</v>
      </c>
      <c r="D269" s="37" t="str">
        <f>IFERROR(__xludf.DUMMYFUNCTION("""COMPUTED_VALUE"""),"TW")</f>
        <v>TW</v>
      </c>
      <c r="E269" s="37"/>
      <c r="F269" s="37"/>
      <c r="G269" s="37"/>
      <c r="H269" s="44" t="str">
        <f>IFERROR(__xludf.DUMMYFUNCTION("""COMPUTED_VALUE"""),"研發中心:軟體工程部:IOS團隊")</f>
        <v>研發中心:軟體工程部:IOS團隊</v>
      </c>
      <c r="I269" s="37" t="str">
        <f>IFERROR(__xludf.DUMMYFUNCTION("""COMPUTED_VALUE"""),"資訊裝置")</f>
        <v>資訊裝置</v>
      </c>
      <c r="J269" s="37" t="str">
        <f>IFERROR(__xludf.DUMMYFUNCTION("""COMPUTED_VALUE"""),"AICHMN02301124")</f>
        <v>AICHMN02301124</v>
      </c>
      <c r="K269" s="37" t="str">
        <f>IFERROR(__xludf.DUMMYFUNCTION("""COMPUTED_VALUE"""),"螢幕")</f>
        <v>螢幕</v>
      </c>
      <c r="L269" s="37" t="str">
        <f>IFERROR(__xludf.DUMMYFUNCTION("""COMPUTED_VALUE"""),"PB2T082A00434")</f>
        <v>PB2T082A00434</v>
      </c>
      <c r="M269" s="37" t="str">
        <f>IFERROR(__xludf.DUMMYFUNCTION("""COMPUTED_VALUE"""),"蘇健豪")</f>
        <v>蘇健豪</v>
      </c>
      <c r="N269" s="44">
        <f>IFERROR(__xludf.DUMMYFUNCTION("""COMPUTED_VALUE"""),44942.0)</f>
        <v>44942</v>
      </c>
      <c r="O269" s="37"/>
      <c r="P269" s="37" t="str">
        <f>IFERROR(__xludf.DUMMYFUNCTION("""COMPUTED_VALUE"""),"資訊裝置")</f>
        <v>資訊裝置</v>
      </c>
      <c r="Q269" s="37">
        <f>IFERROR(__xludf.DUMMYFUNCTION("""COMPUTED_VALUE"""),36.0)</f>
        <v>36</v>
      </c>
      <c r="R269" s="37">
        <f>IFERROR(__xludf.DUMMYFUNCTION("""COMPUTED_VALUE"""),33.0)</f>
        <v>33</v>
      </c>
      <c r="S269" s="37" t="str">
        <f>IFERROR(__xludf.DUMMYFUNCTION("""COMPUTED_VALUE"""),"NT$0")</f>
        <v>NT$0</v>
      </c>
      <c r="T269" s="37" t="str">
        <f>IFERROR(__xludf.DUMMYFUNCTION("""COMPUTED_VALUE"""),"MSI LCD PRO MP341CQW 3PB2")</f>
        <v>MSI LCD PRO MP341CQW 3PB2</v>
      </c>
      <c r="U269" s="37"/>
      <c r="V269" s="37"/>
      <c r="W269" s="37"/>
      <c r="X269" s="40" t="str">
        <f>IFERROR(__xludf.DUMMYFUNCTION("""COMPUTED_VALUE"""),"")</f>
        <v/>
      </c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</row>
    <row r="270">
      <c r="B270" s="37"/>
      <c r="C270" s="37" t="str">
        <f>IFERROR(__xludf.DUMMYFUNCTION("""COMPUTED_VALUE"""),"新人購入")</f>
        <v>新人購入</v>
      </c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40" t="str">
        <f>IFERROR(__xludf.DUMMYFUNCTION("""COMPUTED_VALUE"""),"")</f>
        <v/>
      </c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</row>
    <row r="271"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40" t="str">
        <f>IFERROR(__xludf.DUMMYFUNCTION("""COMPUTED_VALUE"""),"")</f>
        <v/>
      </c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</row>
    <row r="272"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40" t="str">
        <f>IFERROR(__xludf.DUMMYFUNCTION("""COMPUTED_VALUE"""),"")</f>
        <v/>
      </c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</row>
    <row r="273"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40" t="str">
        <f>IFERROR(__xludf.DUMMYFUNCTION("""COMPUTED_VALUE"""),"")</f>
        <v/>
      </c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</row>
    <row r="274"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40" t="str">
        <f>IFERROR(__xludf.DUMMYFUNCTION("""COMPUTED_VALUE"""),"")</f>
        <v/>
      </c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</row>
    <row r="275"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40" t="str">
        <f>IFERROR(__xludf.DUMMYFUNCTION("""COMPUTED_VALUE"""),"")</f>
        <v/>
      </c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</row>
    <row r="276"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40" t="str">
        <f>IFERROR(__xludf.DUMMYFUNCTION("""COMPUTED_VALUE"""),"")</f>
        <v/>
      </c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</row>
    <row r="277"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40" t="str">
        <f>IFERROR(__xludf.DUMMYFUNCTION("""COMPUTED_VALUE"""),"")</f>
        <v/>
      </c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</row>
    <row r="278"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40" t="str">
        <f>IFERROR(__xludf.DUMMYFUNCTION("""COMPUTED_VALUE"""),"")</f>
        <v/>
      </c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</row>
    <row r="279"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40" t="str">
        <f>IFERROR(__xludf.DUMMYFUNCTION("""COMPUTED_VALUE"""),"")</f>
        <v/>
      </c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</row>
    <row r="280"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40" t="str">
        <f>IFERROR(__xludf.DUMMYFUNCTION("""COMPUTED_VALUE"""),"")</f>
        <v/>
      </c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</row>
    <row r="281"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40" t="str">
        <f>IFERROR(__xludf.DUMMYFUNCTION("""COMPUTED_VALUE"""),"")</f>
        <v/>
      </c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</row>
    <row r="282"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40" t="str">
        <f>IFERROR(__xludf.DUMMYFUNCTION("""COMPUTED_VALUE"""),"")</f>
        <v/>
      </c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</row>
    <row r="283"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40" t="str">
        <f>IFERROR(__xludf.DUMMYFUNCTION("""COMPUTED_VALUE"""),"")</f>
        <v/>
      </c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</row>
    <row r="284"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40" t="str">
        <f>IFERROR(__xludf.DUMMYFUNCTION("""COMPUTED_VALUE"""),"")</f>
        <v/>
      </c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</row>
    <row r="285"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40" t="str">
        <f>IFERROR(__xludf.DUMMYFUNCTION("""COMPUTED_VALUE"""),"")</f>
        <v/>
      </c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</row>
    <row r="286"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40" t="str">
        <f>IFERROR(__xludf.DUMMYFUNCTION("""COMPUTED_VALUE"""),"")</f>
        <v/>
      </c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</row>
    <row r="287"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40" t="str">
        <f>IFERROR(__xludf.DUMMYFUNCTION("""COMPUTED_VALUE"""),"")</f>
        <v/>
      </c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</row>
    <row r="288"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40" t="str">
        <f>IFERROR(__xludf.DUMMYFUNCTION("""COMPUTED_VALUE"""),"")</f>
        <v/>
      </c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</row>
    <row r="289"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40" t="str">
        <f>IFERROR(__xludf.DUMMYFUNCTION("""COMPUTED_VALUE"""),"")</f>
        <v/>
      </c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</row>
    <row r="290"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40" t="str">
        <f>IFERROR(__xludf.DUMMYFUNCTION("""COMPUTED_VALUE"""),"")</f>
        <v/>
      </c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</row>
    <row r="291"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40" t="str">
        <f>IFERROR(__xludf.DUMMYFUNCTION("""COMPUTED_VALUE"""),"")</f>
        <v/>
      </c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</row>
    <row r="292"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40" t="str">
        <f>IFERROR(__xludf.DUMMYFUNCTION("""COMPUTED_VALUE"""),"")</f>
        <v/>
      </c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</row>
    <row r="293"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40" t="str">
        <f>IFERROR(__xludf.DUMMYFUNCTION("""COMPUTED_VALUE"""),"")</f>
        <v/>
      </c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</row>
    <row r="294"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40" t="str">
        <f>IFERROR(__xludf.DUMMYFUNCTION("""COMPUTED_VALUE"""),"")</f>
        <v/>
      </c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</row>
    <row r="295"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40" t="str">
        <f>IFERROR(__xludf.DUMMYFUNCTION("""COMPUTED_VALUE"""),"")</f>
        <v/>
      </c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</row>
    <row r="296"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40" t="str">
        <f>IFERROR(__xludf.DUMMYFUNCTION("""COMPUTED_VALUE"""),"")</f>
        <v/>
      </c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</row>
    <row r="297"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40" t="str">
        <f>IFERROR(__xludf.DUMMYFUNCTION("""COMPUTED_VALUE"""),"")</f>
        <v/>
      </c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</row>
    <row r="298"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40" t="str">
        <f>IFERROR(__xludf.DUMMYFUNCTION("""COMPUTED_VALUE"""),"")</f>
        <v/>
      </c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</row>
    <row r="299"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40" t="str">
        <f>IFERROR(__xludf.DUMMYFUNCTION("""COMPUTED_VALUE"""),"")</f>
        <v/>
      </c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</row>
    <row r="300"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40" t="str">
        <f>IFERROR(__xludf.DUMMYFUNCTION("""COMPUTED_VALUE"""),"")</f>
        <v/>
      </c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</row>
    <row r="301"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40" t="str">
        <f>IFERROR(__xludf.DUMMYFUNCTION("""COMPUTED_VALUE"""),"")</f>
        <v/>
      </c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</row>
    <row r="302"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40" t="str">
        <f>IFERROR(__xludf.DUMMYFUNCTION("""COMPUTED_VALUE"""),"")</f>
        <v/>
      </c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</row>
    <row r="303"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40" t="str">
        <f>IFERROR(__xludf.DUMMYFUNCTION("""COMPUTED_VALUE"""),"")</f>
        <v/>
      </c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</row>
    <row r="304"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40" t="str">
        <f>IFERROR(__xludf.DUMMYFUNCTION("""COMPUTED_VALUE"""),"")</f>
        <v/>
      </c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</row>
    <row r="305"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40" t="str">
        <f>IFERROR(__xludf.DUMMYFUNCTION("""COMPUTED_VALUE"""),"")</f>
        <v/>
      </c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</row>
    <row r="306"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40" t="str">
        <f>IFERROR(__xludf.DUMMYFUNCTION("""COMPUTED_VALUE"""),"")</f>
        <v/>
      </c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</row>
    <row r="307"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40" t="str">
        <f>IFERROR(__xludf.DUMMYFUNCTION("""COMPUTED_VALUE"""),"")</f>
        <v/>
      </c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</row>
    <row r="308"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40" t="str">
        <f>IFERROR(__xludf.DUMMYFUNCTION("""COMPUTED_VALUE"""),"")</f>
        <v/>
      </c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</row>
    <row r="309"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40" t="str">
        <f>IFERROR(__xludf.DUMMYFUNCTION("""COMPUTED_VALUE"""),"")</f>
        <v/>
      </c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</row>
    <row r="310"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40" t="str">
        <f>IFERROR(__xludf.DUMMYFUNCTION("""COMPUTED_VALUE"""),"")</f>
        <v/>
      </c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</row>
    <row r="311"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40" t="str">
        <f>IFERROR(__xludf.DUMMYFUNCTION("""COMPUTED_VALUE"""),"")</f>
        <v/>
      </c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</row>
    <row r="312"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40" t="str">
        <f>IFERROR(__xludf.DUMMYFUNCTION("""COMPUTED_VALUE"""),"")</f>
        <v/>
      </c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</row>
    <row r="313"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40" t="str">
        <f>IFERROR(__xludf.DUMMYFUNCTION("""COMPUTED_VALUE"""),"")</f>
        <v/>
      </c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</row>
    <row r="314"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40" t="str">
        <f>IFERROR(__xludf.DUMMYFUNCTION("""COMPUTED_VALUE"""),"")</f>
        <v/>
      </c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</row>
    <row r="315"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40" t="str">
        <f>IFERROR(__xludf.DUMMYFUNCTION("""COMPUTED_VALUE"""),"")</f>
        <v/>
      </c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</row>
    <row r="316"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40" t="str">
        <f>IFERROR(__xludf.DUMMYFUNCTION("""COMPUTED_VALUE"""),"")</f>
        <v/>
      </c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</row>
    <row r="317"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40" t="str">
        <f>IFERROR(__xludf.DUMMYFUNCTION("""COMPUTED_VALUE"""),"")</f>
        <v/>
      </c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</row>
    <row r="318"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40" t="str">
        <f>IFERROR(__xludf.DUMMYFUNCTION("""COMPUTED_VALUE"""),"")</f>
        <v/>
      </c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</row>
    <row r="319"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40" t="str">
        <f>IFERROR(__xludf.DUMMYFUNCTION("""COMPUTED_VALUE"""),"")</f>
        <v/>
      </c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</row>
    <row r="320"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40" t="str">
        <f>IFERROR(__xludf.DUMMYFUNCTION("""COMPUTED_VALUE"""),"")</f>
        <v/>
      </c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</row>
    <row r="321"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40" t="str">
        <f>IFERROR(__xludf.DUMMYFUNCTION("""COMPUTED_VALUE"""),"")</f>
        <v/>
      </c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</row>
    <row r="322"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40" t="str">
        <f>IFERROR(__xludf.DUMMYFUNCTION("""COMPUTED_VALUE"""),"")</f>
        <v/>
      </c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</row>
    <row r="323"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40" t="str">
        <f>IFERROR(__xludf.DUMMYFUNCTION("""COMPUTED_VALUE"""),"")</f>
        <v/>
      </c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</row>
    <row r="324"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40" t="str">
        <f>IFERROR(__xludf.DUMMYFUNCTION("""COMPUTED_VALUE"""),"")</f>
        <v/>
      </c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</row>
    <row r="325"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40" t="str">
        <f>IFERROR(__xludf.DUMMYFUNCTION("""COMPUTED_VALUE"""),"")</f>
        <v/>
      </c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</row>
    <row r="326"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40" t="str">
        <f>IFERROR(__xludf.DUMMYFUNCTION("""COMPUTED_VALUE"""),"")</f>
        <v/>
      </c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</row>
    <row r="327"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40" t="str">
        <f>IFERROR(__xludf.DUMMYFUNCTION("""COMPUTED_VALUE"""),"")</f>
        <v/>
      </c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</row>
    <row r="328"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40" t="str">
        <f>IFERROR(__xludf.DUMMYFUNCTION("""COMPUTED_VALUE"""),"")</f>
        <v/>
      </c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</row>
    <row r="329"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40" t="str">
        <f>IFERROR(__xludf.DUMMYFUNCTION("""COMPUTED_VALUE"""),"")</f>
        <v/>
      </c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</row>
    <row r="330"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40" t="str">
        <f>IFERROR(__xludf.DUMMYFUNCTION("""COMPUTED_VALUE"""),"")</f>
        <v/>
      </c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</row>
    <row r="331"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40" t="str">
        <f>IFERROR(__xludf.DUMMYFUNCTION("""COMPUTED_VALUE"""),"")</f>
        <v/>
      </c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</row>
    <row r="332"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40" t="str">
        <f>IFERROR(__xludf.DUMMYFUNCTION("""COMPUTED_VALUE"""),"")</f>
        <v/>
      </c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</row>
    <row r="333"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40" t="str">
        <f>IFERROR(__xludf.DUMMYFUNCTION("""COMPUTED_VALUE"""),"")</f>
        <v/>
      </c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</row>
    <row r="334"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40" t="str">
        <f>IFERROR(__xludf.DUMMYFUNCTION("""COMPUTED_VALUE"""),"")</f>
        <v/>
      </c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</row>
    <row r="335"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40" t="str">
        <f>IFERROR(__xludf.DUMMYFUNCTION("""COMPUTED_VALUE"""),"")</f>
        <v/>
      </c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</row>
    <row r="336"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40" t="str">
        <f>IFERROR(__xludf.DUMMYFUNCTION("""COMPUTED_VALUE"""),"")</f>
        <v/>
      </c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</row>
    <row r="337"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40" t="str">
        <f>IFERROR(__xludf.DUMMYFUNCTION("""COMPUTED_VALUE"""),"")</f>
        <v/>
      </c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</row>
    <row r="338"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40" t="str">
        <f>IFERROR(__xludf.DUMMYFUNCTION("""COMPUTED_VALUE"""),"")</f>
        <v/>
      </c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</row>
    <row r="339"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40" t="str">
        <f>IFERROR(__xludf.DUMMYFUNCTION("""COMPUTED_VALUE"""),"")</f>
        <v/>
      </c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</row>
    <row r="340"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40" t="str">
        <f>IFERROR(__xludf.DUMMYFUNCTION("""COMPUTED_VALUE"""),"")</f>
        <v/>
      </c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</row>
    <row r="341"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40" t="str">
        <f>IFERROR(__xludf.DUMMYFUNCTION("""COMPUTED_VALUE"""),"")</f>
        <v/>
      </c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</row>
    <row r="342"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40" t="str">
        <f>IFERROR(__xludf.DUMMYFUNCTION("""COMPUTED_VALUE"""),"")</f>
        <v/>
      </c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</row>
    <row r="343"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40" t="str">
        <f>IFERROR(__xludf.DUMMYFUNCTION("""COMPUTED_VALUE"""),"")</f>
        <v/>
      </c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</row>
    <row r="344"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40" t="str">
        <f>IFERROR(__xludf.DUMMYFUNCTION("""COMPUTED_VALUE"""),"")</f>
        <v/>
      </c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</row>
    <row r="345"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40" t="str">
        <f>IFERROR(__xludf.DUMMYFUNCTION("""COMPUTED_VALUE"""),"")</f>
        <v/>
      </c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</row>
    <row r="346"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40" t="str">
        <f>IFERROR(__xludf.DUMMYFUNCTION("""COMPUTED_VALUE"""),"")</f>
        <v/>
      </c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</row>
    <row r="347"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40" t="str">
        <f>IFERROR(__xludf.DUMMYFUNCTION("""COMPUTED_VALUE"""),"")</f>
        <v/>
      </c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</row>
    <row r="348"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40" t="str">
        <f>IFERROR(__xludf.DUMMYFUNCTION("""COMPUTED_VALUE"""),"")</f>
        <v/>
      </c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</row>
    <row r="349"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40" t="str">
        <f>IFERROR(__xludf.DUMMYFUNCTION("""COMPUTED_VALUE"""),"")</f>
        <v/>
      </c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</row>
    <row r="350"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40" t="str">
        <f>IFERROR(__xludf.DUMMYFUNCTION("""COMPUTED_VALUE"""),"")</f>
        <v/>
      </c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</row>
    <row r="351"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40" t="str">
        <f>IFERROR(__xludf.DUMMYFUNCTION("""COMPUTED_VALUE"""),"")</f>
        <v/>
      </c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</row>
    <row r="352"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40" t="str">
        <f>IFERROR(__xludf.DUMMYFUNCTION("""COMPUTED_VALUE"""),"")</f>
        <v/>
      </c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</row>
    <row r="353"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40" t="str">
        <f>IFERROR(__xludf.DUMMYFUNCTION("""COMPUTED_VALUE"""),"")</f>
        <v/>
      </c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</row>
    <row r="354"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40" t="str">
        <f>IFERROR(__xludf.DUMMYFUNCTION("""COMPUTED_VALUE"""),"")</f>
        <v/>
      </c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</row>
    <row r="355"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40" t="str">
        <f>IFERROR(__xludf.DUMMYFUNCTION("""COMPUTED_VALUE"""),"")</f>
        <v/>
      </c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</row>
    <row r="356"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40" t="str">
        <f>IFERROR(__xludf.DUMMYFUNCTION("""COMPUTED_VALUE"""),"")</f>
        <v/>
      </c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</row>
    <row r="357"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40" t="str">
        <f>IFERROR(__xludf.DUMMYFUNCTION("""COMPUTED_VALUE"""),"")</f>
        <v/>
      </c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</row>
    <row r="358"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40" t="str">
        <f>IFERROR(__xludf.DUMMYFUNCTION("""COMPUTED_VALUE"""),"")</f>
        <v/>
      </c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</row>
    <row r="359"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40" t="str">
        <f>IFERROR(__xludf.DUMMYFUNCTION("""COMPUTED_VALUE"""),"")</f>
        <v/>
      </c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</row>
    <row r="360"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40" t="str">
        <f>IFERROR(__xludf.DUMMYFUNCTION("""COMPUTED_VALUE"""),"")</f>
        <v/>
      </c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</row>
    <row r="361"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40" t="str">
        <f>IFERROR(__xludf.DUMMYFUNCTION("""COMPUTED_VALUE"""),"")</f>
        <v/>
      </c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</row>
    <row r="362"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40" t="str">
        <f>IFERROR(__xludf.DUMMYFUNCTION("""COMPUTED_VALUE"""),"")</f>
        <v/>
      </c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</row>
    <row r="363"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40" t="str">
        <f>IFERROR(__xludf.DUMMYFUNCTION("""COMPUTED_VALUE"""),"")</f>
        <v/>
      </c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</row>
    <row r="364"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40" t="str">
        <f>IFERROR(__xludf.DUMMYFUNCTION("""COMPUTED_VALUE"""),"")</f>
        <v/>
      </c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</row>
    <row r="365"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40" t="str">
        <f>IFERROR(__xludf.DUMMYFUNCTION("""COMPUTED_VALUE"""),"")</f>
        <v/>
      </c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</row>
    <row r="366"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40" t="str">
        <f>IFERROR(__xludf.DUMMYFUNCTION("""COMPUTED_VALUE"""),"")</f>
        <v/>
      </c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</row>
    <row r="367"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40" t="str">
        <f>IFERROR(__xludf.DUMMYFUNCTION("""COMPUTED_VALUE"""),"")</f>
        <v/>
      </c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</row>
    <row r="368"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40" t="str">
        <f>IFERROR(__xludf.DUMMYFUNCTION("""COMPUTED_VALUE"""),"")</f>
        <v/>
      </c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</row>
    <row r="369"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40" t="str">
        <f>IFERROR(__xludf.DUMMYFUNCTION("""COMPUTED_VALUE"""),"")</f>
        <v/>
      </c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</row>
    <row r="370"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40" t="str">
        <f>IFERROR(__xludf.DUMMYFUNCTION("""COMPUTED_VALUE"""),"")</f>
        <v/>
      </c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</row>
    <row r="371"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40" t="str">
        <f>IFERROR(__xludf.DUMMYFUNCTION("""COMPUTED_VALUE"""),"")</f>
        <v/>
      </c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</row>
    <row r="372"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40" t="str">
        <f>IFERROR(__xludf.DUMMYFUNCTION("""COMPUTED_VALUE"""),"")</f>
        <v/>
      </c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</row>
    <row r="373"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40" t="str">
        <f>IFERROR(__xludf.DUMMYFUNCTION("""COMPUTED_VALUE"""),"")</f>
        <v/>
      </c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</row>
    <row r="374"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40" t="str">
        <f>IFERROR(__xludf.DUMMYFUNCTION("""COMPUTED_VALUE"""),"")</f>
        <v/>
      </c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</row>
    <row r="375"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40" t="str">
        <f>IFERROR(__xludf.DUMMYFUNCTION("""COMPUTED_VALUE"""),"")</f>
        <v/>
      </c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</row>
    <row r="376"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40" t="str">
        <f>IFERROR(__xludf.DUMMYFUNCTION("""COMPUTED_VALUE"""),"")</f>
        <v/>
      </c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</row>
    <row r="377"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40" t="str">
        <f>IFERROR(__xludf.DUMMYFUNCTION("""COMPUTED_VALUE"""),"")</f>
        <v/>
      </c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</row>
    <row r="378"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40" t="str">
        <f>IFERROR(__xludf.DUMMYFUNCTION("""COMPUTED_VALUE"""),"")</f>
        <v/>
      </c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</row>
    <row r="379"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40" t="str">
        <f>IFERROR(__xludf.DUMMYFUNCTION("""COMPUTED_VALUE"""),"")</f>
        <v/>
      </c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</row>
    <row r="380"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40" t="str">
        <f>IFERROR(__xludf.DUMMYFUNCTION("""COMPUTED_VALUE"""),"")</f>
        <v/>
      </c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</row>
    <row r="381"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40" t="str">
        <f>IFERROR(__xludf.DUMMYFUNCTION("""COMPUTED_VALUE"""),"")</f>
        <v/>
      </c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</row>
    <row r="382"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40" t="str">
        <f>IFERROR(__xludf.DUMMYFUNCTION("""COMPUTED_VALUE"""),"")</f>
        <v/>
      </c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</row>
    <row r="383"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40" t="str">
        <f>IFERROR(__xludf.DUMMYFUNCTION("""COMPUTED_VALUE"""),"")</f>
        <v/>
      </c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</row>
    <row r="384"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40" t="str">
        <f>IFERROR(__xludf.DUMMYFUNCTION("""COMPUTED_VALUE"""),"")</f>
        <v/>
      </c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</row>
    <row r="385"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40" t="str">
        <f>IFERROR(__xludf.DUMMYFUNCTION("""COMPUTED_VALUE"""),"")</f>
        <v/>
      </c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</row>
    <row r="386"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40" t="str">
        <f>IFERROR(__xludf.DUMMYFUNCTION("""COMPUTED_VALUE"""),"")</f>
        <v/>
      </c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</row>
    <row r="387"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40" t="str">
        <f>IFERROR(__xludf.DUMMYFUNCTION("""COMPUTED_VALUE"""),"")</f>
        <v/>
      </c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</row>
    <row r="388"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40" t="str">
        <f>IFERROR(__xludf.DUMMYFUNCTION("""COMPUTED_VALUE"""),"")</f>
        <v/>
      </c>
      <c r="Y388" s="37"/>
      <c r="Z388" s="37"/>
      <c r="AA388" s="37"/>
      <c r="AB388" s="37"/>
      <c r="AC388" s="37"/>
      <c r="AD388" s="37"/>
      <c r="AE388" s="37"/>
      <c r="AF388" s="37"/>
      <c r="AG388" s="37"/>
      <c r="AH388" s="37"/>
    </row>
    <row r="389"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40" t="str">
        <f>IFERROR(__xludf.DUMMYFUNCTION("""COMPUTED_VALUE"""),"")</f>
        <v/>
      </c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</row>
    <row r="390"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40" t="str">
        <f>IFERROR(__xludf.DUMMYFUNCTION("""COMPUTED_VALUE"""),"")</f>
        <v/>
      </c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</row>
    <row r="391"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40" t="str">
        <f>IFERROR(__xludf.DUMMYFUNCTION("""COMPUTED_VALUE"""),"")</f>
        <v/>
      </c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</row>
    <row r="392"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40" t="str">
        <f>IFERROR(__xludf.DUMMYFUNCTION("""COMPUTED_VALUE"""),"")</f>
        <v/>
      </c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</row>
    <row r="393"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40" t="str">
        <f>IFERROR(__xludf.DUMMYFUNCTION("""COMPUTED_VALUE"""),"")</f>
        <v/>
      </c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</row>
    <row r="394"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40" t="str">
        <f>IFERROR(__xludf.DUMMYFUNCTION("""COMPUTED_VALUE"""),"")</f>
        <v/>
      </c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</row>
    <row r="395"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40" t="str">
        <f>IFERROR(__xludf.DUMMYFUNCTION("""COMPUTED_VALUE"""),"")</f>
        <v/>
      </c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</row>
    <row r="396"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40" t="str">
        <f>IFERROR(__xludf.DUMMYFUNCTION("""COMPUTED_VALUE"""),"")</f>
        <v/>
      </c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</row>
    <row r="397"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40" t="str">
        <f>IFERROR(__xludf.DUMMYFUNCTION("""COMPUTED_VALUE"""),"")</f>
        <v/>
      </c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</row>
    <row r="398"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40" t="str">
        <f>IFERROR(__xludf.DUMMYFUNCTION("""COMPUTED_VALUE"""),"")</f>
        <v/>
      </c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</row>
    <row r="399"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40" t="str">
        <f>IFERROR(__xludf.DUMMYFUNCTION("""COMPUTED_VALUE"""),"")</f>
        <v/>
      </c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</row>
    <row r="400"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40" t="str">
        <f>IFERROR(__xludf.DUMMYFUNCTION("""COMPUTED_VALUE"""),"")</f>
        <v/>
      </c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</row>
    <row r="401"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40" t="str">
        <f>IFERROR(__xludf.DUMMYFUNCTION("""COMPUTED_VALUE"""),"")</f>
        <v/>
      </c>
      <c r="Y401" s="37"/>
      <c r="Z401" s="37"/>
      <c r="AA401" s="37"/>
      <c r="AB401" s="37"/>
      <c r="AC401" s="37"/>
      <c r="AD401" s="37"/>
      <c r="AE401" s="37"/>
      <c r="AF401" s="37"/>
      <c r="AG401" s="37"/>
      <c r="AH401" s="37"/>
    </row>
    <row r="402"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40" t="str">
        <f>IFERROR(__xludf.DUMMYFUNCTION("""COMPUTED_VALUE"""),"")</f>
        <v/>
      </c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</row>
    <row r="403"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40" t="str">
        <f>IFERROR(__xludf.DUMMYFUNCTION("""COMPUTED_VALUE"""),"")</f>
        <v/>
      </c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</row>
    <row r="404"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40" t="str">
        <f>IFERROR(__xludf.DUMMYFUNCTION("""COMPUTED_VALUE"""),"")</f>
        <v/>
      </c>
      <c r="Y404" s="37"/>
      <c r="Z404" s="37"/>
      <c r="AA404" s="37"/>
      <c r="AB404" s="37"/>
      <c r="AC404" s="37"/>
      <c r="AD404" s="37"/>
      <c r="AE404" s="37"/>
      <c r="AF404" s="37"/>
      <c r="AG404" s="37"/>
      <c r="AH404" s="37"/>
    </row>
    <row r="405"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40" t="str">
        <f>IFERROR(__xludf.DUMMYFUNCTION("""COMPUTED_VALUE"""),"")</f>
        <v/>
      </c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</row>
    <row r="406"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40" t="str">
        <f>IFERROR(__xludf.DUMMYFUNCTION("""COMPUTED_VALUE"""),"")</f>
        <v/>
      </c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</row>
    <row r="407"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40" t="str">
        <f>IFERROR(__xludf.DUMMYFUNCTION("""COMPUTED_VALUE"""),"")</f>
        <v/>
      </c>
      <c r="Y407" s="37"/>
      <c r="Z407" s="37"/>
      <c r="AA407" s="37"/>
      <c r="AB407" s="37"/>
      <c r="AC407" s="37"/>
      <c r="AD407" s="37"/>
      <c r="AE407" s="37"/>
      <c r="AF407" s="37"/>
      <c r="AG407" s="37"/>
      <c r="AH407" s="37"/>
    </row>
    <row r="408"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40" t="str">
        <f>IFERROR(__xludf.DUMMYFUNCTION("""COMPUTED_VALUE"""),"")</f>
        <v/>
      </c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</row>
    <row r="409"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40" t="str">
        <f>IFERROR(__xludf.DUMMYFUNCTION("""COMPUTED_VALUE"""),"")</f>
        <v/>
      </c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</row>
    <row r="410"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40" t="str">
        <f>IFERROR(__xludf.DUMMYFUNCTION("""COMPUTED_VALUE"""),"")</f>
        <v/>
      </c>
      <c r="Y410" s="37"/>
      <c r="Z410" s="37"/>
      <c r="AA410" s="37"/>
      <c r="AB410" s="37"/>
      <c r="AC410" s="37"/>
      <c r="AD410" s="37"/>
      <c r="AE410" s="37"/>
      <c r="AF410" s="37"/>
      <c r="AG410" s="37"/>
      <c r="AH410" s="37"/>
    </row>
    <row r="411"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40" t="str">
        <f>IFERROR(__xludf.DUMMYFUNCTION("""COMPUTED_VALUE"""),"")</f>
        <v/>
      </c>
      <c r="Y411" s="37"/>
      <c r="Z411" s="37"/>
      <c r="AA411" s="37"/>
      <c r="AB411" s="37"/>
      <c r="AC411" s="37"/>
      <c r="AD411" s="37"/>
      <c r="AE411" s="37"/>
      <c r="AF411" s="37"/>
      <c r="AG411" s="37"/>
      <c r="AH411" s="37"/>
    </row>
    <row r="412"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40" t="str">
        <f>IFERROR(__xludf.DUMMYFUNCTION("""COMPUTED_VALUE"""),"")</f>
        <v/>
      </c>
      <c r="Y412" s="37"/>
      <c r="Z412" s="37"/>
      <c r="AA412" s="37"/>
      <c r="AB412" s="37"/>
      <c r="AC412" s="37"/>
      <c r="AD412" s="37"/>
      <c r="AE412" s="37"/>
      <c r="AF412" s="37"/>
      <c r="AG412" s="37"/>
      <c r="AH412" s="37"/>
    </row>
    <row r="413"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40" t="str">
        <f>IFERROR(__xludf.DUMMYFUNCTION("""COMPUTED_VALUE"""),"")</f>
        <v/>
      </c>
      <c r="Y413" s="37"/>
      <c r="Z413" s="37"/>
      <c r="AA413" s="37"/>
      <c r="AB413" s="37"/>
      <c r="AC413" s="37"/>
      <c r="AD413" s="37"/>
      <c r="AE413" s="37"/>
      <c r="AF413" s="37"/>
      <c r="AG413" s="37"/>
      <c r="AH413" s="37"/>
    </row>
    <row r="414"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40" t="str">
        <f>IFERROR(__xludf.DUMMYFUNCTION("""COMPUTED_VALUE"""),"")</f>
        <v/>
      </c>
      <c r="Y414" s="37"/>
      <c r="Z414" s="37"/>
      <c r="AA414" s="37"/>
      <c r="AB414" s="37"/>
      <c r="AC414" s="37"/>
      <c r="AD414" s="37"/>
      <c r="AE414" s="37"/>
      <c r="AF414" s="37"/>
      <c r="AG414" s="37"/>
      <c r="AH414" s="37"/>
    </row>
    <row r="415"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40" t="str">
        <f>IFERROR(__xludf.DUMMYFUNCTION("""COMPUTED_VALUE"""),"")</f>
        <v/>
      </c>
      <c r="Y415" s="37"/>
      <c r="Z415" s="37"/>
      <c r="AA415" s="37"/>
      <c r="AB415" s="37"/>
      <c r="AC415" s="37"/>
      <c r="AD415" s="37"/>
      <c r="AE415" s="37"/>
      <c r="AF415" s="37"/>
      <c r="AG415" s="37"/>
      <c r="AH415" s="37"/>
    </row>
    <row r="416"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40" t="str">
        <f>IFERROR(__xludf.DUMMYFUNCTION("""COMPUTED_VALUE"""),"")</f>
        <v/>
      </c>
      <c r="Y416" s="37"/>
      <c r="Z416" s="37"/>
      <c r="AA416" s="37"/>
      <c r="AB416" s="37"/>
      <c r="AC416" s="37"/>
      <c r="AD416" s="37"/>
      <c r="AE416" s="37"/>
      <c r="AF416" s="37"/>
      <c r="AG416" s="37"/>
      <c r="AH416" s="37"/>
    </row>
    <row r="417"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40" t="str">
        <f>IFERROR(__xludf.DUMMYFUNCTION("""COMPUTED_VALUE"""),"")</f>
        <v/>
      </c>
      <c r="Y417" s="37"/>
      <c r="Z417" s="37"/>
      <c r="AA417" s="37"/>
      <c r="AB417" s="37"/>
      <c r="AC417" s="37"/>
      <c r="AD417" s="37"/>
      <c r="AE417" s="37"/>
      <c r="AF417" s="37"/>
      <c r="AG417" s="37"/>
      <c r="AH417" s="37"/>
    </row>
    <row r="418"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40" t="str">
        <f>IFERROR(__xludf.DUMMYFUNCTION("""COMPUTED_VALUE"""),"")</f>
        <v/>
      </c>
      <c r="Y418" s="37"/>
      <c r="Z418" s="37"/>
      <c r="AA418" s="37"/>
      <c r="AB418" s="37"/>
      <c r="AC418" s="37"/>
      <c r="AD418" s="37"/>
      <c r="AE418" s="37"/>
      <c r="AF418" s="37"/>
      <c r="AG418" s="37"/>
      <c r="AH418" s="37"/>
    </row>
    <row r="419"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40" t="str">
        <f>IFERROR(__xludf.DUMMYFUNCTION("""COMPUTED_VALUE"""),"")</f>
        <v/>
      </c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</row>
    <row r="420"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40" t="str">
        <f>IFERROR(__xludf.DUMMYFUNCTION("""COMPUTED_VALUE"""),"")</f>
        <v/>
      </c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</row>
    <row r="421"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40" t="str">
        <f>IFERROR(__xludf.DUMMYFUNCTION("""COMPUTED_VALUE"""),"")</f>
        <v/>
      </c>
      <c r="Y421" s="37"/>
      <c r="Z421" s="37"/>
      <c r="AA421" s="37"/>
      <c r="AB421" s="37"/>
      <c r="AC421" s="37"/>
      <c r="AD421" s="37"/>
      <c r="AE421" s="37"/>
      <c r="AF421" s="37"/>
      <c r="AG421" s="37"/>
      <c r="AH421" s="37"/>
    </row>
    <row r="422"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40" t="str">
        <f>IFERROR(__xludf.DUMMYFUNCTION("""COMPUTED_VALUE"""),"")</f>
        <v/>
      </c>
      <c r="Y422" s="37"/>
      <c r="Z422" s="37"/>
      <c r="AA422" s="37"/>
      <c r="AB422" s="37"/>
      <c r="AC422" s="37"/>
      <c r="AD422" s="37"/>
      <c r="AE422" s="37"/>
      <c r="AF422" s="37"/>
      <c r="AG422" s="37"/>
      <c r="AH422" s="37"/>
    </row>
    <row r="423"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40" t="str">
        <f>IFERROR(__xludf.DUMMYFUNCTION("""COMPUTED_VALUE"""),"")</f>
        <v/>
      </c>
      <c r="Y423" s="37"/>
      <c r="Z423" s="37"/>
      <c r="AA423" s="37"/>
      <c r="AB423" s="37"/>
      <c r="AC423" s="37"/>
      <c r="AD423" s="37"/>
      <c r="AE423" s="37"/>
      <c r="AF423" s="37"/>
      <c r="AG423" s="37"/>
      <c r="AH423" s="37"/>
    </row>
    <row r="424"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40" t="str">
        <f>IFERROR(__xludf.DUMMYFUNCTION("""COMPUTED_VALUE"""),"")</f>
        <v/>
      </c>
      <c r="Y424" s="37"/>
      <c r="Z424" s="37"/>
      <c r="AA424" s="37"/>
      <c r="AB424" s="37"/>
      <c r="AC424" s="37"/>
      <c r="AD424" s="37"/>
      <c r="AE424" s="37"/>
      <c r="AF424" s="37"/>
      <c r="AG424" s="37"/>
      <c r="AH424" s="37"/>
    </row>
    <row r="425"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40" t="str">
        <f>IFERROR(__xludf.DUMMYFUNCTION("""COMPUTED_VALUE"""),"")</f>
        <v/>
      </c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</row>
    <row r="426"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40" t="str">
        <f>IFERROR(__xludf.DUMMYFUNCTION("""COMPUTED_VALUE"""),"")</f>
        <v/>
      </c>
      <c r="Y426" s="37"/>
      <c r="Z426" s="37"/>
      <c r="AA426" s="37"/>
      <c r="AB426" s="37"/>
      <c r="AC426" s="37"/>
      <c r="AD426" s="37"/>
      <c r="AE426" s="37"/>
      <c r="AF426" s="37"/>
      <c r="AG426" s="37"/>
      <c r="AH426" s="37"/>
    </row>
    <row r="427"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40" t="str">
        <f>IFERROR(__xludf.DUMMYFUNCTION("""COMPUTED_VALUE"""),"")</f>
        <v/>
      </c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</row>
    <row r="428"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40" t="str">
        <f>IFERROR(__xludf.DUMMYFUNCTION("""COMPUTED_VALUE"""),"")</f>
        <v/>
      </c>
      <c r="Y428" s="37"/>
      <c r="Z428" s="37"/>
      <c r="AA428" s="37"/>
      <c r="AB428" s="37"/>
      <c r="AC428" s="37"/>
      <c r="AD428" s="37"/>
      <c r="AE428" s="37"/>
      <c r="AF428" s="37"/>
      <c r="AG428" s="37"/>
      <c r="AH428" s="37"/>
    </row>
    <row r="429"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40" t="str">
        <f>IFERROR(__xludf.DUMMYFUNCTION("""COMPUTED_VALUE"""),"")</f>
        <v/>
      </c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</row>
    <row r="430"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40" t="str">
        <f>IFERROR(__xludf.DUMMYFUNCTION("""COMPUTED_VALUE"""),"")</f>
        <v/>
      </c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</row>
    <row r="431"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40" t="str">
        <f>IFERROR(__xludf.DUMMYFUNCTION("""COMPUTED_VALUE"""),"")</f>
        <v/>
      </c>
      <c r="Y431" s="37"/>
      <c r="Z431" s="37"/>
      <c r="AA431" s="37"/>
      <c r="AB431" s="37"/>
      <c r="AC431" s="37"/>
      <c r="AD431" s="37"/>
      <c r="AE431" s="37"/>
      <c r="AF431" s="37"/>
      <c r="AG431" s="37"/>
      <c r="AH431" s="37"/>
    </row>
    <row r="432"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40" t="str">
        <f>IFERROR(__xludf.DUMMYFUNCTION("""COMPUTED_VALUE"""),"")</f>
        <v/>
      </c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</row>
    <row r="433"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40" t="str">
        <f>IFERROR(__xludf.DUMMYFUNCTION("""COMPUTED_VALUE"""),"")</f>
        <v/>
      </c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</row>
    <row r="434"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40" t="str">
        <f>IFERROR(__xludf.DUMMYFUNCTION("""COMPUTED_VALUE"""),"")</f>
        <v/>
      </c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</row>
    <row r="435"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40" t="str">
        <f>IFERROR(__xludf.DUMMYFUNCTION("""COMPUTED_VALUE"""),"")</f>
        <v/>
      </c>
      <c r="Y435" s="37"/>
      <c r="Z435" s="37"/>
      <c r="AA435" s="37"/>
      <c r="AB435" s="37"/>
      <c r="AC435" s="37"/>
      <c r="AD435" s="37"/>
      <c r="AE435" s="37"/>
      <c r="AF435" s="37"/>
      <c r="AG435" s="37"/>
      <c r="AH435" s="37"/>
    </row>
    <row r="436"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40" t="str">
        <f>IFERROR(__xludf.DUMMYFUNCTION("""COMPUTED_VALUE"""),"")</f>
        <v/>
      </c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</row>
    <row r="437"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40" t="str">
        <f>IFERROR(__xludf.DUMMYFUNCTION("""COMPUTED_VALUE"""),"")</f>
        <v/>
      </c>
      <c r="Y437" s="37"/>
      <c r="Z437" s="37"/>
      <c r="AA437" s="37"/>
      <c r="AB437" s="37"/>
      <c r="AC437" s="37"/>
      <c r="AD437" s="37"/>
      <c r="AE437" s="37"/>
      <c r="AF437" s="37"/>
      <c r="AG437" s="37"/>
      <c r="AH437" s="37"/>
    </row>
    <row r="438"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40" t="str">
        <f>IFERROR(__xludf.DUMMYFUNCTION("""COMPUTED_VALUE"""),"")</f>
        <v/>
      </c>
      <c r="Y438" s="37"/>
      <c r="Z438" s="37"/>
      <c r="AA438" s="37"/>
      <c r="AB438" s="37"/>
      <c r="AC438" s="37"/>
      <c r="AD438" s="37"/>
      <c r="AE438" s="37"/>
      <c r="AF438" s="37"/>
      <c r="AG438" s="37"/>
      <c r="AH438" s="37"/>
    </row>
    <row r="439"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40" t="str">
        <f>IFERROR(__xludf.DUMMYFUNCTION("""COMPUTED_VALUE"""),"")</f>
        <v/>
      </c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</row>
    <row r="440"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40" t="str">
        <f>IFERROR(__xludf.DUMMYFUNCTION("""COMPUTED_VALUE"""),"")</f>
        <v/>
      </c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</row>
    <row r="441"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40" t="str">
        <f>IFERROR(__xludf.DUMMYFUNCTION("""COMPUTED_VALUE"""),"")</f>
        <v/>
      </c>
      <c r="Y441" s="37"/>
      <c r="Z441" s="37"/>
      <c r="AA441" s="37"/>
      <c r="AB441" s="37"/>
      <c r="AC441" s="37"/>
      <c r="AD441" s="37"/>
      <c r="AE441" s="37"/>
      <c r="AF441" s="37"/>
      <c r="AG441" s="37"/>
      <c r="AH441" s="37"/>
    </row>
    <row r="442"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40" t="str">
        <f>IFERROR(__xludf.DUMMYFUNCTION("""COMPUTED_VALUE"""),"")</f>
        <v/>
      </c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</row>
    <row r="443"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40" t="str">
        <f>IFERROR(__xludf.DUMMYFUNCTION("""COMPUTED_VALUE"""),"")</f>
        <v/>
      </c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</row>
    <row r="444"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40" t="str">
        <f>IFERROR(__xludf.DUMMYFUNCTION("""COMPUTED_VALUE"""),"")</f>
        <v/>
      </c>
      <c r="Y444" s="37"/>
      <c r="Z444" s="37"/>
      <c r="AA444" s="37"/>
      <c r="AB444" s="37"/>
      <c r="AC444" s="37"/>
      <c r="AD444" s="37"/>
      <c r="AE444" s="37"/>
      <c r="AF444" s="37"/>
      <c r="AG444" s="37"/>
      <c r="AH444" s="37"/>
    </row>
    <row r="445"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40" t="str">
        <f>IFERROR(__xludf.DUMMYFUNCTION("""COMPUTED_VALUE"""),"")</f>
        <v/>
      </c>
      <c r="Y445" s="37"/>
      <c r="Z445" s="37"/>
      <c r="AA445" s="37"/>
      <c r="AB445" s="37"/>
      <c r="AC445" s="37"/>
      <c r="AD445" s="37"/>
      <c r="AE445" s="37"/>
      <c r="AF445" s="37"/>
      <c r="AG445" s="37"/>
      <c r="AH445" s="37"/>
    </row>
    <row r="446"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40" t="str">
        <f>IFERROR(__xludf.DUMMYFUNCTION("""COMPUTED_VALUE"""),"")</f>
        <v/>
      </c>
      <c r="Y446" s="37"/>
      <c r="Z446" s="37"/>
      <c r="AA446" s="37"/>
      <c r="AB446" s="37"/>
      <c r="AC446" s="37"/>
      <c r="AD446" s="37"/>
      <c r="AE446" s="37"/>
      <c r="AF446" s="37"/>
      <c r="AG446" s="37"/>
      <c r="AH446" s="37"/>
    </row>
    <row r="447"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40" t="str">
        <f>IFERROR(__xludf.DUMMYFUNCTION("""COMPUTED_VALUE"""),"")</f>
        <v/>
      </c>
      <c r="Y447" s="37"/>
      <c r="Z447" s="37"/>
      <c r="AA447" s="37"/>
      <c r="AB447" s="37"/>
      <c r="AC447" s="37"/>
      <c r="AD447" s="37"/>
      <c r="AE447" s="37"/>
      <c r="AF447" s="37"/>
      <c r="AG447" s="37"/>
      <c r="AH447" s="37"/>
    </row>
    <row r="448"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40" t="str">
        <f>IFERROR(__xludf.DUMMYFUNCTION("""COMPUTED_VALUE"""),"")</f>
        <v/>
      </c>
      <c r="Y448" s="37"/>
      <c r="Z448" s="37"/>
      <c r="AA448" s="37"/>
      <c r="AB448" s="37"/>
      <c r="AC448" s="37"/>
      <c r="AD448" s="37"/>
      <c r="AE448" s="37"/>
      <c r="AF448" s="37"/>
      <c r="AG448" s="37"/>
      <c r="AH448" s="37"/>
    </row>
    <row r="449"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40" t="str">
        <f>IFERROR(__xludf.DUMMYFUNCTION("""COMPUTED_VALUE"""),"")</f>
        <v/>
      </c>
      <c r="Y449" s="37"/>
      <c r="Z449" s="37"/>
      <c r="AA449" s="37"/>
      <c r="AB449" s="37"/>
      <c r="AC449" s="37"/>
      <c r="AD449" s="37"/>
      <c r="AE449" s="37"/>
      <c r="AF449" s="37"/>
      <c r="AG449" s="37"/>
      <c r="AH449" s="37"/>
    </row>
    <row r="450"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40" t="str">
        <f>IFERROR(__xludf.DUMMYFUNCTION("""COMPUTED_VALUE"""),"")</f>
        <v/>
      </c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</row>
    <row r="451"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40" t="str">
        <f>IFERROR(__xludf.DUMMYFUNCTION("""COMPUTED_VALUE"""),"")</f>
        <v/>
      </c>
      <c r="Y451" s="37"/>
      <c r="Z451" s="37"/>
      <c r="AA451" s="37"/>
      <c r="AB451" s="37"/>
      <c r="AC451" s="37"/>
      <c r="AD451" s="37"/>
      <c r="AE451" s="37"/>
      <c r="AF451" s="37"/>
      <c r="AG451" s="37"/>
      <c r="AH451" s="37"/>
    </row>
    <row r="452"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40" t="str">
        <f>IFERROR(__xludf.DUMMYFUNCTION("""COMPUTED_VALUE"""),"")</f>
        <v/>
      </c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</row>
    <row r="453"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40" t="str">
        <f>IFERROR(__xludf.DUMMYFUNCTION("""COMPUTED_VALUE"""),"")</f>
        <v/>
      </c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</row>
    <row r="454"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40" t="str">
        <f>IFERROR(__xludf.DUMMYFUNCTION("""COMPUTED_VALUE"""),"")</f>
        <v/>
      </c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</row>
    <row r="455"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40" t="str">
        <f>IFERROR(__xludf.DUMMYFUNCTION("""COMPUTED_VALUE"""),"")</f>
        <v/>
      </c>
      <c r="Y455" s="37"/>
      <c r="Z455" s="37"/>
      <c r="AA455" s="37"/>
      <c r="AB455" s="37"/>
      <c r="AC455" s="37"/>
      <c r="AD455" s="37"/>
      <c r="AE455" s="37"/>
      <c r="AF455" s="37"/>
      <c r="AG455" s="37"/>
      <c r="AH455" s="37"/>
    </row>
    <row r="456"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40" t="str">
        <f>IFERROR(__xludf.DUMMYFUNCTION("""COMPUTED_VALUE"""),"")</f>
        <v/>
      </c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</row>
    <row r="457"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40" t="str">
        <f>IFERROR(__xludf.DUMMYFUNCTION("""COMPUTED_VALUE"""),"")</f>
        <v/>
      </c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</row>
    <row r="458"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40" t="str">
        <f>IFERROR(__xludf.DUMMYFUNCTION("""COMPUTED_VALUE"""),"")</f>
        <v/>
      </c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</row>
    <row r="459"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40" t="str">
        <f>IFERROR(__xludf.DUMMYFUNCTION("""COMPUTED_VALUE"""),"")</f>
        <v/>
      </c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</row>
    <row r="460"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40" t="str">
        <f>IFERROR(__xludf.DUMMYFUNCTION("""COMPUTED_VALUE"""),"")</f>
        <v/>
      </c>
      <c r="Y460" s="37"/>
      <c r="Z460" s="37"/>
      <c r="AA460" s="37"/>
      <c r="AB460" s="37"/>
      <c r="AC460" s="37"/>
      <c r="AD460" s="37"/>
      <c r="AE460" s="37"/>
      <c r="AF460" s="37"/>
      <c r="AG460" s="37"/>
      <c r="AH460" s="37"/>
    </row>
    <row r="461"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40" t="str">
        <f>IFERROR(__xludf.DUMMYFUNCTION("""COMPUTED_VALUE"""),"")</f>
        <v/>
      </c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</row>
    <row r="462"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40" t="str">
        <f>IFERROR(__xludf.DUMMYFUNCTION("""COMPUTED_VALUE"""),"")</f>
        <v/>
      </c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</row>
    <row r="463"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40" t="str">
        <f>IFERROR(__xludf.DUMMYFUNCTION("""COMPUTED_VALUE"""),"")</f>
        <v/>
      </c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</row>
    <row r="464"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40" t="str">
        <f>IFERROR(__xludf.DUMMYFUNCTION("""COMPUTED_VALUE"""),"")</f>
        <v/>
      </c>
      <c r="Y464" s="37"/>
      <c r="Z464" s="37"/>
      <c r="AA464" s="37"/>
      <c r="AB464" s="37"/>
      <c r="AC464" s="37"/>
      <c r="AD464" s="37"/>
      <c r="AE464" s="37"/>
      <c r="AF464" s="37"/>
      <c r="AG464" s="37"/>
      <c r="AH464" s="37"/>
    </row>
    <row r="465"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40" t="str">
        <f>IFERROR(__xludf.DUMMYFUNCTION("""COMPUTED_VALUE"""),"")</f>
        <v/>
      </c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</row>
    <row r="466"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40" t="str">
        <f>IFERROR(__xludf.DUMMYFUNCTION("""COMPUTED_VALUE"""),"")</f>
        <v/>
      </c>
      <c r="Y466" s="37"/>
      <c r="Z466" s="37"/>
      <c r="AA466" s="37"/>
      <c r="AB466" s="37"/>
      <c r="AC466" s="37"/>
      <c r="AD466" s="37"/>
      <c r="AE466" s="37"/>
      <c r="AF466" s="37"/>
      <c r="AG466" s="37"/>
      <c r="AH466" s="37"/>
    </row>
    <row r="467"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40" t="str">
        <f>IFERROR(__xludf.DUMMYFUNCTION("""COMPUTED_VALUE"""),"")</f>
        <v/>
      </c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</row>
    <row r="468"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40" t="str">
        <f>IFERROR(__xludf.DUMMYFUNCTION("""COMPUTED_VALUE"""),"")</f>
        <v/>
      </c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</row>
    <row r="469"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40" t="str">
        <f>IFERROR(__xludf.DUMMYFUNCTION("""COMPUTED_VALUE"""),"")</f>
        <v/>
      </c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</row>
    <row r="470"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40" t="str">
        <f>IFERROR(__xludf.DUMMYFUNCTION("""COMPUTED_VALUE"""),"")</f>
        <v/>
      </c>
      <c r="Y470" s="37"/>
      <c r="Z470" s="37"/>
      <c r="AA470" s="37"/>
      <c r="AB470" s="37"/>
      <c r="AC470" s="37"/>
      <c r="AD470" s="37"/>
      <c r="AE470" s="37"/>
      <c r="AF470" s="37"/>
      <c r="AG470" s="37"/>
      <c r="AH470" s="37"/>
    </row>
    <row r="471"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40" t="str">
        <f>IFERROR(__xludf.DUMMYFUNCTION("""COMPUTED_VALUE"""),"")</f>
        <v/>
      </c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</row>
    <row r="472"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40" t="str">
        <f>IFERROR(__xludf.DUMMYFUNCTION("""COMPUTED_VALUE"""),"")</f>
        <v/>
      </c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</row>
    <row r="473"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40" t="str">
        <f>IFERROR(__xludf.DUMMYFUNCTION("""COMPUTED_VALUE"""),"")</f>
        <v/>
      </c>
      <c r="Y473" s="37"/>
      <c r="Z473" s="37"/>
      <c r="AA473" s="37"/>
      <c r="AB473" s="37"/>
      <c r="AC473" s="37"/>
      <c r="AD473" s="37"/>
      <c r="AE473" s="37"/>
      <c r="AF473" s="37"/>
      <c r="AG473" s="37"/>
      <c r="AH473" s="37"/>
    </row>
    <row r="474"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40" t="str">
        <f>IFERROR(__xludf.DUMMYFUNCTION("""COMPUTED_VALUE"""),"")</f>
        <v/>
      </c>
      <c r="Y474" s="37"/>
      <c r="Z474" s="37"/>
      <c r="AA474" s="37"/>
      <c r="AB474" s="37"/>
      <c r="AC474" s="37"/>
      <c r="AD474" s="37"/>
      <c r="AE474" s="37"/>
      <c r="AF474" s="37"/>
      <c r="AG474" s="37"/>
      <c r="AH474" s="37"/>
    </row>
    <row r="475"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40" t="str">
        <f>IFERROR(__xludf.DUMMYFUNCTION("""COMPUTED_VALUE"""),"")</f>
        <v/>
      </c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</row>
    <row r="476"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40" t="str">
        <f>IFERROR(__xludf.DUMMYFUNCTION("""COMPUTED_VALUE"""),"")</f>
        <v/>
      </c>
      <c r="Y476" s="37"/>
      <c r="Z476" s="37"/>
      <c r="AA476" s="37"/>
      <c r="AB476" s="37"/>
      <c r="AC476" s="37"/>
      <c r="AD476" s="37"/>
      <c r="AE476" s="37"/>
      <c r="AF476" s="37"/>
      <c r="AG476" s="37"/>
      <c r="AH476" s="37"/>
    </row>
    <row r="477"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40" t="str">
        <f>IFERROR(__xludf.DUMMYFUNCTION("""COMPUTED_VALUE"""),"")</f>
        <v/>
      </c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</row>
    <row r="478"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40" t="str">
        <f>IFERROR(__xludf.DUMMYFUNCTION("""COMPUTED_VALUE"""),"")</f>
        <v/>
      </c>
      <c r="Y478" s="37"/>
      <c r="Z478" s="37"/>
      <c r="AA478" s="37"/>
      <c r="AB478" s="37"/>
      <c r="AC478" s="37"/>
      <c r="AD478" s="37"/>
      <c r="AE478" s="37"/>
      <c r="AF478" s="37"/>
      <c r="AG478" s="37"/>
      <c r="AH478" s="37"/>
    </row>
    <row r="479"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40" t="str">
        <f>IFERROR(__xludf.DUMMYFUNCTION("""COMPUTED_VALUE"""),"")</f>
        <v/>
      </c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</row>
    <row r="480"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40" t="str">
        <f>IFERROR(__xludf.DUMMYFUNCTION("""COMPUTED_VALUE"""),"")</f>
        <v/>
      </c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</row>
    <row r="481"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40" t="str">
        <f>IFERROR(__xludf.DUMMYFUNCTION("""COMPUTED_VALUE"""),"")</f>
        <v/>
      </c>
      <c r="Y481" s="37"/>
      <c r="Z481" s="37"/>
      <c r="AA481" s="37"/>
      <c r="AB481" s="37"/>
      <c r="AC481" s="37"/>
      <c r="AD481" s="37"/>
      <c r="AE481" s="37"/>
      <c r="AF481" s="37"/>
      <c r="AG481" s="37"/>
      <c r="AH481" s="37"/>
    </row>
    <row r="482"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40" t="str">
        <f>IFERROR(__xludf.DUMMYFUNCTION("""COMPUTED_VALUE"""),"")</f>
        <v/>
      </c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</row>
    <row r="483"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40" t="str">
        <f>IFERROR(__xludf.DUMMYFUNCTION("""COMPUTED_VALUE"""),"")</f>
        <v/>
      </c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</row>
    <row r="484"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40" t="str">
        <f>IFERROR(__xludf.DUMMYFUNCTION("""COMPUTED_VALUE"""),"")</f>
        <v/>
      </c>
      <c r="Y484" s="37"/>
      <c r="Z484" s="37"/>
      <c r="AA484" s="37"/>
      <c r="AB484" s="37"/>
      <c r="AC484" s="37"/>
      <c r="AD484" s="37"/>
      <c r="AE484" s="37"/>
      <c r="AF484" s="37"/>
      <c r="AG484" s="37"/>
      <c r="AH484" s="37"/>
    </row>
    <row r="485"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40" t="str">
        <f>IFERROR(__xludf.DUMMYFUNCTION("""COMPUTED_VALUE"""),"")</f>
        <v/>
      </c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</row>
    <row r="486"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40" t="str">
        <f>IFERROR(__xludf.DUMMYFUNCTION("""COMPUTED_VALUE"""),"")</f>
        <v/>
      </c>
      <c r="Y486" s="37"/>
      <c r="Z486" s="37"/>
      <c r="AA486" s="37"/>
      <c r="AB486" s="37"/>
      <c r="AC486" s="37"/>
      <c r="AD486" s="37"/>
      <c r="AE486" s="37"/>
      <c r="AF486" s="37"/>
      <c r="AG486" s="37"/>
      <c r="AH486" s="37"/>
    </row>
    <row r="487"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40" t="str">
        <f>IFERROR(__xludf.DUMMYFUNCTION("""COMPUTED_VALUE"""),"")</f>
        <v/>
      </c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</row>
    <row r="488"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40" t="str">
        <f>IFERROR(__xludf.DUMMYFUNCTION("""COMPUTED_VALUE"""),"")</f>
        <v/>
      </c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</row>
    <row r="489"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40" t="str">
        <f>IFERROR(__xludf.DUMMYFUNCTION("""COMPUTED_VALUE"""),"")</f>
        <v/>
      </c>
      <c r="Y489" s="37"/>
      <c r="Z489" s="37"/>
      <c r="AA489" s="37"/>
      <c r="AB489" s="37"/>
      <c r="AC489" s="37"/>
      <c r="AD489" s="37"/>
      <c r="AE489" s="37"/>
      <c r="AF489" s="37"/>
      <c r="AG489" s="37"/>
      <c r="AH489" s="37"/>
    </row>
    <row r="490"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40" t="str">
        <f>IFERROR(__xludf.DUMMYFUNCTION("""COMPUTED_VALUE"""),"")</f>
        <v/>
      </c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</row>
    <row r="491"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40" t="str">
        <f>IFERROR(__xludf.DUMMYFUNCTION("""COMPUTED_VALUE"""),"")</f>
        <v/>
      </c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</row>
    <row r="492"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40" t="str">
        <f>IFERROR(__xludf.DUMMYFUNCTION("""COMPUTED_VALUE"""),"")</f>
        <v/>
      </c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</row>
    <row r="493"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40" t="str">
        <f>IFERROR(__xludf.DUMMYFUNCTION("""COMPUTED_VALUE"""),"")</f>
        <v/>
      </c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</row>
    <row r="494"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40" t="str">
        <f>IFERROR(__xludf.DUMMYFUNCTION("""COMPUTED_VALUE"""),"")</f>
        <v/>
      </c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</row>
    <row r="495"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40" t="str">
        <f>IFERROR(__xludf.DUMMYFUNCTION("""COMPUTED_VALUE"""),"")</f>
        <v/>
      </c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</row>
    <row r="496"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40" t="str">
        <f>IFERROR(__xludf.DUMMYFUNCTION("""COMPUTED_VALUE"""),"")</f>
        <v/>
      </c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</row>
    <row r="497"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40" t="str">
        <f>IFERROR(__xludf.DUMMYFUNCTION("""COMPUTED_VALUE"""),"")</f>
        <v/>
      </c>
      <c r="Y497" s="37"/>
      <c r="Z497" s="37"/>
      <c r="AA497" s="37"/>
      <c r="AB497" s="37"/>
      <c r="AC497" s="37"/>
      <c r="AD497" s="37"/>
      <c r="AE497" s="37"/>
      <c r="AF497" s="37"/>
      <c r="AG497" s="37"/>
      <c r="AH497" s="37"/>
    </row>
    <row r="498"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40" t="str">
        <f>IFERROR(__xludf.DUMMYFUNCTION("""COMPUTED_VALUE"""),"")</f>
        <v/>
      </c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</row>
    <row r="499"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40" t="str">
        <f>IFERROR(__xludf.DUMMYFUNCTION("""COMPUTED_VALUE"""),"")</f>
        <v/>
      </c>
      <c r="Y499" s="37"/>
      <c r="Z499" s="37"/>
      <c r="AA499" s="37"/>
      <c r="AB499" s="37"/>
      <c r="AC499" s="37"/>
      <c r="AD499" s="37"/>
      <c r="AE499" s="37"/>
      <c r="AF499" s="37"/>
      <c r="AG499" s="37"/>
      <c r="AH499" s="37"/>
    </row>
    <row r="500"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40" t="str">
        <f>IFERROR(__xludf.DUMMYFUNCTION("""COMPUTED_VALUE"""),"")</f>
        <v/>
      </c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</row>
    <row r="501"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40" t="str">
        <f>IFERROR(__xludf.DUMMYFUNCTION("""COMPUTED_VALUE"""),"")</f>
        <v/>
      </c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</row>
    <row r="502"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40" t="str">
        <f>IFERROR(__xludf.DUMMYFUNCTION("""COMPUTED_VALUE"""),"")</f>
        <v/>
      </c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</row>
    <row r="503"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40" t="str">
        <f>IFERROR(__xludf.DUMMYFUNCTION("""COMPUTED_VALUE"""),"")</f>
        <v/>
      </c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</row>
    <row r="504"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40" t="str">
        <f>IFERROR(__xludf.DUMMYFUNCTION("""COMPUTED_VALUE"""),"")</f>
        <v/>
      </c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</row>
    <row r="505"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40" t="str">
        <f>IFERROR(__xludf.DUMMYFUNCTION("""COMPUTED_VALUE"""),"")</f>
        <v/>
      </c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</row>
    <row r="506"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40" t="str">
        <f>IFERROR(__xludf.DUMMYFUNCTION("""COMPUTED_VALUE"""),"")</f>
        <v/>
      </c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</row>
    <row r="507"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40" t="str">
        <f>IFERROR(__xludf.DUMMYFUNCTION("""COMPUTED_VALUE"""),"")</f>
        <v/>
      </c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</row>
    <row r="508"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40" t="str">
        <f>IFERROR(__xludf.DUMMYFUNCTION("""COMPUTED_VALUE"""),"")</f>
        <v/>
      </c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</row>
    <row r="509"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40" t="str">
        <f>IFERROR(__xludf.DUMMYFUNCTION("""COMPUTED_VALUE"""),"")</f>
        <v/>
      </c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</row>
    <row r="510"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40" t="str">
        <f>IFERROR(__xludf.DUMMYFUNCTION("""COMPUTED_VALUE"""),"")</f>
        <v/>
      </c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</row>
    <row r="511"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40" t="str">
        <f>IFERROR(__xludf.DUMMYFUNCTION("""COMPUTED_VALUE"""),"")</f>
        <v/>
      </c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</row>
    <row r="512"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40" t="str">
        <f>IFERROR(__xludf.DUMMYFUNCTION("""COMPUTED_VALUE"""),"")</f>
        <v/>
      </c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</row>
    <row r="513"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40" t="str">
        <f>IFERROR(__xludf.DUMMYFUNCTION("""COMPUTED_VALUE"""),"")</f>
        <v/>
      </c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</row>
    <row r="514"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40" t="str">
        <f>IFERROR(__xludf.DUMMYFUNCTION("""COMPUTED_VALUE"""),"")</f>
        <v/>
      </c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</row>
    <row r="515"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40" t="str">
        <f>IFERROR(__xludf.DUMMYFUNCTION("""COMPUTED_VALUE"""),"")</f>
        <v/>
      </c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</row>
    <row r="516"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40" t="str">
        <f>IFERROR(__xludf.DUMMYFUNCTION("""COMPUTED_VALUE"""),"")</f>
        <v/>
      </c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</row>
    <row r="517"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40" t="str">
        <f>IFERROR(__xludf.DUMMYFUNCTION("""COMPUTED_VALUE"""),"")</f>
        <v/>
      </c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</row>
    <row r="518"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40" t="str">
        <f>IFERROR(__xludf.DUMMYFUNCTION("""COMPUTED_VALUE"""),"")</f>
        <v/>
      </c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</row>
    <row r="519"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40" t="str">
        <f>IFERROR(__xludf.DUMMYFUNCTION("""COMPUTED_VALUE"""),"")</f>
        <v/>
      </c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</row>
    <row r="520"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40" t="str">
        <f>IFERROR(__xludf.DUMMYFUNCTION("""COMPUTED_VALUE"""),"")</f>
        <v/>
      </c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</row>
    <row r="521"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40" t="str">
        <f>IFERROR(__xludf.DUMMYFUNCTION("""COMPUTED_VALUE"""),"")</f>
        <v/>
      </c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</row>
    <row r="522"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40" t="str">
        <f>IFERROR(__xludf.DUMMYFUNCTION("""COMPUTED_VALUE"""),"")</f>
        <v/>
      </c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</row>
    <row r="523"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40" t="str">
        <f>IFERROR(__xludf.DUMMYFUNCTION("""COMPUTED_VALUE"""),"")</f>
        <v/>
      </c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</row>
    <row r="524"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40" t="str">
        <f>IFERROR(__xludf.DUMMYFUNCTION("""COMPUTED_VALUE"""),"")</f>
        <v/>
      </c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</row>
    <row r="525"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40" t="str">
        <f>IFERROR(__xludf.DUMMYFUNCTION("""COMPUTED_VALUE"""),"")</f>
        <v/>
      </c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</row>
    <row r="526"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40" t="str">
        <f>IFERROR(__xludf.DUMMYFUNCTION("""COMPUTED_VALUE"""),"")</f>
        <v/>
      </c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</row>
    <row r="527"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40" t="str">
        <f>IFERROR(__xludf.DUMMYFUNCTION("""COMPUTED_VALUE"""),"")</f>
        <v/>
      </c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</row>
    <row r="528"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40" t="str">
        <f>IFERROR(__xludf.DUMMYFUNCTION("""COMPUTED_VALUE"""),"")</f>
        <v/>
      </c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</row>
    <row r="529"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40" t="str">
        <f>IFERROR(__xludf.DUMMYFUNCTION("""COMPUTED_VALUE"""),"")</f>
        <v/>
      </c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</row>
    <row r="530"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40" t="str">
        <f>IFERROR(__xludf.DUMMYFUNCTION("""COMPUTED_VALUE"""),"")</f>
        <v/>
      </c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</row>
    <row r="531"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40" t="str">
        <f>IFERROR(__xludf.DUMMYFUNCTION("""COMPUTED_VALUE"""),"")</f>
        <v/>
      </c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</row>
    <row r="532"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40" t="str">
        <f>IFERROR(__xludf.DUMMYFUNCTION("""COMPUTED_VALUE"""),"")</f>
        <v/>
      </c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</row>
    <row r="533"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40" t="str">
        <f>IFERROR(__xludf.DUMMYFUNCTION("""COMPUTED_VALUE"""),"")</f>
        <v/>
      </c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</row>
    <row r="534"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40" t="str">
        <f>IFERROR(__xludf.DUMMYFUNCTION("""COMPUTED_VALUE"""),"")</f>
        <v/>
      </c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</row>
    <row r="535"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40" t="str">
        <f>IFERROR(__xludf.DUMMYFUNCTION("""COMPUTED_VALUE"""),"")</f>
        <v/>
      </c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</row>
    <row r="536"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40" t="str">
        <f>IFERROR(__xludf.DUMMYFUNCTION("""COMPUTED_VALUE"""),"")</f>
        <v/>
      </c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</row>
    <row r="537"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40" t="str">
        <f>IFERROR(__xludf.DUMMYFUNCTION("""COMPUTED_VALUE"""),"")</f>
        <v/>
      </c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</row>
    <row r="538"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40" t="str">
        <f>IFERROR(__xludf.DUMMYFUNCTION("""COMPUTED_VALUE"""),"")</f>
        <v/>
      </c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</row>
    <row r="539"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40" t="str">
        <f>IFERROR(__xludf.DUMMYFUNCTION("""COMPUTED_VALUE"""),"")</f>
        <v/>
      </c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</row>
    <row r="540"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40" t="str">
        <f>IFERROR(__xludf.DUMMYFUNCTION("""COMPUTED_VALUE"""),"")</f>
        <v/>
      </c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</row>
    <row r="541"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40" t="str">
        <f>IFERROR(__xludf.DUMMYFUNCTION("""COMPUTED_VALUE"""),"")</f>
        <v/>
      </c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</row>
    <row r="542"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40" t="str">
        <f>IFERROR(__xludf.DUMMYFUNCTION("""COMPUTED_VALUE"""),"")</f>
        <v/>
      </c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</row>
    <row r="543"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40" t="str">
        <f>IFERROR(__xludf.DUMMYFUNCTION("""COMPUTED_VALUE"""),"")</f>
        <v/>
      </c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</row>
    <row r="544"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40" t="str">
        <f>IFERROR(__xludf.DUMMYFUNCTION("""COMPUTED_VALUE"""),"")</f>
        <v/>
      </c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</row>
    <row r="545"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40" t="str">
        <f>IFERROR(__xludf.DUMMYFUNCTION("""COMPUTED_VALUE"""),"")</f>
        <v/>
      </c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</row>
    <row r="546"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40" t="str">
        <f>IFERROR(__xludf.DUMMYFUNCTION("""COMPUTED_VALUE"""),"")</f>
        <v/>
      </c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</row>
    <row r="547"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40" t="str">
        <f>IFERROR(__xludf.DUMMYFUNCTION("""COMPUTED_VALUE"""),"")</f>
        <v/>
      </c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</row>
    <row r="548"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40" t="str">
        <f>IFERROR(__xludf.DUMMYFUNCTION("""COMPUTED_VALUE"""),"")</f>
        <v/>
      </c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</row>
    <row r="549"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40" t="str">
        <f>IFERROR(__xludf.DUMMYFUNCTION("""COMPUTED_VALUE"""),"")</f>
        <v/>
      </c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</row>
    <row r="550"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40" t="str">
        <f>IFERROR(__xludf.DUMMYFUNCTION("""COMPUTED_VALUE"""),"")</f>
        <v/>
      </c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</row>
    <row r="551"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40" t="str">
        <f>IFERROR(__xludf.DUMMYFUNCTION("""COMPUTED_VALUE"""),"")</f>
        <v/>
      </c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</row>
    <row r="552"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40" t="str">
        <f>IFERROR(__xludf.DUMMYFUNCTION("""COMPUTED_VALUE"""),"")</f>
        <v/>
      </c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</row>
    <row r="553"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40" t="str">
        <f>IFERROR(__xludf.DUMMYFUNCTION("""COMPUTED_VALUE"""),"")</f>
        <v/>
      </c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</row>
    <row r="554"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40" t="str">
        <f>IFERROR(__xludf.DUMMYFUNCTION("""COMPUTED_VALUE"""),"")</f>
        <v/>
      </c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</row>
    <row r="555"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40" t="str">
        <f>IFERROR(__xludf.DUMMYFUNCTION("""COMPUTED_VALUE"""),"")</f>
        <v/>
      </c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</row>
    <row r="556"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40" t="str">
        <f>IFERROR(__xludf.DUMMYFUNCTION("""COMPUTED_VALUE"""),"")</f>
        <v/>
      </c>
      <c r="Y556" s="37"/>
      <c r="Z556" s="37"/>
      <c r="AA556" s="37"/>
      <c r="AB556" s="37"/>
      <c r="AC556" s="37"/>
      <c r="AD556" s="37"/>
      <c r="AE556" s="37"/>
      <c r="AF556" s="37"/>
      <c r="AG556" s="37"/>
      <c r="AH556" s="37"/>
    </row>
    <row r="557"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40" t="str">
        <f>IFERROR(__xludf.DUMMYFUNCTION("""COMPUTED_VALUE"""),"")</f>
        <v/>
      </c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</row>
    <row r="558"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40" t="str">
        <f>IFERROR(__xludf.DUMMYFUNCTION("""COMPUTED_VALUE"""),"")</f>
        <v/>
      </c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</row>
    <row r="559"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40" t="str">
        <f>IFERROR(__xludf.DUMMYFUNCTION("""COMPUTED_VALUE"""),"")</f>
        <v/>
      </c>
      <c r="Y559" s="37"/>
      <c r="Z559" s="37"/>
      <c r="AA559" s="37"/>
      <c r="AB559" s="37"/>
      <c r="AC559" s="37"/>
      <c r="AD559" s="37"/>
      <c r="AE559" s="37"/>
      <c r="AF559" s="37"/>
      <c r="AG559" s="37"/>
      <c r="AH559" s="37"/>
    </row>
    <row r="560"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40" t="str">
        <f>IFERROR(__xludf.DUMMYFUNCTION("""COMPUTED_VALUE"""),"")</f>
        <v/>
      </c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</row>
    <row r="561"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40" t="str">
        <f>IFERROR(__xludf.DUMMYFUNCTION("""COMPUTED_VALUE"""),"")</f>
        <v/>
      </c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</row>
    <row r="562"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40" t="str">
        <f>IFERROR(__xludf.DUMMYFUNCTION("""COMPUTED_VALUE"""),"")</f>
        <v/>
      </c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</row>
    <row r="563"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40" t="str">
        <f>IFERROR(__xludf.DUMMYFUNCTION("""COMPUTED_VALUE"""),"")</f>
        <v/>
      </c>
      <c r="Y563" s="37"/>
      <c r="Z563" s="37"/>
      <c r="AA563" s="37"/>
      <c r="AB563" s="37"/>
      <c r="AC563" s="37"/>
      <c r="AD563" s="37"/>
      <c r="AE563" s="37"/>
      <c r="AF563" s="37"/>
      <c r="AG563" s="37"/>
      <c r="AH563" s="37"/>
    </row>
    <row r="564"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40" t="str">
        <f>IFERROR(__xludf.DUMMYFUNCTION("""COMPUTED_VALUE"""),"")</f>
        <v/>
      </c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</row>
    <row r="565"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40" t="str">
        <f>IFERROR(__xludf.DUMMYFUNCTION("""COMPUTED_VALUE"""),"")</f>
        <v/>
      </c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</row>
    <row r="566"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40" t="str">
        <f>IFERROR(__xludf.DUMMYFUNCTION("""COMPUTED_VALUE"""),"")</f>
        <v/>
      </c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</row>
    <row r="567"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40" t="str">
        <f>IFERROR(__xludf.DUMMYFUNCTION("""COMPUTED_VALUE"""),"")</f>
        <v/>
      </c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</row>
    <row r="568"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40" t="str">
        <f>IFERROR(__xludf.DUMMYFUNCTION("""COMPUTED_VALUE"""),"")</f>
        <v/>
      </c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</row>
    <row r="569"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40" t="str">
        <f>IFERROR(__xludf.DUMMYFUNCTION("""COMPUTED_VALUE"""),"")</f>
        <v/>
      </c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</row>
    <row r="570"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40" t="str">
        <f>IFERROR(__xludf.DUMMYFUNCTION("""COMPUTED_VALUE"""),"")</f>
        <v/>
      </c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</row>
    <row r="571"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40" t="str">
        <f>IFERROR(__xludf.DUMMYFUNCTION("""COMPUTED_VALUE"""),"")</f>
        <v/>
      </c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</row>
    <row r="572"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40" t="str">
        <f>IFERROR(__xludf.DUMMYFUNCTION("""COMPUTED_VALUE"""),"")</f>
        <v/>
      </c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</row>
    <row r="573"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40" t="str">
        <f>IFERROR(__xludf.DUMMYFUNCTION("""COMPUTED_VALUE"""),"")</f>
        <v/>
      </c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</row>
    <row r="574"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40" t="str">
        <f>IFERROR(__xludf.DUMMYFUNCTION("""COMPUTED_VALUE"""),"")</f>
        <v/>
      </c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</row>
    <row r="575"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40" t="str">
        <f>IFERROR(__xludf.DUMMYFUNCTION("""COMPUTED_VALUE"""),"")</f>
        <v/>
      </c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</row>
    <row r="576"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40" t="str">
        <f>IFERROR(__xludf.DUMMYFUNCTION("""COMPUTED_VALUE"""),"")</f>
        <v/>
      </c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</row>
    <row r="577"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40" t="str">
        <f>IFERROR(__xludf.DUMMYFUNCTION("""COMPUTED_VALUE"""),"")</f>
        <v/>
      </c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</row>
    <row r="578"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40" t="str">
        <f>IFERROR(__xludf.DUMMYFUNCTION("""COMPUTED_VALUE"""),"")</f>
        <v/>
      </c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</row>
    <row r="579"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40" t="str">
        <f>IFERROR(__xludf.DUMMYFUNCTION("""COMPUTED_VALUE"""),"")</f>
        <v/>
      </c>
      <c r="Y579" s="37"/>
      <c r="Z579" s="37"/>
      <c r="AA579" s="37"/>
      <c r="AB579" s="37"/>
      <c r="AC579" s="37"/>
      <c r="AD579" s="37"/>
      <c r="AE579" s="37"/>
      <c r="AF579" s="37"/>
      <c r="AG579" s="37"/>
      <c r="AH579" s="37"/>
    </row>
    <row r="580"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40" t="str">
        <f>IFERROR(__xludf.DUMMYFUNCTION("""COMPUTED_VALUE"""),"")</f>
        <v/>
      </c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</row>
    <row r="581"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40" t="str">
        <f>IFERROR(__xludf.DUMMYFUNCTION("""COMPUTED_VALUE"""),"")</f>
        <v/>
      </c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</row>
    <row r="582"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40" t="str">
        <f>IFERROR(__xludf.DUMMYFUNCTION("""COMPUTED_VALUE"""),"")</f>
        <v/>
      </c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</row>
    <row r="583"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40" t="str">
        <f>IFERROR(__xludf.DUMMYFUNCTION("""COMPUTED_VALUE"""),"")</f>
        <v/>
      </c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</row>
    <row r="584"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40" t="str">
        <f>IFERROR(__xludf.DUMMYFUNCTION("""COMPUTED_VALUE"""),"")</f>
        <v/>
      </c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</row>
    <row r="585"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40" t="str">
        <f>IFERROR(__xludf.DUMMYFUNCTION("""COMPUTED_VALUE"""),"")</f>
        <v/>
      </c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</row>
    <row r="586"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40" t="str">
        <f>IFERROR(__xludf.DUMMYFUNCTION("""COMPUTED_VALUE"""),"")</f>
        <v/>
      </c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</row>
    <row r="587"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40" t="str">
        <f>IFERROR(__xludf.DUMMYFUNCTION("""COMPUTED_VALUE"""),"")</f>
        <v/>
      </c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</row>
    <row r="588"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40" t="str">
        <f>IFERROR(__xludf.DUMMYFUNCTION("""COMPUTED_VALUE"""),"")</f>
        <v/>
      </c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</row>
    <row r="589"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40" t="str">
        <f>IFERROR(__xludf.DUMMYFUNCTION("""COMPUTED_VALUE"""),"")</f>
        <v/>
      </c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</row>
    <row r="590"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40" t="str">
        <f>IFERROR(__xludf.DUMMYFUNCTION("""COMPUTED_VALUE"""),"")</f>
        <v/>
      </c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</row>
    <row r="591"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40" t="str">
        <f>IFERROR(__xludf.DUMMYFUNCTION("""COMPUTED_VALUE"""),"")</f>
        <v/>
      </c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</row>
    <row r="592"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40" t="str">
        <f>IFERROR(__xludf.DUMMYFUNCTION("""COMPUTED_VALUE"""),"")</f>
        <v/>
      </c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</row>
    <row r="593"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40" t="str">
        <f>IFERROR(__xludf.DUMMYFUNCTION("""COMPUTED_VALUE"""),"")</f>
        <v/>
      </c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</row>
    <row r="594"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40" t="str">
        <f>IFERROR(__xludf.DUMMYFUNCTION("""COMPUTED_VALUE"""),"")</f>
        <v/>
      </c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</row>
    <row r="595"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40" t="str">
        <f>IFERROR(__xludf.DUMMYFUNCTION("""COMPUTED_VALUE"""),"")</f>
        <v/>
      </c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</row>
    <row r="596"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40" t="str">
        <f>IFERROR(__xludf.DUMMYFUNCTION("""COMPUTED_VALUE"""),"")</f>
        <v/>
      </c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</row>
    <row r="597"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40" t="str">
        <f>IFERROR(__xludf.DUMMYFUNCTION("""COMPUTED_VALUE"""),"")</f>
        <v/>
      </c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</row>
    <row r="598"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40" t="str">
        <f>IFERROR(__xludf.DUMMYFUNCTION("""COMPUTED_VALUE"""),"")</f>
        <v/>
      </c>
      <c r="Y598" s="37"/>
      <c r="Z598" s="37"/>
      <c r="AA598" s="37"/>
      <c r="AB598" s="37"/>
      <c r="AC598" s="37"/>
      <c r="AD598" s="37"/>
      <c r="AE598" s="37"/>
      <c r="AF598" s="37"/>
      <c r="AG598" s="37"/>
      <c r="AH598" s="37"/>
    </row>
    <row r="599"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40" t="str">
        <f>IFERROR(__xludf.DUMMYFUNCTION("""COMPUTED_VALUE"""),"")</f>
        <v/>
      </c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</row>
    <row r="600"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40" t="str">
        <f>IFERROR(__xludf.DUMMYFUNCTION("""COMPUTED_VALUE"""),"")</f>
        <v/>
      </c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</row>
    <row r="601"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40" t="str">
        <f>IFERROR(__xludf.DUMMYFUNCTION("""COMPUTED_VALUE"""),"")</f>
        <v/>
      </c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</row>
    <row r="602"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40" t="str">
        <f>IFERROR(__xludf.DUMMYFUNCTION("""COMPUTED_VALUE"""),"")</f>
        <v/>
      </c>
      <c r="Y602" s="37"/>
      <c r="Z602" s="37"/>
      <c r="AA602" s="37"/>
      <c r="AB602" s="37"/>
      <c r="AC602" s="37"/>
      <c r="AD602" s="37"/>
      <c r="AE602" s="37"/>
      <c r="AF602" s="37"/>
      <c r="AG602" s="37"/>
      <c r="AH602" s="37"/>
    </row>
    <row r="603"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40" t="str">
        <f>IFERROR(__xludf.DUMMYFUNCTION("""COMPUTED_VALUE"""),"")</f>
        <v/>
      </c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</row>
    <row r="604"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40" t="str">
        <f>IFERROR(__xludf.DUMMYFUNCTION("""COMPUTED_VALUE"""),"")</f>
        <v/>
      </c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</row>
    <row r="605"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40" t="str">
        <f>IFERROR(__xludf.DUMMYFUNCTION("""COMPUTED_VALUE"""),"")</f>
        <v/>
      </c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</row>
    <row r="606"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40" t="str">
        <f>IFERROR(__xludf.DUMMYFUNCTION("""COMPUTED_VALUE"""),"")</f>
        <v/>
      </c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</row>
    <row r="607"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40" t="str">
        <f>IFERROR(__xludf.DUMMYFUNCTION("""COMPUTED_VALUE"""),"")</f>
        <v/>
      </c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</row>
    <row r="608"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40" t="str">
        <f>IFERROR(__xludf.DUMMYFUNCTION("""COMPUTED_VALUE"""),"")</f>
        <v/>
      </c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</row>
    <row r="609"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40" t="str">
        <f>IFERROR(__xludf.DUMMYFUNCTION("""COMPUTED_VALUE"""),"")</f>
        <v/>
      </c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</row>
    <row r="610"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40" t="str">
        <f>IFERROR(__xludf.DUMMYFUNCTION("""COMPUTED_VALUE"""),"")</f>
        <v/>
      </c>
      <c r="Y610" s="37"/>
      <c r="Z610" s="37"/>
      <c r="AA610" s="37"/>
      <c r="AB610" s="37"/>
      <c r="AC610" s="37"/>
      <c r="AD610" s="37"/>
      <c r="AE610" s="37"/>
      <c r="AF610" s="37"/>
      <c r="AG610" s="37"/>
      <c r="AH610" s="37"/>
    </row>
    <row r="611"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40" t="str">
        <f>IFERROR(__xludf.DUMMYFUNCTION("""COMPUTED_VALUE"""),"")</f>
        <v/>
      </c>
      <c r="Y611" s="37"/>
      <c r="Z611" s="37"/>
      <c r="AA611" s="37"/>
      <c r="AB611" s="37"/>
      <c r="AC611" s="37"/>
      <c r="AD611" s="37"/>
      <c r="AE611" s="37"/>
      <c r="AF611" s="37"/>
      <c r="AG611" s="37"/>
      <c r="AH611" s="37"/>
    </row>
    <row r="612"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40" t="str">
        <f>IFERROR(__xludf.DUMMYFUNCTION("""COMPUTED_VALUE"""),"")</f>
        <v/>
      </c>
      <c r="Y612" s="37"/>
      <c r="Z612" s="37"/>
      <c r="AA612" s="37"/>
      <c r="AB612" s="37"/>
      <c r="AC612" s="37"/>
      <c r="AD612" s="37"/>
      <c r="AE612" s="37"/>
      <c r="AF612" s="37"/>
      <c r="AG612" s="37"/>
      <c r="AH612" s="37"/>
    </row>
    <row r="613"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40" t="str">
        <f>IFERROR(__xludf.DUMMYFUNCTION("""COMPUTED_VALUE"""),"")</f>
        <v/>
      </c>
      <c r="Y613" s="37"/>
      <c r="Z613" s="37"/>
      <c r="AA613" s="37"/>
      <c r="AB613" s="37"/>
      <c r="AC613" s="37"/>
      <c r="AD613" s="37"/>
      <c r="AE613" s="37"/>
      <c r="AF613" s="37"/>
      <c r="AG613" s="37"/>
      <c r="AH613" s="37"/>
    </row>
    <row r="614"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40" t="str">
        <f>IFERROR(__xludf.DUMMYFUNCTION("""COMPUTED_VALUE"""),"")</f>
        <v/>
      </c>
      <c r="Y614" s="37"/>
      <c r="Z614" s="37"/>
      <c r="AA614" s="37"/>
      <c r="AB614" s="37"/>
      <c r="AC614" s="37"/>
      <c r="AD614" s="37"/>
      <c r="AE614" s="37"/>
      <c r="AF614" s="37"/>
      <c r="AG614" s="37"/>
      <c r="AH614" s="37"/>
    </row>
    <row r="615"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40" t="str">
        <f>IFERROR(__xludf.DUMMYFUNCTION("""COMPUTED_VALUE"""),"")</f>
        <v/>
      </c>
      <c r="Y615" s="37"/>
      <c r="Z615" s="37"/>
      <c r="AA615" s="37"/>
      <c r="AB615" s="37"/>
      <c r="AC615" s="37"/>
      <c r="AD615" s="37"/>
      <c r="AE615" s="37"/>
      <c r="AF615" s="37"/>
      <c r="AG615" s="37"/>
      <c r="AH615" s="37"/>
    </row>
    <row r="616"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40" t="str">
        <f>IFERROR(__xludf.DUMMYFUNCTION("""COMPUTED_VALUE"""),"")</f>
        <v/>
      </c>
      <c r="Y616" s="37"/>
      <c r="Z616" s="37"/>
      <c r="AA616" s="37"/>
      <c r="AB616" s="37"/>
      <c r="AC616" s="37"/>
      <c r="AD616" s="37"/>
      <c r="AE616" s="37"/>
      <c r="AF616" s="37"/>
      <c r="AG616" s="37"/>
      <c r="AH616" s="37"/>
    </row>
    <row r="617"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40" t="str">
        <f>IFERROR(__xludf.DUMMYFUNCTION("""COMPUTED_VALUE"""),"")</f>
        <v/>
      </c>
      <c r="Y617" s="37"/>
      <c r="Z617" s="37"/>
      <c r="AA617" s="37"/>
      <c r="AB617" s="37"/>
      <c r="AC617" s="37"/>
      <c r="AD617" s="37"/>
      <c r="AE617" s="37"/>
      <c r="AF617" s="37"/>
      <c r="AG617" s="37"/>
      <c r="AH617" s="37"/>
    </row>
    <row r="618"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40" t="str">
        <f>IFERROR(__xludf.DUMMYFUNCTION("""COMPUTED_VALUE"""),"")</f>
        <v/>
      </c>
      <c r="Y618" s="37"/>
      <c r="Z618" s="37"/>
      <c r="AA618" s="37"/>
      <c r="AB618" s="37"/>
      <c r="AC618" s="37"/>
      <c r="AD618" s="37"/>
      <c r="AE618" s="37"/>
      <c r="AF618" s="37"/>
      <c r="AG618" s="37"/>
      <c r="AH618" s="37"/>
    </row>
    <row r="619"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40" t="str">
        <f>IFERROR(__xludf.DUMMYFUNCTION("""COMPUTED_VALUE"""),"")</f>
        <v/>
      </c>
      <c r="Y619" s="37"/>
      <c r="Z619" s="37"/>
      <c r="AA619" s="37"/>
      <c r="AB619" s="37"/>
      <c r="AC619" s="37"/>
      <c r="AD619" s="37"/>
      <c r="AE619" s="37"/>
      <c r="AF619" s="37"/>
      <c r="AG619" s="37"/>
      <c r="AH619" s="37"/>
    </row>
    <row r="620"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40" t="str">
        <f>IFERROR(__xludf.DUMMYFUNCTION("""COMPUTED_VALUE"""),"")</f>
        <v/>
      </c>
      <c r="Y620" s="37"/>
      <c r="Z620" s="37"/>
      <c r="AA620" s="37"/>
      <c r="AB620" s="37"/>
      <c r="AC620" s="37"/>
      <c r="AD620" s="37"/>
      <c r="AE620" s="37"/>
      <c r="AF620" s="37"/>
      <c r="AG620" s="37"/>
      <c r="AH620" s="37"/>
    </row>
    <row r="621"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40" t="str">
        <f>IFERROR(__xludf.DUMMYFUNCTION("""COMPUTED_VALUE"""),"")</f>
        <v/>
      </c>
      <c r="Y621" s="37"/>
      <c r="Z621" s="37"/>
      <c r="AA621" s="37"/>
      <c r="AB621" s="37"/>
      <c r="AC621" s="37"/>
      <c r="AD621" s="37"/>
      <c r="AE621" s="37"/>
      <c r="AF621" s="37"/>
      <c r="AG621" s="37"/>
      <c r="AH621" s="37"/>
    </row>
    <row r="622"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40" t="str">
        <f>IFERROR(__xludf.DUMMYFUNCTION("""COMPUTED_VALUE"""),"")</f>
        <v/>
      </c>
      <c r="Y622" s="37"/>
      <c r="Z622" s="37"/>
      <c r="AA622" s="37"/>
      <c r="AB622" s="37"/>
      <c r="AC622" s="37"/>
      <c r="AD622" s="37"/>
      <c r="AE622" s="37"/>
      <c r="AF622" s="37"/>
      <c r="AG622" s="37"/>
      <c r="AH622" s="37"/>
    </row>
    <row r="623"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40" t="str">
        <f>IFERROR(__xludf.DUMMYFUNCTION("""COMPUTED_VALUE"""),"")</f>
        <v/>
      </c>
      <c r="Y623" s="37"/>
      <c r="Z623" s="37"/>
      <c r="AA623" s="37"/>
      <c r="AB623" s="37"/>
      <c r="AC623" s="37"/>
      <c r="AD623" s="37"/>
      <c r="AE623" s="37"/>
      <c r="AF623" s="37"/>
      <c r="AG623" s="37"/>
      <c r="AH623" s="37"/>
    </row>
    <row r="624"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40" t="str">
        <f>IFERROR(__xludf.DUMMYFUNCTION("""COMPUTED_VALUE"""),"")</f>
        <v/>
      </c>
      <c r="Y624" s="37"/>
      <c r="Z624" s="37"/>
      <c r="AA624" s="37"/>
      <c r="AB624" s="37"/>
      <c r="AC624" s="37"/>
      <c r="AD624" s="37"/>
      <c r="AE624" s="37"/>
      <c r="AF624" s="37"/>
      <c r="AG624" s="37"/>
      <c r="AH624" s="37"/>
    </row>
    <row r="625"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40" t="str">
        <f>IFERROR(__xludf.DUMMYFUNCTION("""COMPUTED_VALUE"""),"")</f>
        <v/>
      </c>
      <c r="Y625" s="37"/>
      <c r="Z625" s="37"/>
      <c r="AA625" s="37"/>
      <c r="AB625" s="37"/>
      <c r="AC625" s="37"/>
      <c r="AD625" s="37"/>
      <c r="AE625" s="37"/>
      <c r="AF625" s="37"/>
      <c r="AG625" s="37"/>
      <c r="AH625" s="37"/>
    </row>
    <row r="626"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40" t="str">
        <f>IFERROR(__xludf.DUMMYFUNCTION("""COMPUTED_VALUE"""),"")</f>
        <v/>
      </c>
      <c r="Y626" s="37"/>
      <c r="Z626" s="37"/>
      <c r="AA626" s="37"/>
      <c r="AB626" s="37"/>
      <c r="AC626" s="37"/>
      <c r="AD626" s="37"/>
      <c r="AE626" s="37"/>
      <c r="AF626" s="37"/>
      <c r="AG626" s="37"/>
      <c r="AH626" s="37"/>
    </row>
    <row r="627"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40" t="str">
        <f>IFERROR(__xludf.DUMMYFUNCTION("""COMPUTED_VALUE"""),"")</f>
        <v/>
      </c>
      <c r="Y627" s="37"/>
      <c r="Z627" s="37"/>
      <c r="AA627" s="37"/>
      <c r="AB627" s="37"/>
      <c r="AC627" s="37"/>
      <c r="AD627" s="37"/>
      <c r="AE627" s="37"/>
      <c r="AF627" s="37"/>
      <c r="AG627" s="37"/>
      <c r="AH627" s="37"/>
    </row>
    <row r="628"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40" t="str">
        <f>IFERROR(__xludf.DUMMYFUNCTION("""COMPUTED_VALUE"""),"")</f>
        <v/>
      </c>
      <c r="Y628" s="37"/>
      <c r="Z628" s="37"/>
      <c r="AA628" s="37"/>
      <c r="AB628" s="37"/>
      <c r="AC628" s="37"/>
      <c r="AD628" s="37"/>
      <c r="AE628" s="37"/>
      <c r="AF628" s="37"/>
      <c r="AG628" s="37"/>
      <c r="AH628" s="37"/>
    </row>
    <row r="629"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40" t="str">
        <f>IFERROR(__xludf.DUMMYFUNCTION("""COMPUTED_VALUE"""),"")</f>
        <v/>
      </c>
      <c r="Y629" s="37"/>
      <c r="Z629" s="37"/>
      <c r="AA629" s="37"/>
      <c r="AB629" s="37"/>
      <c r="AC629" s="37"/>
      <c r="AD629" s="37"/>
      <c r="AE629" s="37"/>
      <c r="AF629" s="37"/>
      <c r="AG629" s="37"/>
      <c r="AH629" s="37"/>
    </row>
    <row r="630"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40" t="str">
        <f>IFERROR(__xludf.DUMMYFUNCTION("""COMPUTED_VALUE"""),"")</f>
        <v/>
      </c>
      <c r="Y630" s="37"/>
      <c r="Z630" s="37"/>
      <c r="AA630" s="37"/>
      <c r="AB630" s="37"/>
      <c r="AC630" s="37"/>
      <c r="AD630" s="37"/>
      <c r="AE630" s="37"/>
      <c r="AF630" s="37"/>
      <c r="AG630" s="37"/>
      <c r="AH630" s="37"/>
    </row>
    <row r="631"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40" t="str">
        <f>IFERROR(__xludf.DUMMYFUNCTION("""COMPUTED_VALUE"""),"")</f>
        <v/>
      </c>
      <c r="Y631" s="37"/>
      <c r="Z631" s="37"/>
      <c r="AA631" s="37"/>
      <c r="AB631" s="37"/>
      <c r="AC631" s="37"/>
      <c r="AD631" s="37"/>
      <c r="AE631" s="37"/>
      <c r="AF631" s="37"/>
      <c r="AG631" s="37"/>
      <c r="AH631" s="37"/>
    </row>
    <row r="632"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40" t="str">
        <f>IFERROR(__xludf.DUMMYFUNCTION("""COMPUTED_VALUE"""),"")</f>
        <v/>
      </c>
      <c r="Y632" s="37"/>
      <c r="Z632" s="37"/>
      <c r="AA632" s="37"/>
      <c r="AB632" s="37"/>
      <c r="AC632" s="37"/>
      <c r="AD632" s="37"/>
      <c r="AE632" s="37"/>
      <c r="AF632" s="37"/>
      <c r="AG632" s="37"/>
      <c r="AH632" s="37"/>
    </row>
    <row r="633"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40" t="str">
        <f>IFERROR(__xludf.DUMMYFUNCTION("""COMPUTED_VALUE"""),"")</f>
        <v/>
      </c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</row>
    <row r="634"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40" t="str">
        <f>IFERROR(__xludf.DUMMYFUNCTION("""COMPUTED_VALUE"""),"")</f>
        <v/>
      </c>
      <c r="Y634" s="37"/>
      <c r="Z634" s="37"/>
      <c r="AA634" s="37"/>
      <c r="AB634" s="37"/>
      <c r="AC634" s="37"/>
      <c r="AD634" s="37"/>
      <c r="AE634" s="37"/>
      <c r="AF634" s="37"/>
      <c r="AG634" s="37"/>
      <c r="AH634" s="37"/>
    </row>
    <row r="635"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40" t="str">
        <f>IFERROR(__xludf.DUMMYFUNCTION("""COMPUTED_VALUE"""),"")</f>
        <v/>
      </c>
      <c r="Y635" s="37"/>
      <c r="Z635" s="37"/>
      <c r="AA635" s="37"/>
      <c r="AB635" s="37"/>
      <c r="AC635" s="37"/>
      <c r="AD635" s="37"/>
      <c r="AE635" s="37"/>
      <c r="AF635" s="37"/>
      <c r="AG635" s="37"/>
      <c r="AH635" s="37"/>
    </row>
    <row r="636"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40" t="str">
        <f>IFERROR(__xludf.DUMMYFUNCTION("""COMPUTED_VALUE"""),"")</f>
        <v/>
      </c>
      <c r="Y636" s="37"/>
      <c r="Z636" s="37"/>
      <c r="AA636" s="37"/>
      <c r="AB636" s="37"/>
      <c r="AC636" s="37"/>
      <c r="AD636" s="37"/>
      <c r="AE636" s="37"/>
      <c r="AF636" s="37"/>
      <c r="AG636" s="37"/>
      <c r="AH636" s="37"/>
    </row>
    <row r="637"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40" t="str">
        <f>IFERROR(__xludf.DUMMYFUNCTION("""COMPUTED_VALUE"""),"")</f>
        <v/>
      </c>
      <c r="Y637" s="37"/>
      <c r="Z637" s="37"/>
      <c r="AA637" s="37"/>
      <c r="AB637" s="37"/>
      <c r="AC637" s="37"/>
      <c r="AD637" s="37"/>
      <c r="AE637" s="37"/>
      <c r="AF637" s="37"/>
      <c r="AG637" s="37"/>
      <c r="AH637" s="37"/>
    </row>
    <row r="638"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40" t="str">
        <f>IFERROR(__xludf.DUMMYFUNCTION("""COMPUTED_VALUE"""),"")</f>
        <v/>
      </c>
      <c r="Y638" s="37"/>
      <c r="Z638" s="37"/>
      <c r="AA638" s="37"/>
      <c r="AB638" s="37"/>
      <c r="AC638" s="37"/>
      <c r="AD638" s="37"/>
      <c r="AE638" s="37"/>
      <c r="AF638" s="37"/>
      <c r="AG638" s="37"/>
      <c r="AH638" s="37"/>
    </row>
    <row r="639"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40" t="str">
        <f>IFERROR(__xludf.DUMMYFUNCTION("""COMPUTED_VALUE"""),"")</f>
        <v/>
      </c>
      <c r="Y639" s="37"/>
      <c r="Z639" s="37"/>
      <c r="AA639" s="37"/>
      <c r="AB639" s="37"/>
      <c r="AC639" s="37"/>
      <c r="AD639" s="37"/>
      <c r="AE639" s="37"/>
      <c r="AF639" s="37"/>
      <c r="AG639" s="37"/>
      <c r="AH639" s="37"/>
    </row>
    <row r="640"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40" t="str">
        <f>IFERROR(__xludf.DUMMYFUNCTION("""COMPUTED_VALUE"""),"")</f>
        <v/>
      </c>
      <c r="Y640" s="37"/>
      <c r="Z640" s="37"/>
      <c r="AA640" s="37"/>
      <c r="AB640" s="37"/>
      <c r="AC640" s="37"/>
      <c r="AD640" s="37"/>
      <c r="AE640" s="37"/>
      <c r="AF640" s="37"/>
      <c r="AG640" s="37"/>
      <c r="AH640" s="37"/>
    </row>
    <row r="641"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40" t="str">
        <f>IFERROR(__xludf.DUMMYFUNCTION("""COMPUTED_VALUE"""),"")</f>
        <v/>
      </c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</row>
    <row r="642"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40" t="str">
        <f>IFERROR(__xludf.DUMMYFUNCTION("""COMPUTED_VALUE"""),"")</f>
        <v/>
      </c>
      <c r="Y642" s="37"/>
      <c r="Z642" s="37"/>
      <c r="AA642" s="37"/>
      <c r="AB642" s="37"/>
      <c r="AC642" s="37"/>
      <c r="AD642" s="37"/>
      <c r="AE642" s="37"/>
      <c r="AF642" s="37"/>
      <c r="AG642" s="37"/>
      <c r="AH642" s="37"/>
    </row>
    <row r="643"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40" t="str">
        <f>IFERROR(__xludf.DUMMYFUNCTION("""COMPUTED_VALUE"""),"")</f>
        <v/>
      </c>
      <c r="Y643" s="37"/>
      <c r="Z643" s="37"/>
      <c r="AA643" s="37"/>
      <c r="AB643" s="37"/>
      <c r="AC643" s="37"/>
      <c r="AD643" s="37"/>
      <c r="AE643" s="37"/>
      <c r="AF643" s="37"/>
      <c r="AG643" s="37"/>
      <c r="AH643" s="37"/>
    </row>
    <row r="644"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40" t="str">
        <f>IFERROR(__xludf.DUMMYFUNCTION("""COMPUTED_VALUE"""),"")</f>
        <v/>
      </c>
      <c r="Y644" s="37"/>
      <c r="Z644" s="37"/>
      <c r="AA644" s="37"/>
      <c r="AB644" s="37"/>
      <c r="AC644" s="37"/>
      <c r="AD644" s="37"/>
      <c r="AE644" s="37"/>
      <c r="AF644" s="37"/>
      <c r="AG644" s="37"/>
      <c r="AH644" s="37"/>
    </row>
    <row r="645"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40" t="str">
        <f>IFERROR(__xludf.DUMMYFUNCTION("""COMPUTED_VALUE"""),"")</f>
        <v/>
      </c>
      <c r="Y645" s="37"/>
      <c r="Z645" s="37"/>
      <c r="AA645" s="37"/>
      <c r="AB645" s="37"/>
      <c r="AC645" s="37"/>
      <c r="AD645" s="37"/>
      <c r="AE645" s="37"/>
      <c r="AF645" s="37"/>
      <c r="AG645" s="37"/>
      <c r="AH645" s="37"/>
    </row>
    <row r="646"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40" t="str">
        <f>IFERROR(__xludf.DUMMYFUNCTION("""COMPUTED_VALUE"""),"")</f>
        <v/>
      </c>
      <c r="Y646" s="37"/>
      <c r="Z646" s="37"/>
      <c r="AA646" s="37"/>
      <c r="AB646" s="37"/>
      <c r="AC646" s="37"/>
      <c r="AD646" s="37"/>
      <c r="AE646" s="37"/>
      <c r="AF646" s="37"/>
      <c r="AG646" s="37"/>
      <c r="AH646" s="37"/>
    </row>
    <row r="647"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40" t="str">
        <f>IFERROR(__xludf.DUMMYFUNCTION("""COMPUTED_VALUE"""),"")</f>
        <v/>
      </c>
      <c r="Y647" s="37"/>
      <c r="Z647" s="37"/>
      <c r="AA647" s="37"/>
      <c r="AB647" s="37"/>
      <c r="AC647" s="37"/>
      <c r="AD647" s="37"/>
      <c r="AE647" s="37"/>
      <c r="AF647" s="37"/>
      <c r="AG647" s="37"/>
      <c r="AH647" s="37"/>
    </row>
    <row r="648"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40" t="str">
        <f>IFERROR(__xludf.DUMMYFUNCTION("""COMPUTED_VALUE"""),"")</f>
        <v/>
      </c>
      <c r="Y648" s="37"/>
      <c r="Z648" s="37"/>
      <c r="AA648" s="37"/>
      <c r="AB648" s="37"/>
      <c r="AC648" s="37"/>
      <c r="AD648" s="37"/>
      <c r="AE648" s="37"/>
      <c r="AF648" s="37"/>
      <c r="AG648" s="37"/>
      <c r="AH648" s="37"/>
    </row>
    <row r="649"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40" t="str">
        <f>IFERROR(__xludf.DUMMYFUNCTION("""COMPUTED_VALUE"""),"")</f>
        <v/>
      </c>
      <c r="Y649" s="37"/>
      <c r="Z649" s="37"/>
      <c r="AA649" s="37"/>
      <c r="AB649" s="37"/>
      <c r="AC649" s="37"/>
      <c r="AD649" s="37"/>
      <c r="AE649" s="37"/>
      <c r="AF649" s="37"/>
      <c r="AG649" s="37"/>
      <c r="AH649" s="37"/>
    </row>
    <row r="650"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40" t="str">
        <f>IFERROR(__xludf.DUMMYFUNCTION("""COMPUTED_VALUE"""),"")</f>
        <v/>
      </c>
      <c r="Y650" s="37"/>
      <c r="Z650" s="37"/>
      <c r="AA650" s="37"/>
      <c r="AB650" s="37"/>
      <c r="AC650" s="37"/>
      <c r="AD650" s="37"/>
      <c r="AE650" s="37"/>
      <c r="AF650" s="37"/>
      <c r="AG650" s="37"/>
      <c r="AH650" s="37"/>
    </row>
    <row r="651"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40" t="str">
        <f>IFERROR(__xludf.DUMMYFUNCTION("""COMPUTED_VALUE"""),"")</f>
        <v/>
      </c>
      <c r="Y651" s="37"/>
      <c r="Z651" s="37"/>
      <c r="AA651" s="37"/>
      <c r="AB651" s="37"/>
      <c r="AC651" s="37"/>
      <c r="AD651" s="37"/>
      <c r="AE651" s="37"/>
      <c r="AF651" s="37"/>
      <c r="AG651" s="37"/>
      <c r="AH651" s="37"/>
    </row>
    <row r="652"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40" t="str">
        <f>IFERROR(__xludf.DUMMYFUNCTION("""COMPUTED_VALUE"""),"")</f>
        <v/>
      </c>
      <c r="Y652" s="37"/>
      <c r="Z652" s="37"/>
      <c r="AA652" s="37"/>
      <c r="AB652" s="37"/>
      <c r="AC652" s="37"/>
      <c r="AD652" s="37"/>
      <c r="AE652" s="37"/>
      <c r="AF652" s="37"/>
      <c r="AG652" s="37"/>
      <c r="AH652" s="37"/>
    </row>
    <row r="653"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40" t="str">
        <f>IFERROR(__xludf.DUMMYFUNCTION("""COMPUTED_VALUE"""),"")</f>
        <v/>
      </c>
      <c r="Y653" s="37"/>
      <c r="Z653" s="37"/>
      <c r="AA653" s="37"/>
      <c r="AB653" s="37"/>
      <c r="AC653" s="37"/>
      <c r="AD653" s="37"/>
      <c r="AE653" s="37"/>
      <c r="AF653" s="37"/>
      <c r="AG653" s="37"/>
      <c r="AH653" s="37"/>
    </row>
    <row r="654"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40" t="str">
        <f>IFERROR(__xludf.DUMMYFUNCTION("""COMPUTED_VALUE"""),"")</f>
        <v/>
      </c>
      <c r="Y654" s="37"/>
      <c r="Z654" s="37"/>
      <c r="AA654" s="37"/>
      <c r="AB654" s="37"/>
      <c r="AC654" s="37"/>
      <c r="AD654" s="37"/>
      <c r="AE654" s="37"/>
      <c r="AF654" s="37"/>
      <c r="AG654" s="37"/>
      <c r="AH654" s="37"/>
    </row>
    <row r="655"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40" t="str">
        <f>IFERROR(__xludf.DUMMYFUNCTION("""COMPUTED_VALUE"""),"")</f>
        <v/>
      </c>
      <c r="Y655" s="37"/>
      <c r="Z655" s="37"/>
      <c r="AA655" s="37"/>
      <c r="AB655" s="37"/>
      <c r="AC655" s="37"/>
      <c r="AD655" s="37"/>
      <c r="AE655" s="37"/>
      <c r="AF655" s="37"/>
      <c r="AG655" s="37"/>
      <c r="AH655" s="37"/>
    </row>
    <row r="656"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40" t="str">
        <f>IFERROR(__xludf.DUMMYFUNCTION("""COMPUTED_VALUE"""),"")</f>
        <v/>
      </c>
      <c r="Y656" s="37"/>
      <c r="Z656" s="37"/>
      <c r="AA656" s="37"/>
      <c r="AB656" s="37"/>
      <c r="AC656" s="37"/>
      <c r="AD656" s="37"/>
      <c r="AE656" s="37"/>
      <c r="AF656" s="37"/>
      <c r="AG656" s="37"/>
      <c r="AH656" s="37"/>
    </row>
    <row r="657"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40" t="str">
        <f>IFERROR(__xludf.DUMMYFUNCTION("""COMPUTED_VALUE"""),"")</f>
        <v/>
      </c>
      <c r="Y657" s="37"/>
      <c r="Z657" s="37"/>
      <c r="AA657" s="37"/>
      <c r="AB657" s="37"/>
      <c r="AC657" s="37"/>
      <c r="AD657" s="37"/>
      <c r="AE657" s="37"/>
      <c r="AF657" s="37"/>
      <c r="AG657" s="37"/>
      <c r="AH657" s="37"/>
    </row>
    <row r="658"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40" t="str">
        <f>IFERROR(__xludf.DUMMYFUNCTION("""COMPUTED_VALUE"""),"")</f>
        <v/>
      </c>
      <c r="Y658" s="37"/>
      <c r="Z658" s="37"/>
      <c r="AA658" s="37"/>
      <c r="AB658" s="37"/>
      <c r="AC658" s="37"/>
      <c r="AD658" s="37"/>
      <c r="AE658" s="37"/>
      <c r="AF658" s="37"/>
      <c r="AG658" s="37"/>
      <c r="AH658" s="37"/>
    </row>
    <row r="659"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40" t="str">
        <f>IFERROR(__xludf.DUMMYFUNCTION("""COMPUTED_VALUE"""),"")</f>
        <v/>
      </c>
      <c r="Y659" s="37"/>
      <c r="Z659" s="37"/>
      <c r="AA659" s="37"/>
      <c r="AB659" s="37"/>
      <c r="AC659" s="37"/>
      <c r="AD659" s="37"/>
      <c r="AE659" s="37"/>
      <c r="AF659" s="37"/>
      <c r="AG659" s="37"/>
      <c r="AH659" s="37"/>
    </row>
    <row r="660"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40" t="str">
        <f>IFERROR(__xludf.DUMMYFUNCTION("""COMPUTED_VALUE"""),"")</f>
        <v/>
      </c>
      <c r="Y660" s="37"/>
      <c r="Z660" s="37"/>
      <c r="AA660" s="37"/>
      <c r="AB660" s="37"/>
      <c r="AC660" s="37"/>
      <c r="AD660" s="37"/>
      <c r="AE660" s="37"/>
      <c r="AF660" s="37"/>
      <c r="AG660" s="37"/>
      <c r="AH660" s="37"/>
    </row>
    <row r="661"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40" t="str">
        <f>IFERROR(__xludf.DUMMYFUNCTION("""COMPUTED_VALUE"""),"")</f>
        <v/>
      </c>
      <c r="Y661" s="37"/>
      <c r="Z661" s="37"/>
      <c r="AA661" s="37"/>
      <c r="AB661" s="37"/>
      <c r="AC661" s="37"/>
      <c r="AD661" s="37"/>
      <c r="AE661" s="37"/>
      <c r="AF661" s="37"/>
      <c r="AG661" s="37"/>
      <c r="AH661" s="37"/>
    </row>
    <row r="662"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40" t="str">
        <f>IFERROR(__xludf.DUMMYFUNCTION("""COMPUTED_VALUE"""),"")</f>
        <v/>
      </c>
      <c r="Y662" s="37"/>
      <c r="Z662" s="37"/>
      <c r="AA662" s="37"/>
      <c r="AB662" s="37"/>
      <c r="AC662" s="37"/>
      <c r="AD662" s="37"/>
      <c r="AE662" s="37"/>
      <c r="AF662" s="37"/>
      <c r="AG662" s="37"/>
      <c r="AH662" s="37"/>
    </row>
    <row r="663"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40" t="str">
        <f>IFERROR(__xludf.DUMMYFUNCTION("""COMPUTED_VALUE"""),"")</f>
        <v/>
      </c>
      <c r="Y663" s="37"/>
      <c r="Z663" s="37"/>
      <c r="AA663" s="37"/>
      <c r="AB663" s="37"/>
      <c r="AC663" s="37"/>
      <c r="AD663" s="37"/>
      <c r="AE663" s="37"/>
      <c r="AF663" s="37"/>
      <c r="AG663" s="37"/>
      <c r="AH663" s="37"/>
    </row>
    <row r="664"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40" t="str">
        <f>IFERROR(__xludf.DUMMYFUNCTION("""COMPUTED_VALUE"""),"")</f>
        <v/>
      </c>
      <c r="Y664" s="37"/>
      <c r="Z664" s="37"/>
      <c r="AA664" s="37"/>
      <c r="AB664" s="37"/>
      <c r="AC664" s="37"/>
      <c r="AD664" s="37"/>
      <c r="AE664" s="37"/>
      <c r="AF664" s="37"/>
      <c r="AG664" s="37"/>
      <c r="AH664" s="37"/>
    </row>
    <row r="665"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40" t="str">
        <f>IFERROR(__xludf.DUMMYFUNCTION("""COMPUTED_VALUE"""),"")</f>
        <v/>
      </c>
      <c r="Y665" s="37"/>
      <c r="Z665" s="37"/>
      <c r="AA665" s="37"/>
      <c r="AB665" s="37"/>
      <c r="AC665" s="37"/>
      <c r="AD665" s="37"/>
      <c r="AE665" s="37"/>
      <c r="AF665" s="37"/>
      <c r="AG665" s="37"/>
      <c r="AH665" s="37"/>
    </row>
    <row r="666"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40" t="str">
        <f>IFERROR(__xludf.DUMMYFUNCTION("""COMPUTED_VALUE"""),"")</f>
        <v/>
      </c>
      <c r="Y666" s="37"/>
      <c r="Z666" s="37"/>
      <c r="AA666" s="37"/>
      <c r="AB666" s="37"/>
      <c r="AC666" s="37"/>
      <c r="AD666" s="37"/>
      <c r="AE666" s="37"/>
      <c r="AF666" s="37"/>
      <c r="AG666" s="37"/>
      <c r="AH666" s="37"/>
    </row>
    <row r="667"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40" t="str">
        <f>IFERROR(__xludf.DUMMYFUNCTION("""COMPUTED_VALUE"""),"")</f>
        <v/>
      </c>
      <c r="Y667" s="37"/>
      <c r="Z667" s="37"/>
      <c r="AA667" s="37"/>
      <c r="AB667" s="37"/>
      <c r="AC667" s="37"/>
      <c r="AD667" s="37"/>
      <c r="AE667" s="37"/>
      <c r="AF667" s="37"/>
      <c r="AG667" s="37"/>
      <c r="AH667" s="37"/>
    </row>
    <row r="668"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40" t="str">
        <f>IFERROR(__xludf.DUMMYFUNCTION("""COMPUTED_VALUE"""),"")</f>
        <v/>
      </c>
      <c r="Y668" s="37"/>
      <c r="Z668" s="37"/>
      <c r="AA668" s="37"/>
      <c r="AB668" s="37"/>
      <c r="AC668" s="37"/>
      <c r="AD668" s="37"/>
      <c r="AE668" s="37"/>
      <c r="AF668" s="37"/>
      <c r="AG668" s="37"/>
      <c r="AH668" s="37"/>
    </row>
    <row r="669"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40" t="str">
        <f>IFERROR(__xludf.DUMMYFUNCTION("""COMPUTED_VALUE"""),"")</f>
        <v/>
      </c>
      <c r="Y669" s="37"/>
      <c r="Z669" s="37"/>
      <c r="AA669" s="37"/>
      <c r="AB669" s="37"/>
      <c r="AC669" s="37"/>
      <c r="AD669" s="37"/>
      <c r="AE669" s="37"/>
      <c r="AF669" s="37"/>
      <c r="AG669" s="37"/>
      <c r="AH669" s="37"/>
    </row>
    <row r="670"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40" t="str">
        <f>IFERROR(__xludf.DUMMYFUNCTION("""COMPUTED_VALUE"""),"")</f>
        <v/>
      </c>
      <c r="Y670" s="37"/>
      <c r="Z670" s="37"/>
      <c r="AA670" s="37"/>
      <c r="AB670" s="37"/>
      <c r="AC670" s="37"/>
      <c r="AD670" s="37"/>
      <c r="AE670" s="37"/>
      <c r="AF670" s="37"/>
      <c r="AG670" s="37"/>
      <c r="AH670" s="37"/>
    </row>
    <row r="671"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40" t="str">
        <f>IFERROR(__xludf.DUMMYFUNCTION("""COMPUTED_VALUE"""),"")</f>
        <v/>
      </c>
      <c r="Y671" s="37"/>
      <c r="Z671" s="37"/>
      <c r="AA671" s="37"/>
      <c r="AB671" s="37"/>
      <c r="AC671" s="37"/>
      <c r="AD671" s="37"/>
      <c r="AE671" s="37"/>
      <c r="AF671" s="37"/>
      <c r="AG671" s="37"/>
      <c r="AH671" s="37"/>
    </row>
    <row r="672"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40" t="str">
        <f>IFERROR(__xludf.DUMMYFUNCTION("""COMPUTED_VALUE"""),"")</f>
        <v/>
      </c>
      <c r="Y672" s="37"/>
      <c r="Z672" s="37"/>
      <c r="AA672" s="37"/>
      <c r="AB672" s="37"/>
      <c r="AC672" s="37"/>
      <c r="AD672" s="37"/>
      <c r="AE672" s="37"/>
      <c r="AF672" s="37"/>
      <c r="AG672" s="37"/>
      <c r="AH672" s="37"/>
    </row>
    <row r="673"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40" t="str">
        <f>IFERROR(__xludf.DUMMYFUNCTION("""COMPUTED_VALUE"""),"")</f>
        <v/>
      </c>
      <c r="Y673" s="37"/>
      <c r="Z673" s="37"/>
      <c r="AA673" s="37"/>
      <c r="AB673" s="37"/>
      <c r="AC673" s="37"/>
      <c r="AD673" s="37"/>
      <c r="AE673" s="37"/>
      <c r="AF673" s="37"/>
      <c r="AG673" s="37"/>
      <c r="AH673" s="37"/>
    </row>
    <row r="674"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40" t="str">
        <f>IFERROR(__xludf.DUMMYFUNCTION("""COMPUTED_VALUE"""),"")</f>
        <v/>
      </c>
      <c r="Y674" s="37"/>
      <c r="Z674" s="37"/>
      <c r="AA674" s="37"/>
      <c r="AB674" s="37"/>
      <c r="AC674" s="37"/>
      <c r="AD674" s="37"/>
      <c r="AE674" s="37"/>
      <c r="AF674" s="37"/>
      <c r="AG674" s="37"/>
      <c r="AH674" s="37"/>
    </row>
    <row r="675"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40" t="str">
        <f>IFERROR(__xludf.DUMMYFUNCTION("""COMPUTED_VALUE"""),"")</f>
        <v/>
      </c>
      <c r="Y675" s="37"/>
      <c r="Z675" s="37"/>
      <c r="AA675" s="37"/>
      <c r="AB675" s="37"/>
      <c r="AC675" s="37"/>
      <c r="AD675" s="37"/>
      <c r="AE675" s="37"/>
      <c r="AF675" s="37"/>
      <c r="AG675" s="37"/>
      <c r="AH675" s="37"/>
    </row>
    <row r="676"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40" t="str">
        <f>IFERROR(__xludf.DUMMYFUNCTION("""COMPUTED_VALUE"""),"")</f>
        <v/>
      </c>
      <c r="Y676" s="37"/>
      <c r="Z676" s="37"/>
      <c r="AA676" s="37"/>
      <c r="AB676" s="37"/>
      <c r="AC676" s="37"/>
      <c r="AD676" s="37"/>
      <c r="AE676" s="37"/>
      <c r="AF676" s="37"/>
      <c r="AG676" s="37"/>
      <c r="AH676" s="37"/>
    </row>
    <row r="677"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40" t="str">
        <f>IFERROR(__xludf.DUMMYFUNCTION("""COMPUTED_VALUE"""),"")</f>
        <v/>
      </c>
      <c r="Y677" s="37"/>
      <c r="Z677" s="37"/>
      <c r="AA677" s="37"/>
      <c r="AB677" s="37"/>
      <c r="AC677" s="37"/>
      <c r="AD677" s="37"/>
      <c r="AE677" s="37"/>
      <c r="AF677" s="37"/>
      <c r="AG677" s="37"/>
      <c r="AH677" s="37"/>
    </row>
    <row r="678"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40" t="str">
        <f>IFERROR(__xludf.DUMMYFUNCTION("""COMPUTED_VALUE"""),"")</f>
        <v/>
      </c>
      <c r="Y678" s="37"/>
      <c r="Z678" s="37"/>
      <c r="AA678" s="37"/>
      <c r="AB678" s="37"/>
      <c r="AC678" s="37"/>
      <c r="AD678" s="37"/>
      <c r="AE678" s="37"/>
      <c r="AF678" s="37"/>
      <c r="AG678" s="37"/>
      <c r="AH678" s="37"/>
    </row>
    <row r="679"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40" t="str">
        <f>IFERROR(__xludf.DUMMYFUNCTION("""COMPUTED_VALUE"""),"")</f>
        <v/>
      </c>
      <c r="Y679" s="37"/>
      <c r="Z679" s="37"/>
      <c r="AA679" s="37"/>
      <c r="AB679" s="37"/>
      <c r="AC679" s="37"/>
      <c r="AD679" s="37"/>
      <c r="AE679" s="37"/>
      <c r="AF679" s="37"/>
      <c r="AG679" s="37"/>
      <c r="AH679" s="37"/>
    </row>
    <row r="680"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40" t="str">
        <f>IFERROR(__xludf.DUMMYFUNCTION("""COMPUTED_VALUE"""),"")</f>
        <v/>
      </c>
      <c r="Y680" s="37"/>
      <c r="Z680" s="37"/>
      <c r="AA680" s="37"/>
      <c r="AB680" s="37"/>
      <c r="AC680" s="37"/>
      <c r="AD680" s="37"/>
      <c r="AE680" s="37"/>
      <c r="AF680" s="37"/>
      <c r="AG680" s="37"/>
      <c r="AH680" s="37"/>
    </row>
    <row r="681"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40" t="str">
        <f>IFERROR(__xludf.DUMMYFUNCTION("""COMPUTED_VALUE"""),"")</f>
        <v/>
      </c>
      <c r="Y681" s="37"/>
      <c r="Z681" s="37"/>
      <c r="AA681" s="37"/>
      <c r="AB681" s="37"/>
      <c r="AC681" s="37"/>
      <c r="AD681" s="37"/>
      <c r="AE681" s="37"/>
      <c r="AF681" s="37"/>
      <c r="AG681" s="37"/>
      <c r="AH681" s="37"/>
    </row>
    <row r="682"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40" t="str">
        <f>IFERROR(__xludf.DUMMYFUNCTION("""COMPUTED_VALUE"""),"")</f>
        <v/>
      </c>
      <c r="Y682" s="37"/>
      <c r="Z682" s="37"/>
      <c r="AA682" s="37"/>
      <c r="AB682" s="37"/>
      <c r="AC682" s="37"/>
      <c r="AD682" s="37"/>
      <c r="AE682" s="37"/>
      <c r="AF682" s="37"/>
      <c r="AG682" s="37"/>
      <c r="AH682" s="37"/>
    </row>
    <row r="683"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40" t="str">
        <f>IFERROR(__xludf.DUMMYFUNCTION("""COMPUTED_VALUE"""),"")</f>
        <v/>
      </c>
      <c r="Y683" s="37"/>
      <c r="Z683" s="37"/>
      <c r="AA683" s="37"/>
      <c r="AB683" s="37"/>
      <c r="AC683" s="37"/>
      <c r="AD683" s="37"/>
      <c r="AE683" s="37"/>
      <c r="AF683" s="37"/>
      <c r="AG683" s="37"/>
      <c r="AH683" s="37"/>
    </row>
    <row r="684"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40" t="str">
        <f>IFERROR(__xludf.DUMMYFUNCTION("""COMPUTED_VALUE"""),"")</f>
        <v/>
      </c>
      <c r="Y684" s="37"/>
      <c r="Z684" s="37"/>
      <c r="AA684" s="37"/>
      <c r="AB684" s="37"/>
      <c r="AC684" s="37"/>
      <c r="AD684" s="37"/>
      <c r="AE684" s="37"/>
      <c r="AF684" s="37"/>
      <c r="AG684" s="37"/>
      <c r="AH684" s="37"/>
    </row>
    <row r="685"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40" t="str">
        <f>IFERROR(__xludf.DUMMYFUNCTION("""COMPUTED_VALUE"""),"")</f>
        <v/>
      </c>
      <c r="Y685" s="37"/>
      <c r="Z685" s="37"/>
      <c r="AA685" s="37"/>
      <c r="AB685" s="37"/>
      <c r="AC685" s="37"/>
      <c r="AD685" s="37"/>
      <c r="AE685" s="37"/>
      <c r="AF685" s="37"/>
      <c r="AG685" s="37"/>
      <c r="AH685" s="37"/>
    </row>
    <row r="686"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40" t="str">
        <f>IFERROR(__xludf.DUMMYFUNCTION("""COMPUTED_VALUE"""),"")</f>
        <v/>
      </c>
      <c r="Y686" s="37"/>
      <c r="Z686" s="37"/>
      <c r="AA686" s="37"/>
      <c r="AB686" s="37"/>
      <c r="AC686" s="37"/>
      <c r="AD686" s="37"/>
      <c r="AE686" s="37"/>
      <c r="AF686" s="37"/>
      <c r="AG686" s="37"/>
      <c r="AH686" s="37"/>
    </row>
    <row r="687"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40" t="str">
        <f>IFERROR(__xludf.DUMMYFUNCTION("""COMPUTED_VALUE"""),"")</f>
        <v/>
      </c>
      <c r="Y687" s="37"/>
      <c r="Z687" s="37"/>
      <c r="AA687" s="37"/>
      <c r="AB687" s="37"/>
      <c r="AC687" s="37"/>
      <c r="AD687" s="37"/>
      <c r="AE687" s="37"/>
      <c r="AF687" s="37"/>
      <c r="AG687" s="37"/>
      <c r="AH687" s="37"/>
    </row>
    <row r="688"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40" t="str">
        <f>IFERROR(__xludf.DUMMYFUNCTION("""COMPUTED_VALUE"""),"")</f>
        <v/>
      </c>
      <c r="Y688" s="37"/>
      <c r="Z688" s="37"/>
      <c r="AA688" s="37"/>
      <c r="AB688" s="37"/>
      <c r="AC688" s="37"/>
      <c r="AD688" s="37"/>
      <c r="AE688" s="37"/>
      <c r="AF688" s="37"/>
      <c r="AG688" s="37"/>
      <c r="AH688" s="37"/>
    </row>
    <row r="689"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40" t="str">
        <f>IFERROR(__xludf.DUMMYFUNCTION("""COMPUTED_VALUE"""),"")</f>
        <v/>
      </c>
      <c r="Y689" s="37"/>
      <c r="Z689" s="37"/>
      <c r="AA689" s="37"/>
      <c r="AB689" s="37"/>
      <c r="AC689" s="37"/>
      <c r="AD689" s="37"/>
      <c r="AE689" s="37"/>
      <c r="AF689" s="37"/>
      <c r="AG689" s="37"/>
      <c r="AH689" s="37"/>
    </row>
    <row r="690"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40" t="str">
        <f>IFERROR(__xludf.DUMMYFUNCTION("""COMPUTED_VALUE"""),"")</f>
        <v/>
      </c>
      <c r="Y690" s="37"/>
      <c r="Z690" s="37"/>
      <c r="AA690" s="37"/>
      <c r="AB690" s="37"/>
      <c r="AC690" s="37"/>
      <c r="AD690" s="37"/>
      <c r="AE690" s="37"/>
      <c r="AF690" s="37"/>
      <c r="AG690" s="37"/>
      <c r="AH690" s="37"/>
    </row>
    <row r="691"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40" t="str">
        <f>IFERROR(__xludf.DUMMYFUNCTION("""COMPUTED_VALUE"""),"")</f>
        <v/>
      </c>
      <c r="Y691" s="37"/>
      <c r="Z691" s="37"/>
      <c r="AA691" s="37"/>
      <c r="AB691" s="37"/>
      <c r="AC691" s="37"/>
      <c r="AD691" s="37"/>
      <c r="AE691" s="37"/>
      <c r="AF691" s="37"/>
      <c r="AG691" s="37"/>
      <c r="AH691" s="37"/>
    </row>
    <row r="692"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40" t="str">
        <f>IFERROR(__xludf.DUMMYFUNCTION("""COMPUTED_VALUE"""),"")</f>
        <v/>
      </c>
      <c r="Y692" s="37"/>
      <c r="Z692" s="37"/>
      <c r="AA692" s="37"/>
      <c r="AB692" s="37"/>
      <c r="AC692" s="37"/>
      <c r="AD692" s="37"/>
      <c r="AE692" s="37"/>
      <c r="AF692" s="37"/>
      <c r="AG692" s="37"/>
      <c r="AH692" s="37"/>
    </row>
    <row r="693"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40" t="str">
        <f>IFERROR(__xludf.DUMMYFUNCTION("""COMPUTED_VALUE"""),"")</f>
        <v/>
      </c>
      <c r="Y693" s="37"/>
      <c r="Z693" s="37"/>
      <c r="AA693" s="37"/>
      <c r="AB693" s="37"/>
      <c r="AC693" s="37"/>
      <c r="AD693" s="37"/>
      <c r="AE693" s="37"/>
      <c r="AF693" s="37"/>
      <c r="AG693" s="37"/>
      <c r="AH693" s="37"/>
    </row>
    <row r="694"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40" t="str">
        <f>IFERROR(__xludf.DUMMYFUNCTION("""COMPUTED_VALUE"""),"")</f>
        <v/>
      </c>
      <c r="Y694" s="37"/>
      <c r="Z694" s="37"/>
      <c r="AA694" s="37"/>
      <c r="AB694" s="37"/>
      <c r="AC694" s="37"/>
      <c r="AD694" s="37"/>
      <c r="AE694" s="37"/>
      <c r="AF694" s="37"/>
      <c r="AG694" s="37"/>
      <c r="AH694" s="37"/>
    </row>
    <row r="695"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40" t="str">
        <f>IFERROR(__xludf.DUMMYFUNCTION("""COMPUTED_VALUE"""),"")</f>
        <v/>
      </c>
      <c r="Y695" s="37"/>
      <c r="Z695" s="37"/>
      <c r="AA695" s="37"/>
      <c r="AB695" s="37"/>
      <c r="AC695" s="37"/>
      <c r="AD695" s="37"/>
      <c r="AE695" s="37"/>
      <c r="AF695" s="37"/>
      <c r="AG695" s="37"/>
      <c r="AH695" s="37"/>
    </row>
    <row r="696"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40" t="str">
        <f>IFERROR(__xludf.DUMMYFUNCTION("""COMPUTED_VALUE"""),"")</f>
        <v/>
      </c>
      <c r="Y696" s="37"/>
      <c r="Z696" s="37"/>
      <c r="AA696" s="37"/>
      <c r="AB696" s="37"/>
      <c r="AC696" s="37"/>
      <c r="AD696" s="37"/>
      <c r="AE696" s="37"/>
      <c r="AF696" s="37"/>
      <c r="AG696" s="37"/>
      <c r="AH696" s="37"/>
    </row>
    <row r="697"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40" t="str">
        <f>IFERROR(__xludf.DUMMYFUNCTION("""COMPUTED_VALUE"""),"")</f>
        <v/>
      </c>
      <c r="Y697" s="37"/>
      <c r="Z697" s="37"/>
      <c r="AA697" s="37"/>
      <c r="AB697" s="37"/>
      <c r="AC697" s="37"/>
      <c r="AD697" s="37"/>
      <c r="AE697" s="37"/>
      <c r="AF697" s="37"/>
      <c r="AG697" s="37"/>
      <c r="AH697" s="37"/>
    </row>
    <row r="698"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40" t="str">
        <f>IFERROR(__xludf.DUMMYFUNCTION("""COMPUTED_VALUE"""),"")</f>
        <v/>
      </c>
      <c r="Y698" s="37"/>
      <c r="Z698" s="37"/>
      <c r="AA698" s="37"/>
      <c r="AB698" s="37"/>
      <c r="AC698" s="37"/>
      <c r="AD698" s="37"/>
      <c r="AE698" s="37"/>
      <c r="AF698" s="37"/>
      <c r="AG698" s="37"/>
      <c r="AH698" s="37"/>
    </row>
    <row r="699"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40" t="str">
        <f>IFERROR(__xludf.DUMMYFUNCTION("""COMPUTED_VALUE"""),"")</f>
        <v/>
      </c>
      <c r="Y699" s="37"/>
      <c r="Z699" s="37"/>
      <c r="AA699" s="37"/>
      <c r="AB699" s="37"/>
      <c r="AC699" s="37"/>
      <c r="AD699" s="37"/>
      <c r="AE699" s="37"/>
      <c r="AF699" s="37"/>
      <c r="AG699" s="37"/>
      <c r="AH699" s="37"/>
    </row>
    <row r="700"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40" t="str">
        <f>IFERROR(__xludf.DUMMYFUNCTION("""COMPUTED_VALUE"""),"")</f>
        <v/>
      </c>
      <c r="Y700" s="37"/>
      <c r="Z700" s="37"/>
      <c r="AA700" s="37"/>
      <c r="AB700" s="37"/>
      <c r="AC700" s="37"/>
      <c r="AD700" s="37"/>
      <c r="AE700" s="37"/>
      <c r="AF700" s="37"/>
      <c r="AG700" s="37"/>
      <c r="AH700" s="37"/>
    </row>
    <row r="701"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40" t="str">
        <f>IFERROR(__xludf.DUMMYFUNCTION("""COMPUTED_VALUE"""),"")</f>
        <v/>
      </c>
      <c r="Y701" s="37"/>
      <c r="Z701" s="37"/>
      <c r="AA701" s="37"/>
      <c r="AB701" s="37"/>
      <c r="AC701" s="37"/>
      <c r="AD701" s="37"/>
      <c r="AE701" s="37"/>
      <c r="AF701" s="37"/>
      <c r="AG701" s="37"/>
      <c r="AH701" s="37"/>
    </row>
    <row r="702"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40" t="str">
        <f>IFERROR(__xludf.DUMMYFUNCTION("""COMPUTED_VALUE"""),"")</f>
        <v/>
      </c>
      <c r="Y702" s="37"/>
      <c r="Z702" s="37"/>
      <c r="AA702" s="37"/>
      <c r="AB702" s="37"/>
      <c r="AC702" s="37"/>
      <c r="AD702" s="37"/>
      <c r="AE702" s="37"/>
      <c r="AF702" s="37"/>
      <c r="AG702" s="37"/>
      <c r="AH702" s="37"/>
    </row>
    <row r="703"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40" t="str">
        <f>IFERROR(__xludf.DUMMYFUNCTION("""COMPUTED_VALUE"""),"")</f>
        <v/>
      </c>
      <c r="Y703" s="37"/>
      <c r="Z703" s="37"/>
      <c r="AA703" s="37"/>
      <c r="AB703" s="37"/>
      <c r="AC703" s="37"/>
      <c r="AD703" s="37"/>
      <c r="AE703" s="37"/>
      <c r="AF703" s="37"/>
      <c r="AG703" s="37"/>
      <c r="AH703" s="37"/>
    </row>
    <row r="704"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40" t="str">
        <f>IFERROR(__xludf.DUMMYFUNCTION("""COMPUTED_VALUE"""),"")</f>
        <v/>
      </c>
      <c r="Y704" s="37"/>
      <c r="Z704" s="37"/>
      <c r="AA704" s="37"/>
      <c r="AB704" s="37"/>
      <c r="AC704" s="37"/>
      <c r="AD704" s="37"/>
      <c r="AE704" s="37"/>
      <c r="AF704" s="37"/>
      <c r="AG704" s="37"/>
      <c r="AH704" s="37"/>
    </row>
    <row r="705"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40" t="str">
        <f>IFERROR(__xludf.DUMMYFUNCTION("""COMPUTED_VALUE"""),"")</f>
        <v/>
      </c>
      <c r="Y705" s="37"/>
      <c r="Z705" s="37"/>
      <c r="AA705" s="37"/>
      <c r="AB705" s="37"/>
      <c r="AC705" s="37"/>
      <c r="AD705" s="37"/>
      <c r="AE705" s="37"/>
      <c r="AF705" s="37"/>
      <c r="AG705" s="37"/>
      <c r="AH705" s="37"/>
    </row>
    <row r="706"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40" t="str">
        <f>IFERROR(__xludf.DUMMYFUNCTION("""COMPUTED_VALUE"""),"")</f>
        <v/>
      </c>
      <c r="Y706" s="37"/>
      <c r="Z706" s="37"/>
      <c r="AA706" s="37"/>
      <c r="AB706" s="37"/>
      <c r="AC706" s="37"/>
      <c r="AD706" s="37"/>
      <c r="AE706" s="37"/>
      <c r="AF706" s="37"/>
      <c r="AG706" s="37"/>
      <c r="AH706" s="37"/>
    </row>
    <row r="707"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40" t="str">
        <f>IFERROR(__xludf.DUMMYFUNCTION("""COMPUTED_VALUE"""),"")</f>
        <v/>
      </c>
      <c r="Y707" s="37"/>
      <c r="Z707" s="37"/>
      <c r="AA707" s="37"/>
      <c r="AB707" s="37"/>
      <c r="AC707" s="37"/>
      <c r="AD707" s="37"/>
      <c r="AE707" s="37"/>
      <c r="AF707" s="37"/>
      <c r="AG707" s="37"/>
      <c r="AH707" s="37"/>
    </row>
    <row r="708"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40" t="str">
        <f>IFERROR(__xludf.DUMMYFUNCTION("""COMPUTED_VALUE"""),"")</f>
        <v/>
      </c>
      <c r="Y708" s="37"/>
      <c r="Z708" s="37"/>
      <c r="AA708" s="37"/>
      <c r="AB708" s="37"/>
      <c r="AC708" s="37"/>
      <c r="AD708" s="37"/>
      <c r="AE708" s="37"/>
      <c r="AF708" s="37"/>
      <c r="AG708" s="37"/>
      <c r="AH708" s="37"/>
    </row>
    <row r="709"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40" t="str">
        <f>IFERROR(__xludf.DUMMYFUNCTION("""COMPUTED_VALUE"""),"")</f>
        <v/>
      </c>
      <c r="Y709" s="37"/>
      <c r="Z709" s="37"/>
      <c r="AA709" s="37"/>
      <c r="AB709" s="37"/>
      <c r="AC709" s="37"/>
      <c r="AD709" s="37"/>
      <c r="AE709" s="37"/>
      <c r="AF709" s="37"/>
      <c r="AG709" s="37"/>
      <c r="AH709" s="37"/>
    </row>
    <row r="710"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40" t="str">
        <f>IFERROR(__xludf.DUMMYFUNCTION("""COMPUTED_VALUE"""),"")</f>
        <v/>
      </c>
      <c r="Y710" s="37"/>
      <c r="Z710" s="37"/>
      <c r="AA710" s="37"/>
      <c r="AB710" s="37"/>
      <c r="AC710" s="37"/>
      <c r="AD710" s="37"/>
      <c r="AE710" s="37"/>
      <c r="AF710" s="37"/>
      <c r="AG710" s="37"/>
      <c r="AH710" s="37"/>
    </row>
    <row r="711"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40" t="str">
        <f>IFERROR(__xludf.DUMMYFUNCTION("""COMPUTED_VALUE"""),"")</f>
        <v/>
      </c>
      <c r="Y711" s="37"/>
      <c r="Z711" s="37"/>
      <c r="AA711" s="37"/>
      <c r="AB711" s="37"/>
      <c r="AC711" s="37"/>
      <c r="AD711" s="37"/>
      <c r="AE711" s="37"/>
      <c r="AF711" s="37"/>
      <c r="AG711" s="37"/>
      <c r="AH711" s="37"/>
    </row>
    <row r="712"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40" t="str">
        <f>IFERROR(__xludf.DUMMYFUNCTION("""COMPUTED_VALUE"""),"")</f>
        <v/>
      </c>
      <c r="Y712" s="37"/>
      <c r="Z712" s="37"/>
      <c r="AA712" s="37"/>
      <c r="AB712" s="37"/>
      <c r="AC712" s="37"/>
      <c r="AD712" s="37"/>
      <c r="AE712" s="37"/>
      <c r="AF712" s="37"/>
      <c r="AG712" s="37"/>
      <c r="AH712" s="37"/>
    </row>
    <row r="713"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40" t="str">
        <f>IFERROR(__xludf.DUMMYFUNCTION("""COMPUTED_VALUE"""),"")</f>
        <v/>
      </c>
      <c r="Y713" s="37"/>
      <c r="Z713" s="37"/>
      <c r="AA713" s="37"/>
      <c r="AB713" s="37"/>
      <c r="AC713" s="37"/>
      <c r="AD713" s="37"/>
      <c r="AE713" s="37"/>
      <c r="AF713" s="37"/>
      <c r="AG713" s="37"/>
      <c r="AH713" s="37"/>
    </row>
    <row r="714"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40" t="str">
        <f>IFERROR(__xludf.DUMMYFUNCTION("""COMPUTED_VALUE"""),"")</f>
        <v/>
      </c>
      <c r="Y714" s="37"/>
      <c r="Z714" s="37"/>
      <c r="AA714" s="37"/>
      <c r="AB714" s="37"/>
      <c r="AC714" s="37"/>
      <c r="AD714" s="37"/>
      <c r="AE714" s="37"/>
      <c r="AF714" s="37"/>
      <c r="AG714" s="37"/>
      <c r="AH714" s="37"/>
    </row>
    <row r="715"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40" t="str">
        <f>IFERROR(__xludf.DUMMYFUNCTION("""COMPUTED_VALUE"""),"")</f>
        <v/>
      </c>
      <c r="Y715" s="37"/>
      <c r="Z715" s="37"/>
      <c r="AA715" s="37"/>
      <c r="AB715" s="37"/>
      <c r="AC715" s="37"/>
      <c r="AD715" s="37"/>
      <c r="AE715" s="37"/>
      <c r="AF715" s="37"/>
      <c r="AG715" s="37"/>
      <c r="AH715" s="37"/>
    </row>
    <row r="716"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40" t="str">
        <f>IFERROR(__xludf.DUMMYFUNCTION("""COMPUTED_VALUE"""),"")</f>
        <v/>
      </c>
      <c r="Y716" s="37"/>
      <c r="Z716" s="37"/>
      <c r="AA716" s="37"/>
      <c r="AB716" s="37"/>
      <c r="AC716" s="37"/>
      <c r="AD716" s="37"/>
      <c r="AE716" s="37"/>
      <c r="AF716" s="37"/>
      <c r="AG716" s="37"/>
      <c r="AH716" s="37"/>
    </row>
    <row r="717"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40" t="str">
        <f>IFERROR(__xludf.DUMMYFUNCTION("""COMPUTED_VALUE"""),"")</f>
        <v/>
      </c>
      <c r="Y717" s="37"/>
      <c r="Z717" s="37"/>
      <c r="AA717" s="37"/>
      <c r="AB717" s="37"/>
      <c r="AC717" s="37"/>
      <c r="AD717" s="37"/>
      <c r="AE717" s="37"/>
      <c r="AF717" s="37"/>
      <c r="AG717" s="37"/>
      <c r="AH717" s="37"/>
    </row>
    <row r="718"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40" t="str">
        <f>IFERROR(__xludf.DUMMYFUNCTION("""COMPUTED_VALUE"""),"")</f>
        <v/>
      </c>
      <c r="Y718" s="37"/>
      <c r="Z718" s="37"/>
      <c r="AA718" s="37"/>
      <c r="AB718" s="37"/>
      <c r="AC718" s="37"/>
      <c r="AD718" s="37"/>
      <c r="AE718" s="37"/>
      <c r="AF718" s="37"/>
      <c r="AG718" s="37"/>
      <c r="AH718" s="37"/>
    </row>
    <row r="719"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40" t="str">
        <f>IFERROR(__xludf.DUMMYFUNCTION("""COMPUTED_VALUE"""),"")</f>
        <v/>
      </c>
      <c r="Y719" s="37"/>
      <c r="Z719" s="37"/>
      <c r="AA719" s="37"/>
      <c r="AB719" s="37"/>
      <c r="AC719" s="37"/>
      <c r="AD719" s="37"/>
      <c r="AE719" s="37"/>
      <c r="AF719" s="37"/>
      <c r="AG719" s="37"/>
      <c r="AH719" s="37"/>
    </row>
    <row r="720"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40" t="str">
        <f>IFERROR(__xludf.DUMMYFUNCTION("""COMPUTED_VALUE"""),"")</f>
        <v/>
      </c>
      <c r="Y720" s="37"/>
      <c r="Z720" s="37"/>
      <c r="AA720" s="37"/>
      <c r="AB720" s="37"/>
      <c r="AC720" s="37"/>
      <c r="AD720" s="37"/>
      <c r="AE720" s="37"/>
      <c r="AF720" s="37"/>
      <c r="AG720" s="37"/>
      <c r="AH720" s="37"/>
    </row>
    <row r="721"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40" t="str">
        <f>IFERROR(__xludf.DUMMYFUNCTION("""COMPUTED_VALUE"""),"")</f>
        <v/>
      </c>
      <c r="Y721" s="37"/>
      <c r="Z721" s="37"/>
      <c r="AA721" s="37"/>
      <c r="AB721" s="37"/>
      <c r="AC721" s="37"/>
      <c r="AD721" s="37"/>
      <c r="AE721" s="37"/>
      <c r="AF721" s="37"/>
      <c r="AG721" s="37"/>
      <c r="AH721" s="37"/>
    </row>
    <row r="722"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40" t="str">
        <f>IFERROR(__xludf.DUMMYFUNCTION("""COMPUTED_VALUE"""),"")</f>
        <v/>
      </c>
      <c r="Y722" s="37"/>
      <c r="Z722" s="37"/>
      <c r="AA722" s="37"/>
      <c r="AB722" s="37"/>
      <c r="AC722" s="37"/>
      <c r="AD722" s="37"/>
      <c r="AE722" s="37"/>
      <c r="AF722" s="37"/>
      <c r="AG722" s="37"/>
      <c r="AH722" s="37"/>
    </row>
    <row r="723"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40" t="str">
        <f>IFERROR(__xludf.DUMMYFUNCTION("""COMPUTED_VALUE"""),"")</f>
        <v/>
      </c>
      <c r="Y723" s="37"/>
      <c r="Z723" s="37"/>
      <c r="AA723" s="37"/>
      <c r="AB723" s="37"/>
      <c r="AC723" s="37"/>
      <c r="AD723" s="37"/>
      <c r="AE723" s="37"/>
      <c r="AF723" s="37"/>
      <c r="AG723" s="37"/>
      <c r="AH723" s="37"/>
    </row>
    <row r="724"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40" t="str">
        <f>IFERROR(__xludf.DUMMYFUNCTION("""COMPUTED_VALUE"""),"")</f>
        <v/>
      </c>
      <c r="Y724" s="37"/>
      <c r="Z724" s="37"/>
      <c r="AA724" s="37"/>
      <c r="AB724" s="37"/>
      <c r="AC724" s="37"/>
      <c r="AD724" s="37"/>
      <c r="AE724" s="37"/>
      <c r="AF724" s="37"/>
      <c r="AG724" s="37"/>
      <c r="AH724" s="37"/>
    </row>
    <row r="725"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40" t="str">
        <f>IFERROR(__xludf.DUMMYFUNCTION("""COMPUTED_VALUE"""),"")</f>
        <v/>
      </c>
      <c r="Y725" s="37"/>
      <c r="Z725" s="37"/>
      <c r="AA725" s="37"/>
      <c r="AB725" s="37"/>
      <c r="AC725" s="37"/>
      <c r="AD725" s="37"/>
      <c r="AE725" s="37"/>
      <c r="AF725" s="37"/>
      <c r="AG725" s="37"/>
      <c r="AH725" s="37"/>
    </row>
    <row r="726"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40" t="str">
        <f>IFERROR(__xludf.DUMMYFUNCTION("""COMPUTED_VALUE"""),"")</f>
        <v/>
      </c>
      <c r="Y726" s="37"/>
      <c r="Z726" s="37"/>
      <c r="AA726" s="37"/>
      <c r="AB726" s="37"/>
      <c r="AC726" s="37"/>
      <c r="AD726" s="37"/>
      <c r="AE726" s="37"/>
      <c r="AF726" s="37"/>
      <c r="AG726" s="37"/>
      <c r="AH726" s="37"/>
    </row>
    <row r="727"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40" t="str">
        <f>IFERROR(__xludf.DUMMYFUNCTION("""COMPUTED_VALUE"""),"")</f>
        <v/>
      </c>
      <c r="Y727" s="37"/>
      <c r="Z727" s="37"/>
      <c r="AA727" s="37"/>
      <c r="AB727" s="37"/>
      <c r="AC727" s="37"/>
      <c r="AD727" s="37"/>
      <c r="AE727" s="37"/>
      <c r="AF727" s="37"/>
      <c r="AG727" s="37"/>
      <c r="AH727" s="37"/>
    </row>
    <row r="728"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40" t="str">
        <f>IFERROR(__xludf.DUMMYFUNCTION("""COMPUTED_VALUE"""),"")</f>
        <v/>
      </c>
      <c r="Y728" s="37"/>
      <c r="Z728" s="37"/>
      <c r="AA728" s="37"/>
      <c r="AB728" s="37"/>
      <c r="AC728" s="37"/>
      <c r="AD728" s="37"/>
      <c r="AE728" s="37"/>
      <c r="AF728" s="37"/>
      <c r="AG728" s="37"/>
      <c r="AH728" s="37"/>
    </row>
    <row r="729"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40" t="str">
        <f>IFERROR(__xludf.DUMMYFUNCTION("""COMPUTED_VALUE"""),"")</f>
        <v/>
      </c>
      <c r="Y729" s="37"/>
      <c r="Z729" s="37"/>
      <c r="AA729" s="37"/>
      <c r="AB729" s="37"/>
      <c r="AC729" s="37"/>
      <c r="AD729" s="37"/>
      <c r="AE729" s="37"/>
      <c r="AF729" s="37"/>
      <c r="AG729" s="37"/>
      <c r="AH729" s="37"/>
    </row>
    <row r="730"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40" t="str">
        <f>IFERROR(__xludf.DUMMYFUNCTION("""COMPUTED_VALUE"""),"")</f>
        <v/>
      </c>
      <c r="Y730" s="37"/>
      <c r="Z730" s="37"/>
      <c r="AA730" s="37"/>
      <c r="AB730" s="37"/>
      <c r="AC730" s="37"/>
      <c r="AD730" s="37"/>
      <c r="AE730" s="37"/>
      <c r="AF730" s="37"/>
      <c r="AG730" s="37"/>
      <c r="AH730" s="37"/>
    </row>
    <row r="731"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40" t="str">
        <f>IFERROR(__xludf.DUMMYFUNCTION("""COMPUTED_VALUE"""),"")</f>
        <v/>
      </c>
      <c r="Y731" s="37"/>
      <c r="Z731" s="37"/>
      <c r="AA731" s="37"/>
      <c r="AB731" s="37"/>
      <c r="AC731" s="37"/>
      <c r="AD731" s="37"/>
      <c r="AE731" s="37"/>
      <c r="AF731" s="37"/>
      <c r="AG731" s="37"/>
      <c r="AH731" s="37"/>
    </row>
    <row r="732"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40" t="str">
        <f>IFERROR(__xludf.DUMMYFUNCTION("""COMPUTED_VALUE"""),"")</f>
        <v/>
      </c>
      <c r="Y732" s="37"/>
      <c r="Z732" s="37"/>
      <c r="AA732" s="37"/>
      <c r="AB732" s="37"/>
      <c r="AC732" s="37"/>
      <c r="AD732" s="37"/>
      <c r="AE732" s="37"/>
      <c r="AF732" s="37"/>
      <c r="AG732" s="37"/>
      <c r="AH732" s="37"/>
    </row>
    <row r="733"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40" t="str">
        <f>IFERROR(__xludf.DUMMYFUNCTION("""COMPUTED_VALUE"""),"")</f>
        <v/>
      </c>
      <c r="Y733" s="37"/>
      <c r="Z733" s="37"/>
      <c r="AA733" s="37"/>
      <c r="AB733" s="37"/>
      <c r="AC733" s="37"/>
      <c r="AD733" s="37"/>
      <c r="AE733" s="37"/>
      <c r="AF733" s="37"/>
      <c r="AG733" s="37"/>
      <c r="AH733" s="37"/>
    </row>
    <row r="734"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40" t="str">
        <f>IFERROR(__xludf.DUMMYFUNCTION("""COMPUTED_VALUE"""),"")</f>
        <v/>
      </c>
      <c r="Y734" s="37"/>
      <c r="Z734" s="37"/>
      <c r="AA734" s="37"/>
      <c r="AB734" s="37"/>
      <c r="AC734" s="37"/>
      <c r="AD734" s="37"/>
      <c r="AE734" s="37"/>
      <c r="AF734" s="37"/>
      <c r="AG734" s="37"/>
      <c r="AH734" s="37"/>
    </row>
    <row r="735"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40" t="str">
        <f>IFERROR(__xludf.DUMMYFUNCTION("""COMPUTED_VALUE"""),"")</f>
        <v/>
      </c>
      <c r="Y735" s="37"/>
      <c r="Z735" s="37"/>
      <c r="AA735" s="37"/>
      <c r="AB735" s="37"/>
      <c r="AC735" s="37"/>
      <c r="AD735" s="37"/>
      <c r="AE735" s="37"/>
      <c r="AF735" s="37"/>
      <c r="AG735" s="37"/>
      <c r="AH735" s="37"/>
    </row>
    <row r="736"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40" t="str">
        <f>IFERROR(__xludf.DUMMYFUNCTION("""COMPUTED_VALUE"""),"")</f>
        <v/>
      </c>
      <c r="Y736" s="37"/>
      <c r="Z736" s="37"/>
      <c r="AA736" s="37"/>
      <c r="AB736" s="37"/>
      <c r="AC736" s="37"/>
      <c r="AD736" s="37"/>
      <c r="AE736" s="37"/>
      <c r="AF736" s="37"/>
      <c r="AG736" s="37"/>
      <c r="AH736" s="37"/>
    </row>
    <row r="737"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40" t="str">
        <f>IFERROR(__xludf.DUMMYFUNCTION("""COMPUTED_VALUE"""),"")</f>
        <v/>
      </c>
      <c r="Y737" s="37"/>
      <c r="Z737" s="37"/>
      <c r="AA737" s="37"/>
      <c r="AB737" s="37"/>
      <c r="AC737" s="37"/>
      <c r="AD737" s="37"/>
      <c r="AE737" s="37"/>
      <c r="AF737" s="37"/>
      <c r="AG737" s="37"/>
      <c r="AH737" s="37"/>
    </row>
    <row r="738"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40" t="str">
        <f>IFERROR(__xludf.DUMMYFUNCTION("""COMPUTED_VALUE"""),"")</f>
        <v/>
      </c>
      <c r="Y738" s="37"/>
      <c r="Z738" s="37"/>
      <c r="AA738" s="37"/>
      <c r="AB738" s="37"/>
      <c r="AC738" s="37"/>
      <c r="AD738" s="37"/>
      <c r="AE738" s="37"/>
      <c r="AF738" s="37"/>
      <c r="AG738" s="37"/>
      <c r="AH738" s="37"/>
    </row>
    <row r="739"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40" t="str">
        <f>IFERROR(__xludf.DUMMYFUNCTION("""COMPUTED_VALUE"""),"")</f>
        <v/>
      </c>
      <c r="Y739" s="37"/>
      <c r="Z739" s="37"/>
      <c r="AA739" s="37"/>
      <c r="AB739" s="37"/>
      <c r="AC739" s="37"/>
      <c r="AD739" s="37"/>
      <c r="AE739" s="37"/>
      <c r="AF739" s="37"/>
      <c r="AG739" s="37"/>
      <c r="AH739" s="37"/>
    </row>
    <row r="740"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40" t="str">
        <f>IFERROR(__xludf.DUMMYFUNCTION("""COMPUTED_VALUE"""),"")</f>
        <v/>
      </c>
      <c r="Y740" s="37"/>
      <c r="Z740" s="37"/>
      <c r="AA740" s="37"/>
      <c r="AB740" s="37"/>
      <c r="AC740" s="37"/>
      <c r="AD740" s="37"/>
      <c r="AE740" s="37"/>
      <c r="AF740" s="37"/>
      <c r="AG740" s="37"/>
      <c r="AH740" s="37"/>
    </row>
    <row r="741"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40" t="str">
        <f>IFERROR(__xludf.DUMMYFUNCTION("""COMPUTED_VALUE"""),"")</f>
        <v/>
      </c>
      <c r="Y741" s="37"/>
      <c r="Z741" s="37"/>
      <c r="AA741" s="37"/>
      <c r="AB741" s="37"/>
      <c r="AC741" s="37"/>
      <c r="AD741" s="37"/>
      <c r="AE741" s="37"/>
      <c r="AF741" s="37"/>
      <c r="AG741" s="37"/>
      <c r="AH741" s="37"/>
    </row>
    <row r="742"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40" t="str">
        <f>IFERROR(__xludf.DUMMYFUNCTION("""COMPUTED_VALUE"""),"")</f>
        <v/>
      </c>
      <c r="Y742" s="37"/>
      <c r="Z742" s="37"/>
      <c r="AA742" s="37"/>
      <c r="AB742" s="37"/>
      <c r="AC742" s="37"/>
      <c r="AD742" s="37"/>
      <c r="AE742" s="37"/>
      <c r="AF742" s="37"/>
      <c r="AG742" s="37"/>
      <c r="AH742" s="37"/>
    </row>
    <row r="743"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40" t="str">
        <f>IFERROR(__xludf.DUMMYFUNCTION("""COMPUTED_VALUE"""),"")</f>
        <v/>
      </c>
      <c r="Y743" s="37"/>
      <c r="Z743" s="37"/>
      <c r="AA743" s="37"/>
      <c r="AB743" s="37"/>
      <c r="AC743" s="37"/>
      <c r="AD743" s="37"/>
      <c r="AE743" s="37"/>
      <c r="AF743" s="37"/>
      <c r="AG743" s="37"/>
      <c r="AH743" s="37"/>
    </row>
    <row r="744"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40" t="str">
        <f>IFERROR(__xludf.DUMMYFUNCTION("""COMPUTED_VALUE"""),"")</f>
        <v/>
      </c>
      <c r="Y744" s="37"/>
      <c r="Z744" s="37"/>
      <c r="AA744" s="37"/>
      <c r="AB744" s="37"/>
      <c r="AC744" s="37"/>
      <c r="AD744" s="37"/>
      <c r="AE744" s="37"/>
      <c r="AF744" s="37"/>
      <c r="AG744" s="37"/>
      <c r="AH744" s="37"/>
    </row>
    <row r="745"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40" t="str">
        <f>IFERROR(__xludf.DUMMYFUNCTION("""COMPUTED_VALUE"""),"")</f>
        <v/>
      </c>
      <c r="Y745" s="37"/>
      <c r="Z745" s="37"/>
      <c r="AA745" s="37"/>
      <c r="AB745" s="37"/>
      <c r="AC745" s="37"/>
      <c r="AD745" s="37"/>
      <c r="AE745" s="37"/>
      <c r="AF745" s="37"/>
      <c r="AG745" s="37"/>
      <c r="AH745" s="37"/>
    </row>
    <row r="746"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40" t="str">
        <f>IFERROR(__xludf.DUMMYFUNCTION("""COMPUTED_VALUE"""),"")</f>
        <v/>
      </c>
      <c r="Y746" s="37"/>
      <c r="Z746" s="37"/>
      <c r="AA746" s="37"/>
      <c r="AB746" s="37"/>
      <c r="AC746" s="37"/>
      <c r="AD746" s="37"/>
      <c r="AE746" s="37"/>
      <c r="AF746" s="37"/>
      <c r="AG746" s="37"/>
      <c r="AH746" s="37"/>
    </row>
    <row r="747"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40" t="str">
        <f>IFERROR(__xludf.DUMMYFUNCTION("""COMPUTED_VALUE"""),"")</f>
        <v/>
      </c>
      <c r="Y747" s="37"/>
      <c r="Z747" s="37"/>
      <c r="AA747" s="37"/>
      <c r="AB747" s="37"/>
      <c r="AC747" s="37"/>
      <c r="AD747" s="37"/>
      <c r="AE747" s="37"/>
      <c r="AF747" s="37"/>
      <c r="AG747" s="37"/>
      <c r="AH747" s="37"/>
    </row>
    <row r="748"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40" t="str">
        <f>IFERROR(__xludf.DUMMYFUNCTION("""COMPUTED_VALUE"""),"")</f>
        <v/>
      </c>
      <c r="Y748" s="37"/>
      <c r="Z748" s="37"/>
      <c r="AA748" s="37"/>
      <c r="AB748" s="37"/>
      <c r="AC748" s="37"/>
      <c r="AD748" s="37"/>
      <c r="AE748" s="37"/>
      <c r="AF748" s="37"/>
      <c r="AG748" s="37"/>
      <c r="AH748" s="37"/>
    </row>
    <row r="749"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40" t="str">
        <f>IFERROR(__xludf.DUMMYFUNCTION("""COMPUTED_VALUE"""),"")</f>
        <v/>
      </c>
      <c r="Y749" s="37"/>
      <c r="Z749" s="37"/>
      <c r="AA749" s="37"/>
      <c r="AB749" s="37"/>
      <c r="AC749" s="37"/>
      <c r="AD749" s="37"/>
      <c r="AE749" s="37"/>
      <c r="AF749" s="37"/>
      <c r="AG749" s="37"/>
      <c r="AH749" s="37"/>
    </row>
    <row r="750"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40" t="str">
        <f>IFERROR(__xludf.DUMMYFUNCTION("""COMPUTED_VALUE"""),"")</f>
        <v/>
      </c>
      <c r="Y750" s="37"/>
      <c r="Z750" s="37"/>
      <c r="AA750" s="37"/>
      <c r="AB750" s="37"/>
      <c r="AC750" s="37"/>
      <c r="AD750" s="37"/>
      <c r="AE750" s="37"/>
      <c r="AF750" s="37"/>
      <c r="AG750" s="37"/>
      <c r="AH750" s="37"/>
    </row>
    <row r="751"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40" t="str">
        <f>IFERROR(__xludf.DUMMYFUNCTION("""COMPUTED_VALUE"""),"")</f>
        <v/>
      </c>
      <c r="Y751" s="37"/>
      <c r="Z751" s="37"/>
      <c r="AA751" s="37"/>
      <c r="AB751" s="37"/>
      <c r="AC751" s="37"/>
      <c r="AD751" s="37"/>
      <c r="AE751" s="37"/>
      <c r="AF751" s="37"/>
      <c r="AG751" s="37"/>
      <c r="AH751" s="37"/>
    </row>
    <row r="752"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40" t="str">
        <f>IFERROR(__xludf.DUMMYFUNCTION("""COMPUTED_VALUE"""),"")</f>
        <v/>
      </c>
      <c r="Y752" s="37"/>
      <c r="Z752" s="37"/>
      <c r="AA752" s="37"/>
      <c r="AB752" s="37"/>
      <c r="AC752" s="37"/>
      <c r="AD752" s="37"/>
      <c r="AE752" s="37"/>
      <c r="AF752" s="37"/>
      <c r="AG752" s="37"/>
      <c r="AH752" s="37"/>
    </row>
    <row r="753"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40" t="str">
        <f>IFERROR(__xludf.DUMMYFUNCTION("""COMPUTED_VALUE"""),"")</f>
        <v/>
      </c>
      <c r="Y753" s="37"/>
      <c r="Z753" s="37"/>
      <c r="AA753" s="37"/>
      <c r="AB753" s="37"/>
      <c r="AC753" s="37"/>
      <c r="AD753" s="37"/>
      <c r="AE753" s="37"/>
      <c r="AF753" s="37"/>
      <c r="AG753" s="37"/>
      <c r="AH753" s="37"/>
    </row>
    <row r="754"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40" t="str">
        <f>IFERROR(__xludf.DUMMYFUNCTION("""COMPUTED_VALUE"""),"")</f>
        <v/>
      </c>
      <c r="Y754" s="37"/>
      <c r="Z754" s="37"/>
      <c r="AA754" s="37"/>
      <c r="AB754" s="37"/>
      <c r="AC754" s="37"/>
      <c r="AD754" s="37"/>
      <c r="AE754" s="37"/>
      <c r="AF754" s="37"/>
      <c r="AG754" s="37"/>
      <c r="AH754" s="37"/>
    </row>
    <row r="755"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40" t="str">
        <f>IFERROR(__xludf.DUMMYFUNCTION("""COMPUTED_VALUE"""),"")</f>
        <v/>
      </c>
      <c r="Y755" s="37"/>
      <c r="Z755" s="37"/>
      <c r="AA755" s="37"/>
      <c r="AB755" s="37"/>
      <c r="AC755" s="37"/>
      <c r="AD755" s="37"/>
      <c r="AE755" s="37"/>
      <c r="AF755" s="37"/>
      <c r="AG755" s="37"/>
      <c r="AH755" s="37"/>
    </row>
    <row r="756"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40" t="str">
        <f>IFERROR(__xludf.DUMMYFUNCTION("""COMPUTED_VALUE"""),"")</f>
        <v/>
      </c>
      <c r="Y756" s="37"/>
      <c r="Z756" s="37"/>
      <c r="AA756" s="37"/>
      <c r="AB756" s="37"/>
      <c r="AC756" s="37"/>
      <c r="AD756" s="37"/>
      <c r="AE756" s="37"/>
      <c r="AF756" s="37"/>
      <c r="AG756" s="37"/>
      <c r="AH756" s="37"/>
    </row>
    <row r="757"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40" t="str">
        <f>IFERROR(__xludf.DUMMYFUNCTION("""COMPUTED_VALUE"""),"")</f>
        <v/>
      </c>
      <c r="Y757" s="37"/>
      <c r="Z757" s="37"/>
      <c r="AA757" s="37"/>
      <c r="AB757" s="37"/>
      <c r="AC757" s="37"/>
      <c r="AD757" s="37"/>
      <c r="AE757" s="37"/>
      <c r="AF757" s="37"/>
      <c r="AG757" s="37"/>
      <c r="AH757" s="37"/>
    </row>
    <row r="758"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40" t="str">
        <f>IFERROR(__xludf.DUMMYFUNCTION("""COMPUTED_VALUE"""),"")</f>
        <v/>
      </c>
      <c r="Y758" s="37"/>
      <c r="Z758" s="37"/>
      <c r="AA758" s="37"/>
      <c r="AB758" s="37"/>
      <c r="AC758" s="37"/>
      <c r="AD758" s="37"/>
      <c r="AE758" s="37"/>
      <c r="AF758" s="37"/>
      <c r="AG758" s="37"/>
      <c r="AH758" s="37"/>
    </row>
    <row r="759"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40" t="str">
        <f>IFERROR(__xludf.DUMMYFUNCTION("""COMPUTED_VALUE"""),"")</f>
        <v/>
      </c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</row>
    <row r="760"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40" t="str">
        <f>IFERROR(__xludf.DUMMYFUNCTION("""COMPUTED_VALUE"""),"")</f>
        <v/>
      </c>
      <c r="Y760" s="37"/>
      <c r="Z760" s="37"/>
      <c r="AA760" s="37"/>
      <c r="AB760" s="37"/>
      <c r="AC760" s="37"/>
      <c r="AD760" s="37"/>
      <c r="AE760" s="37"/>
      <c r="AF760" s="37"/>
      <c r="AG760" s="37"/>
      <c r="AH760" s="37"/>
    </row>
    <row r="761"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40" t="str">
        <f>IFERROR(__xludf.DUMMYFUNCTION("""COMPUTED_VALUE"""),"")</f>
        <v/>
      </c>
      <c r="Y761" s="37"/>
      <c r="Z761" s="37"/>
      <c r="AA761" s="37"/>
      <c r="AB761" s="37"/>
      <c r="AC761" s="37"/>
      <c r="AD761" s="37"/>
      <c r="AE761" s="37"/>
      <c r="AF761" s="37"/>
      <c r="AG761" s="37"/>
      <c r="AH761" s="37"/>
    </row>
    <row r="762"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40" t="str">
        <f>IFERROR(__xludf.DUMMYFUNCTION("""COMPUTED_VALUE"""),"")</f>
        <v/>
      </c>
      <c r="Y762" s="37"/>
      <c r="Z762" s="37"/>
      <c r="AA762" s="37"/>
      <c r="AB762" s="37"/>
      <c r="AC762" s="37"/>
      <c r="AD762" s="37"/>
      <c r="AE762" s="37"/>
      <c r="AF762" s="37"/>
      <c r="AG762" s="37"/>
      <c r="AH762" s="37"/>
    </row>
    <row r="763"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40" t="str">
        <f>IFERROR(__xludf.DUMMYFUNCTION("""COMPUTED_VALUE"""),"")</f>
        <v/>
      </c>
      <c r="Y763" s="37"/>
      <c r="Z763" s="37"/>
      <c r="AA763" s="37"/>
      <c r="AB763" s="37"/>
      <c r="AC763" s="37"/>
      <c r="AD763" s="37"/>
      <c r="AE763" s="37"/>
      <c r="AF763" s="37"/>
      <c r="AG763" s="37"/>
      <c r="AH763" s="37"/>
    </row>
    <row r="764"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40" t="str">
        <f>IFERROR(__xludf.DUMMYFUNCTION("""COMPUTED_VALUE"""),"")</f>
        <v/>
      </c>
      <c r="Y764" s="37"/>
      <c r="Z764" s="37"/>
      <c r="AA764" s="37"/>
      <c r="AB764" s="37"/>
      <c r="AC764" s="37"/>
      <c r="AD764" s="37"/>
      <c r="AE764" s="37"/>
      <c r="AF764" s="37"/>
      <c r="AG764" s="37"/>
      <c r="AH764" s="37"/>
    </row>
    <row r="765"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40" t="str">
        <f>IFERROR(__xludf.DUMMYFUNCTION("""COMPUTED_VALUE"""),"")</f>
        <v/>
      </c>
      <c r="Y765" s="37"/>
      <c r="Z765" s="37"/>
      <c r="AA765" s="37"/>
      <c r="AB765" s="37"/>
      <c r="AC765" s="37"/>
      <c r="AD765" s="37"/>
      <c r="AE765" s="37"/>
      <c r="AF765" s="37"/>
      <c r="AG765" s="37"/>
      <c r="AH765" s="37"/>
    </row>
    <row r="766"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40" t="str">
        <f>IFERROR(__xludf.DUMMYFUNCTION("""COMPUTED_VALUE"""),"")</f>
        <v/>
      </c>
      <c r="Y766" s="37"/>
      <c r="Z766" s="37"/>
      <c r="AA766" s="37"/>
      <c r="AB766" s="37"/>
      <c r="AC766" s="37"/>
      <c r="AD766" s="37"/>
      <c r="AE766" s="37"/>
      <c r="AF766" s="37"/>
      <c r="AG766" s="37"/>
      <c r="AH766" s="37"/>
    </row>
    <row r="767"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40" t="str">
        <f>IFERROR(__xludf.DUMMYFUNCTION("""COMPUTED_VALUE"""),"")</f>
        <v/>
      </c>
      <c r="Y767" s="37"/>
      <c r="Z767" s="37"/>
      <c r="AA767" s="37"/>
      <c r="AB767" s="37"/>
      <c r="AC767" s="37"/>
      <c r="AD767" s="37"/>
      <c r="AE767" s="37"/>
      <c r="AF767" s="37"/>
      <c r="AG767" s="37"/>
      <c r="AH767" s="37"/>
    </row>
    <row r="768"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40" t="str">
        <f>IFERROR(__xludf.DUMMYFUNCTION("""COMPUTED_VALUE"""),"")</f>
        <v/>
      </c>
      <c r="Y768" s="37"/>
      <c r="Z768" s="37"/>
      <c r="AA768" s="37"/>
      <c r="AB768" s="37"/>
      <c r="AC768" s="37"/>
      <c r="AD768" s="37"/>
      <c r="AE768" s="37"/>
      <c r="AF768" s="37"/>
      <c r="AG768" s="37"/>
      <c r="AH768" s="37"/>
    </row>
    <row r="769"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40" t="str">
        <f>IFERROR(__xludf.DUMMYFUNCTION("""COMPUTED_VALUE"""),"")</f>
        <v/>
      </c>
      <c r="Y769" s="37"/>
      <c r="Z769" s="37"/>
      <c r="AA769" s="37"/>
      <c r="AB769" s="37"/>
      <c r="AC769" s="37"/>
      <c r="AD769" s="37"/>
      <c r="AE769" s="37"/>
      <c r="AF769" s="37"/>
      <c r="AG769" s="37"/>
      <c r="AH769" s="37"/>
    </row>
    <row r="770"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40" t="str">
        <f>IFERROR(__xludf.DUMMYFUNCTION("""COMPUTED_VALUE"""),"")</f>
        <v/>
      </c>
      <c r="Y770" s="37"/>
      <c r="Z770" s="37"/>
      <c r="AA770" s="37"/>
      <c r="AB770" s="37"/>
      <c r="AC770" s="37"/>
      <c r="AD770" s="37"/>
      <c r="AE770" s="37"/>
      <c r="AF770" s="37"/>
      <c r="AG770" s="37"/>
      <c r="AH770" s="37"/>
    </row>
    <row r="771"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40" t="str">
        <f>IFERROR(__xludf.DUMMYFUNCTION("""COMPUTED_VALUE"""),"")</f>
        <v/>
      </c>
      <c r="Y771" s="37"/>
      <c r="Z771" s="37"/>
      <c r="AA771" s="37"/>
      <c r="AB771" s="37"/>
      <c r="AC771" s="37"/>
      <c r="AD771" s="37"/>
      <c r="AE771" s="37"/>
      <c r="AF771" s="37"/>
      <c r="AG771" s="37"/>
      <c r="AH771" s="37"/>
    </row>
    <row r="772"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40" t="str">
        <f>IFERROR(__xludf.DUMMYFUNCTION("""COMPUTED_VALUE"""),"")</f>
        <v/>
      </c>
      <c r="Y772" s="37"/>
      <c r="Z772" s="37"/>
      <c r="AA772" s="37"/>
      <c r="AB772" s="37"/>
      <c r="AC772" s="37"/>
      <c r="AD772" s="37"/>
      <c r="AE772" s="37"/>
      <c r="AF772" s="37"/>
      <c r="AG772" s="37"/>
      <c r="AH772" s="37"/>
    </row>
    <row r="773"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40" t="str">
        <f>IFERROR(__xludf.DUMMYFUNCTION("""COMPUTED_VALUE"""),"")</f>
        <v/>
      </c>
      <c r="Y773" s="37"/>
      <c r="Z773" s="37"/>
      <c r="AA773" s="37"/>
      <c r="AB773" s="37"/>
      <c r="AC773" s="37"/>
      <c r="AD773" s="37"/>
      <c r="AE773" s="37"/>
      <c r="AF773" s="37"/>
      <c r="AG773" s="37"/>
      <c r="AH773" s="37"/>
    </row>
    <row r="774"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40" t="str">
        <f>IFERROR(__xludf.DUMMYFUNCTION("""COMPUTED_VALUE"""),"")</f>
        <v/>
      </c>
      <c r="Y774" s="37"/>
      <c r="Z774" s="37"/>
      <c r="AA774" s="37"/>
      <c r="AB774" s="37"/>
      <c r="AC774" s="37"/>
      <c r="AD774" s="37"/>
      <c r="AE774" s="37"/>
      <c r="AF774" s="37"/>
      <c r="AG774" s="37"/>
      <c r="AH774" s="37"/>
    </row>
    <row r="775"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40" t="str">
        <f>IFERROR(__xludf.DUMMYFUNCTION("""COMPUTED_VALUE"""),"")</f>
        <v/>
      </c>
      <c r="Y775" s="37"/>
      <c r="Z775" s="37"/>
      <c r="AA775" s="37"/>
      <c r="AB775" s="37"/>
      <c r="AC775" s="37"/>
      <c r="AD775" s="37"/>
      <c r="AE775" s="37"/>
      <c r="AF775" s="37"/>
      <c r="AG775" s="37"/>
      <c r="AH775" s="37"/>
    </row>
    <row r="776"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40" t="str">
        <f>IFERROR(__xludf.DUMMYFUNCTION("""COMPUTED_VALUE"""),"")</f>
        <v/>
      </c>
      <c r="Y776" s="37"/>
      <c r="Z776" s="37"/>
      <c r="AA776" s="37"/>
      <c r="AB776" s="37"/>
      <c r="AC776" s="37"/>
      <c r="AD776" s="37"/>
      <c r="AE776" s="37"/>
      <c r="AF776" s="37"/>
      <c r="AG776" s="37"/>
      <c r="AH776" s="37"/>
    </row>
    <row r="777"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40" t="str">
        <f>IFERROR(__xludf.DUMMYFUNCTION("""COMPUTED_VALUE"""),"")</f>
        <v/>
      </c>
      <c r="Y777" s="37"/>
      <c r="Z777" s="37"/>
      <c r="AA777" s="37"/>
      <c r="AB777" s="37"/>
      <c r="AC777" s="37"/>
      <c r="AD777" s="37"/>
      <c r="AE777" s="37"/>
      <c r="AF777" s="37"/>
      <c r="AG777" s="37"/>
      <c r="AH777" s="37"/>
    </row>
    <row r="778"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40" t="str">
        <f>IFERROR(__xludf.DUMMYFUNCTION("""COMPUTED_VALUE"""),"")</f>
        <v/>
      </c>
      <c r="Y778" s="37"/>
      <c r="Z778" s="37"/>
      <c r="AA778" s="37"/>
      <c r="AB778" s="37"/>
      <c r="AC778" s="37"/>
      <c r="AD778" s="37"/>
      <c r="AE778" s="37"/>
      <c r="AF778" s="37"/>
      <c r="AG778" s="37"/>
      <c r="AH778" s="37"/>
    </row>
    <row r="779"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40" t="str">
        <f>IFERROR(__xludf.DUMMYFUNCTION("""COMPUTED_VALUE"""),"")</f>
        <v/>
      </c>
      <c r="Y779" s="37"/>
      <c r="Z779" s="37"/>
      <c r="AA779" s="37"/>
      <c r="AB779" s="37"/>
      <c r="AC779" s="37"/>
      <c r="AD779" s="37"/>
      <c r="AE779" s="37"/>
      <c r="AF779" s="37"/>
      <c r="AG779" s="37"/>
      <c r="AH779" s="37"/>
    </row>
    <row r="780"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40" t="str">
        <f>IFERROR(__xludf.DUMMYFUNCTION("""COMPUTED_VALUE"""),"")</f>
        <v/>
      </c>
      <c r="Y780" s="37"/>
      <c r="Z780" s="37"/>
      <c r="AA780" s="37"/>
      <c r="AB780" s="37"/>
      <c r="AC780" s="37"/>
      <c r="AD780" s="37"/>
      <c r="AE780" s="37"/>
      <c r="AF780" s="37"/>
      <c r="AG780" s="37"/>
      <c r="AH780" s="37"/>
    </row>
    <row r="781"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40" t="str">
        <f>IFERROR(__xludf.DUMMYFUNCTION("""COMPUTED_VALUE"""),"")</f>
        <v/>
      </c>
      <c r="Y781" s="37"/>
      <c r="Z781" s="37"/>
      <c r="AA781" s="37"/>
      <c r="AB781" s="37"/>
      <c r="AC781" s="37"/>
      <c r="AD781" s="37"/>
      <c r="AE781" s="37"/>
      <c r="AF781" s="37"/>
      <c r="AG781" s="37"/>
      <c r="AH781" s="37"/>
    </row>
    <row r="782"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40" t="str">
        <f>IFERROR(__xludf.DUMMYFUNCTION("""COMPUTED_VALUE"""),"")</f>
        <v/>
      </c>
      <c r="Y782" s="37"/>
      <c r="Z782" s="37"/>
      <c r="AA782" s="37"/>
      <c r="AB782" s="37"/>
      <c r="AC782" s="37"/>
      <c r="AD782" s="37"/>
      <c r="AE782" s="37"/>
      <c r="AF782" s="37"/>
      <c r="AG782" s="37"/>
      <c r="AH782" s="37"/>
    </row>
    <row r="783"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40" t="str">
        <f>IFERROR(__xludf.DUMMYFUNCTION("""COMPUTED_VALUE"""),"")</f>
        <v/>
      </c>
      <c r="Y783" s="37"/>
      <c r="Z783" s="37"/>
      <c r="AA783" s="37"/>
      <c r="AB783" s="37"/>
      <c r="AC783" s="37"/>
      <c r="AD783" s="37"/>
      <c r="AE783" s="37"/>
      <c r="AF783" s="37"/>
      <c r="AG783" s="37"/>
      <c r="AH783" s="37"/>
    </row>
    <row r="784"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40" t="str">
        <f>IFERROR(__xludf.DUMMYFUNCTION("""COMPUTED_VALUE"""),"")</f>
        <v/>
      </c>
      <c r="Y784" s="37"/>
      <c r="Z784" s="37"/>
      <c r="AA784" s="37"/>
      <c r="AB784" s="37"/>
      <c r="AC784" s="37"/>
      <c r="AD784" s="37"/>
      <c r="AE784" s="37"/>
      <c r="AF784" s="37"/>
      <c r="AG784" s="37"/>
      <c r="AH784" s="37"/>
    </row>
    <row r="785"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40" t="str">
        <f>IFERROR(__xludf.DUMMYFUNCTION("""COMPUTED_VALUE"""),"")</f>
        <v/>
      </c>
      <c r="Y785" s="37"/>
      <c r="Z785" s="37"/>
      <c r="AA785" s="37"/>
      <c r="AB785" s="37"/>
      <c r="AC785" s="37"/>
      <c r="AD785" s="37"/>
      <c r="AE785" s="37"/>
      <c r="AF785" s="37"/>
      <c r="AG785" s="37"/>
      <c r="AH785" s="37"/>
    </row>
    <row r="786"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40" t="str">
        <f>IFERROR(__xludf.DUMMYFUNCTION("""COMPUTED_VALUE"""),"")</f>
        <v/>
      </c>
      <c r="Y786" s="37"/>
      <c r="Z786" s="37"/>
      <c r="AA786" s="37"/>
      <c r="AB786" s="37"/>
      <c r="AC786" s="37"/>
      <c r="AD786" s="37"/>
      <c r="AE786" s="37"/>
      <c r="AF786" s="37"/>
      <c r="AG786" s="37"/>
      <c r="AH786" s="37"/>
    </row>
    <row r="787"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40" t="str">
        <f>IFERROR(__xludf.DUMMYFUNCTION("""COMPUTED_VALUE"""),"")</f>
        <v/>
      </c>
      <c r="Y787" s="37"/>
      <c r="Z787" s="37"/>
      <c r="AA787" s="37"/>
      <c r="AB787" s="37"/>
      <c r="AC787" s="37"/>
      <c r="AD787" s="37"/>
      <c r="AE787" s="37"/>
      <c r="AF787" s="37"/>
      <c r="AG787" s="37"/>
      <c r="AH787" s="37"/>
    </row>
    <row r="788"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40" t="str">
        <f>IFERROR(__xludf.DUMMYFUNCTION("""COMPUTED_VALUE"""),"")</f>
        <v/>
      </c>
      <c r="Y788" s="37"/>
      <c r="Z788" s="37"/>
      <c r="AA788" s="37"/>
      <c r="AB788" s="37"/>
      <c r="AC788" s="37"/>
      <c r="AD788" s="37"/>
      <c r="AE788" s="37"/>
      <c r="AF788" s="37"/>
      <c r="AG788" s="37"/>
      <c r="AH788" s="37"/>
    </row>
    <row r="789"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40" t="str">
        <f>IFERROR(__xludf.DUMMYFUNCTION("""COMPUTED_VALUE"""),"")</f>
        <v/>
      </c>
      <c r="Y789" s="37"/>
      <c r="Z789" s="37"/>
      <c r="AA789" s="37"/>
      <c r="AB789" s="37"/>
      <c r="AC789" s="37"/>
      <c r="AD789" s="37"/>
      <c r="AE789" s="37"/>
      <c r="AF789" s="37"/>
      <c r="AG789" s="37"/>
      <c r="AH789" s="37"/>
    </row>
    <row r="790"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40" t="str">
        <f>IFERROR(__xludf.DUMMYFUNCTION("""COMPUTED_VALUE"""),"")</f>
        <v/>
      </c>
      <c r="Y790" s="37"/>
      <c r="Z790" s="37"/>
      <c r="AA790" s="37"/>
      <c r="AB790" s="37"/>
      <c r="AC790" s="37"/>
      <c r="AD790" s="37"/>
      <c r="AE790" s="37"/>
      <c r="AF790" s="37"/>
      <c r="AG790" s="37"/>
      <c r="AH790" s="37"/>
    </row>
    <row r="791"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40" t="str">
        <f>IFERROR(__xludf.DUMMYFUNCTION("""COMPUTED_VALUE"""),"")</f>
        <v/>
      </c>
      <c r="Y791" s="37"/>
      <c r="Z791" s="37"/>
      <c r="AA791" s="37"/>
      <c r="AB791" s="37"/>
      <c r="AC791" s="37"/>
      <c r="AD791" s="37"/>
      <c r="AE791" s="37"/>
      <c r="AF791" s="37"/>
      <c r="AG791" s="37"/>
      <c r="AH791" s="37"/>
    </row>
    <row r="792"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40" t="str">
        <f>IFERROR(__xludf.DUMMYFUNCTION("""COMPUTED_VALUE"""),"")</f>
        <v/>
      </c>
      <c r="Y792" s="37"/>
      <c r="Z792" s="37"/>
      <c r="AA792" s="37"/>
      <c r="AB792" s="37"/>
      <c r="AC792" s="37"/>
      <c r="AD792" s="37"/>
      <c r="AE792" s="37"/>
      <c r="AF792" s="37"/>
      <c r="AG792" s="37"/>
      <c r="AH792" s="37"/>
    </row>
    <row r="793"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40" t="str">
        <f>IFERROR(__xludf.DUMMYFUNCTION("""COMPUTED_VALUE"""),"")</f>
        <v/>
      </c>
      <c r="Y793" s="37"/>
      <c r="Z793" s="37"/>
      <c r="AA793" s="37"/>
      <c r="AB793" s="37"/>
      <c r="AC793" s="37"/>
      <c r="AD793" s="37"/>
      <c r="AE793" s="37"/>
      <c r="AF793" s="37"/>
      <c r="AG793" s="37"/>
      <c r="AH793" s="37"/>
    </row>
    <row r="794"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40" t="str">
        <f>IFERROR(__xludf.DUMMYFUNCTION("""COMPUTED_VALUE"""),"")</f>
        <v/>
      </c>
      <c r="Y794" s="37"/>
      <c r="Z794" s="37"/>
      <c r="AA794" s="37"/>
      <c r="AB794" s="37"/>
      <c r="AC794" s="37"/>
      <c r="AD794" s="37"/>
      <c r="AE794" s="37"/>
      <c r="AF794" s="37"/>
      <c r="AG794" s="37"/>
      <c r="AH794" s="37"/>
    </row>
    <row r="795"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40" t="str">
        <f>IFERROR(__xludf.DUMMYFUNCTION("""COMPUTED_VALUE"""),"")</f>
        <v/>
      </c>
      <c r="Y795" s="37"/>
      <c r="Z795" s="37"/>
      <c r="AA795" s="37"/>
      <c r="AB795" s="37"/>
      <c r="AC795" s="37"/>
      <c r="AD795" s="37"/>
      <c r="AE795" s="37"/>
      <c r="AF795" s="37"/>
      <c r="AG795" s="37"/>
      <c r="AH795" s="37"/>
    </row>
    <row r="796"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40" t="str">
        <f>IFERROR(__xludf.DUMMYFUNCTION("""COMPUTED_VALUE"""),"")</f>
        <v/>
      </c>
      <c r="Y796" s="37"/>
      <c r="Z796" s="37"/>
      <c r="AA796" s="37"/>
      <c r="AB796" s="37"/>
      <c r="AC796" s="37"/>
      <c r="AD796" s="37"/>
      <c r="AE796" s="37"/>
      <c r="AF796" s="37"/>
      <c r="AG796" s="37"/>
      <c r="AH796" s="37"/>
    </row>
    <row r="797"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40" t="str">
        <f>IFERROR(__xludf.DUMMYFUNCTION("""COMPUTED_VALUE"""),"")</f>
        <v/>
      </c>
      <c r="Y797" s="37"/>
      <c r="Z797" s="37"/>
      <c r="AA797" s="37"/>
      <c r="AB797" s="37"/>
      <c r="AC797" s="37"/>
      <c r="AD797" s="37"/>
      <c r="AE797" s="37"/>
      <c r="AF797" s="37"/>
      <c r="AG797" s="37"/>
      <c r="AH797" s="37"/>
    </row>
    <row r="798"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40" t="str">
        <f>IFERROR(__xludf.DUMMYFUNCTION("""COMPUTED_VALUE"""),"")</f>
        <v/>
      </c>
      <c r="Y798" s="37"/>
      <c r="Z798" s="37"/>
      <c r="AA798" s="37"/>
      <c r="AB798" s="37"/>
      <c r="AC798" s="37"/>
      <c r="AD798" s="37"/>
      <c r="AE798" s="37"/>
      <c r="AF798" s="37"/>
      <c r="AG798" s="37"/>
      <c r="AH798" s="37"/>
    </row>
    <row r="799"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40" t="str">
        <f>IFERROR(__xludf.DUMMYFUNCTION("""COMPUTED_VALUE"""),"")</f>
        <v/>
      </c>
      <c r="Y799" s="37"/>
      <c r="Z799" s="37"/>
      <c r="AA799" s="37"/>
      <c r="AB799" s="37"/>
      <c r="AC799" s="37"/>
      <c r="AD799" s="37"/>
      <c r="AE799" s="37"/>
      <c r="AF799" s="37"/>
      <c r="AG799" s="37"/>
      <c r="AH799" s="37"/>
    </row>
    <row r="800"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40" t="str">
        <f>IFERROR(__xludf.DUMMYFUNCTION("""COMPUTED_VALUE"""),"")</f>
        <v/>
      </c>
      <c r="Y800" s="37"/>
      <c r="Z800" s="37"/>
      <c r="AA800" s="37"/>
      <c r="AB800" s="37"/>
      <c r="AC800" s="37"/>
      <c r="AD800" s="37"/>
      <c r="AE800" s="37"/>
      <c r="AF800" s="37"/>
      <c r="AG800" s="37"/>
      <c r="AH800" s="37"/>
    </row>
    <row r="801"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40" t="str">
        <f>IFERROR(__xludf.DUMMYFUNCTION("""COMPUTED_VALUE"""),"")</f>
        <v/>
      </c>
      <c r="Y801" s="37"/>
      <c r="Z801" s="37"/>
      <c r="AA801" s="37"/>
      <c r="AB801" s="37"/>
      <c r="AC801" s="37"/>
      <c r="AD801" s="37"/>
      <c r="AE801" s="37"/>
      <c r="AF801" s="37"/>
      <c r="AG801" s="37"/>
      <c r="AH801" s="37"/>
    </row>
    <row r="802"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40" t="str">
        <f>IFERROR(__xludf.DUMMYFUNCTION("""COMPUTED_VALUE"""),"")</f>
        <v/>
      </c>
      <c r="Y802" s="37"/>
      <c r="Z802" s="37"/>
      <c r="AA802" s="37"/>
      <c r="AB802" s="37"/>
      <c r="AC802" s="37"/>
      <c r="AD802" s="37"/>
      <c r="AE802" s="37"/>
      <c r="AF802" s="37"/>
      <c r="AG802" s="37"/>
      <c r="AH802" s="37"/>
    </row>
    <row r="803"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40" t="str">
        <f>IFERROR(__xludf.DUMMYFUNCTION("""COMPUTED_VALUE"""),"")</f>
        <v/>
      </c>
      <c r="Y803" s="37"/>
      <c r="Z803" s="37"/>
      <c r="AA803" s="37"/>
      <c r="AB803" s="37"/>
      <c r="AC803" s="37"/>
      <c r="AD803" s="37"/>
      <c r="AE803" s="37"/>
      <c r="AF803" s="37"/>
      <c r="AG803" s="37"/>
      <c r="AH803" s="37"/>
    </row>
    <row r="804"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40" t="str">
        <f>IFERROR(__xludf.DUMMYFUNCTION("""COMPUTED_VALUE"""),"")</f>
        <v/>
      </c>
      <c r="Y804" s="37"/>
      <c r="Z804" s="37"/>
      <c r="AA804" s="37"/>
      <c r="AB804" s="37"/>
      <c r="AC804" s="37"/>
      <c r="AD804" s="37"/>
      <c r="AE804" s="37"/>
      <c r="AF804" s="37"/>
      <c r="AG804" s="37"/>
      <c r="AH804" s="37"/>
    </row>
    <row r="805"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40" t="str">
        <f>IFERROR(__xludf.DUMMYFUNCTION("""COMPUTED_VALUE"""),"")</f>
        <v/>
      </c>
      <c r="Y805" s="37"/>
      <c r="Z805" s="37"/>
      <c r="AA805" s="37"/>
      <c r="AB805" s="37"/>
      <c r="AC805" s="37"/>
      <c r="AD805" s="37"/>
      <c r="AE805" s="37"/>
      <c r="AF805" s="37"/>
      <c r="AG805" s="37"/>
      <c r="AH805" s="37"/>
    </row>
    <row r="806"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40" t="str">
        <f>IFERROR(__xludf.DUMMYFUNCTION("""COMPUTED_VALUE"""),"")</f>
        <v/>
      </c>
      <c r="Y806" s="37"/>
      <c r="Z806" s="37"/>
      <c r="AA806" s="37"/>
      <c r="AB806" s="37"/>
      <c r="AC806" s="37"/>
      <c r="AD806" s="37"/>
      <c r="AE806" s="37"/>
      <c r="AF806" s="37"/>
      <c r="AG806" s="37"/>
      <c r="AH806" s="37"/>
    </row>
    <row r="807"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40" t="str">
        <f>IFERROR(__xludf.DUMMYFUNCTION("""COMPUTED_VALUE"""),"")</f>
        <v/>
      </c>
      <c r="Y807" s="37"/>
      <c r="Z807" s="37"/>
      <c r="AA807" s="37"/>
      <c r="AB807" s="37"/>
      <c r="AC807" s="37"/>
      <c r="AD807" s="37"/>
      <c r="AE807" s="37"/>
      <c r="AF807" s="37"/>
      <c r="AG807" s="37"/>
      <c r="AH807" s="37"/>
    </row>
    <row r="808"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40" t="str">
        <f>IFERROR(__xludf.DUMMYFUNCTION("""COMPUTED_VALUE"""),"")</f>
        <v/>
      </c>
      <c r="Y808" s="37"/>
      <c r="Z808" s="37"/>
      <c r="AA808" s="37"/>
      <c r="AB808" s="37"/>
      <c r="AC808" s="37"/>
      <c r="AD808" s="37"/>
      <c r="AE808" s="37"/>
      <c r="AF808" s="37"/>
      <c r="AG808" s="37"/>
      <c r="AH808" s="37"/>
    </row>
    <row r="809"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40" t="str">
        <f>IFERROR(__xludf.DUMMYFUNCTION("""COMPUTED_VALUE"""),"")</f>
        <v/>
      </c>
      <c r="Y809" s="37"/>
      <c r="Z809" s="37"/>
      <c r="AA809" s="37"/>
      <c r="AB809" s="37"/>
      <c r="AC809" s="37"/>
      <c r="AD809" s="37"/>
      <c r="AE809" s="37"/>
      <c r="AF809" s="37"/>
      <c r="AG809" s="37"/>
      <c r="AH809" s="37"/>
    </row>
    <row r="810"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40" t="str">
        <f>IFERROR(__xludf.DUMMYFUNCTION("""COMPUTED_VALUE"""),"")</f>
        <v/>
      </c>
      <c r="Y810" s="37"/>
      <c r="Z810" s="37"/>
      <c r="AA810" s="37"/>
      <c r="AB810" s="37"/>
      <c r="AC810" s="37"/>
      <c r="AD810" s="37"/>
      <c r="AE810" s="37"/>
      <c r="AF810" s="37"/>
      <c r="AG810" s="37"/>
      <c r="AH810" s="37"/>
    </row>
    <row r="811"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40" t="str">
        <f>IFERROR(__xludf.DUMMYFUNCTION("""COMPUTED_VALUE"""),"")</f>
        <v/>
      </c>
      <c r="Y811" s="37"/>
      <c r="Z811" s="37"/>
      <c r="AA811" s="37"/>
      <c r="AB811" s="37"/>
      <c r="AC811" s="37"/>
      <c r="AD811" s="37"/>
      <c r="AE811" s="37"/>
      <c r="AF811" s="37"/>
      <c r="AG811" s="37"/>
      <c r="AH811" s="37"/>
    </row>
    <row r="812"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40" t="str">
        <f>IFERROR(__xludf.DUMMYFUNCTION("""COMPUTED_VALUE"""),"")</f>
        <v/>
      </c>
      <c r="Y812" s="37"/>
      <c r="Z812" s="37"/>
      <c r="AA812" s="37"/>
      <c r="AB812" s="37"/>
      <c r="AC812" s="37"/>
      <c r="AD812" s="37"/>
      <c r="AE812" s="37"/>
      <c r="AF812" s="37"/>
      <c r="AG812" s="37"/>
      <c r="AH812" s="37"/>
    </row>
    <row r="813"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40" t="str">
        <f>IFERROR(__xludf.DUMMYFUNCTION("""COMPUTED_VALUE"""),"")</f>
        <v/>
      </c>
      <c r="Y813" s="37"/>
      <c r="Z813" s="37"/>
      <c r="AA813" s="37"/>
      <c r="AB813" s="37"/>
      <c r="AC813" s="37"/>
      <c r="AD813" s="37"/>
      <c r="AE813" s="37"/>
      <c r="AF813" s="37"/>
      <c r="AG813" s="37"/>
      <c r="AH813" s="37"/>
    </row>
    <row r="814"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40" t="str">
        <f>IFERROR(__xludf.DUMMYFUNCTION("""COMPUTED_VALUE"""),"")</f>
        <v/>
      </c>
      <c r="Y814" s="37"/>
      <c r="Z814" s="37"/>
      <c r="AA814" s="37"/>
      <c r="AB814" s="37"/>
      <c r="AC814" s="37"/>
      <c r="AD814" s="37"/>
      <c r="AE814" s="37"/>
      <c r="AF814" s="37"/>
      <c r="AG814" s="37"/>
      <c r="AH814" s="37"/>
    </row>
    <row r="815"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40" t="str">
        <f>IFERROR(__xludf.DUMMYFUNCTION("""COMPUTED_VALUE"""),"")</f>
        <v/>
      </c>
      <c r="Y815" s="37"/>
      <c r="Z815" s="37"/>
      <c r="AA815" s="37"/>
      <c r="AB815" s="37"/>
      <c r="AC815" s="37"/>
      <c r="AD815" s="37"/>
      <c r="AE815" s="37"/>
      <c r="AF815" s="37"/>
      <c r="AG815" s="37"/>
      <c r="AH815" s="37"/>
    </row>
    <row r="816"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40" t="str">
        <f>IFERROR(__xludf.DUMMYFUNCTION("""COMPUTED_VALUE"""),"")</f>
        <v/>
      </c>
      <c r="Y816" s="37"/>
      <c r="Z816" s="37"/>
      <c r="AA816" s="37"/>
      <c r="AB816" s="37"/>
      <c r="AC816" s="37"/>
      <c r="AD816" s="37"/>
      <c r="AE816" s="37"/>
      <c r="AF816" s="37"/>
      <c r="AG816" s="37"/>
      <c r="AH816" s="37"/>
    </row>
    <row r="817"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40" t="str">
        <f>IFERROR(__xludf.DUMMYFUNCTION("""COMPUTED_VALUE"""),"")</f>
        <v/>
      </c>
      <c r="Y817" s="37"/>
      <c r="Z817" s="37"/>
      <c r="AA817" s="37"/>
      <c r="AB817" s="37"/>
      <c r="AC817" s="37"/>
      <c r="AD817" s="37"/>
      <c r="AE817" s="37"/>
      <c r="AF817" s="37"/>
      <c r="AG817" s="37"/>
      <c r="AH817" s="37"/>
    </row>
    <row r="818"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40" t="str">
        <f>IFERROR(__xludf.DUMMYFUNCTION("""COMPUTED_VALUE"""),"")</f>
        <v/>
      </c>
      <c r="Y818" s="37"/>
      <c r="Z818" s="37"/>
      <c r="AA818" s="37"/>
      <c r="AB818" s="37"/>
      <c r="AC818" s="37"/>
      <c r="AD818" s="37"/>
      <c r="AE818" s="37"/>
      <c r="AF818" s="37"/>
      <c r="AG818" s="37"/>
      <c r="AH818" s="37"/>
    </row>
    <row r="819"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40" t="str">
        <f>IFERROR(__xludf.DUMMYFUNCTION("""COMPUTED_VALUE"""),"")</f>
        <v/>
      </c>
      <c r="Y819" s="37"/>
      <c r="Z819" s="37"/>
      <c r="AA819" s="37"/>
      <c r="AB819" s="37"/>
      <c r="AC819" s="37"/>
      <c r="AD819" s="37"/>
      <c r="AE819" s="37"/>
      <c r="AF819" s="37"/>
      <c r="AG819" s="37"/>
      <c r="AH819" s="37"/>
    </row>
    <row r="820"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40" t="str">
        <f>IFERROR(__xludf.DUMMYFUNCTION("""COMPUTED_VALUE"""),"")</f>
        <v/>
      </c>
      <c r="Y820" s="37"/>
      <c r="Z820" s="37"/>
      <c r="AA820" s="37"/>
      <c r="AB820" s="37"/>
      <c r="AC820" s="37"/>
      <c r="AD820" s="37"/>
      <c r="AE820" s="37"/>
      <c r="AF820" s="37"/>
      <c r="AG820" s="37"/>
      <c r="AH820" s="37"/>
    </row>
    <row r="821"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40" t="str">
        <f>IFERROR(__xludf.DUMMYFUNCTION("""COMPUTED_VALUE"""),"")</f>
        <v/>
      </c>
      <c r="Y821" s="37"/>
      <c r="Z821" s="37"/>
      <c r="AA821" s="37"/>
      <c r="AB821" s="37"/>
      <c r="AC821" s="37"/>
      <c r="AD821" s="37"/>
      <c r="AE821" s="37"/>
      <c r="AF821" s="37"/>
      <c r="AG821" s="37"/>
      <c r="AH821" s="37"/>
    </row>
    <row r="822"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40" t="str">
        <f>IFERROR(__xludf.DUMMYFUNCTION("""COMPUTED_VALUE"""),"")</f>
        <v/>
      </c>
      <c r="Y822" s="37"/>
      <c r="Z822" s="37"/>
      <c r="AA822" s="37"/>
      <c r="AB822" s="37"/>
      <c r="AC822" s="37"/>
      <c r="AD822" s="37"/>
      <c r="AE822" s="37"/>
      <c r="AF822" s="37"/>
      <c r="AG822" s="37"/>
      <c r="AH822" s="37"/>
    </row>
    <row r="823"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40" t="str">
        <f>IFERROR(__xludf.DUMMYFUNCTION("""COMPUTED_VALUE"""),"")</f>
        <v/>
      </c>
      <c r="Y823" s="37"/>
      <c r="Z823" s="37"/>
      <c r="AA823" s="37"/>
      <c r="AB823" s="37"/>
      <c r="AC823" s="37"/>
      <c r="AD823" s="37"/>
      <c r="AE823" s="37"/>
      <c r="AF823" s="37"/>
      <c r="AG823" s="37"/>
      <c r="AH823" s="37"/>
    </row>
    <row r="824"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40" t="str">
        <f>IFERROR(__xludf.DUMMYFUNCTION("""COMPUTED_VALUE"""),"")</f>
        <v/>
      </c>
      <c r="Y824" s="37"/>
      <c r="Z824" s="37"/>
      <c r="AA824" s="37"/>
      <c r="AB824" s="37"/>
      <c r="AC824" s="37"/>
      <c r="AD824" s="37"/>
      <c r="AE824" s="37"/>
      <c r="AF824" s="37"/>
      <c r="AG824" s="37"/>
      <c r="AH824" s="37"/>
    </row>
    <row r="825"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40" t="str">
        <f>IFERROR(__xludf.DUMMYFUNCTION("""COMPUTED_VALUE"""),"")</f>
        <v/>
      </c>
      <c r="Y825" s="37"/>
      <c r="Z825" s="37"/>
      <c r="AA825" s="37"/>
      <c r="AB825" s="37"/>
      <c r="AC825" s="37"/>
      <c r="AD825" s="37"/>
      <c r="AE825" s="37"/>
      <c r="AF825" s="37"/>
      <c r="AG825" s="37"/>
      <c r="AH825" s="37"/>
    </row>
    <row r="826"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40" t="str">
        <f>IFERROR(__xludf.DUMMYFUNCTION("""COMPUTED_VALUE"""),"")</f>
        <v/>
      </c>
      <c r="Y826" s="37"/>
      <c r="Z826" s="37"/>
      <c r="AA826" s="37"/>
      <c r="AB826" s="37"/>
      <c r="AC826" s="37"/>
      <c r="AD826" s="37"/>
      <c r="AE826" s="37"/>
      <c r="AF826" s="37"/>
      <c r="AG826" s="37"/>
      <c r="AH826" s="37"/>
    </row>
    <row r="827"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40" t="str">
        <f>IFERROR(__xludf.DUMMYFUNCTION("""COMPUTED_VALUE"""),"")</f>
        <v/>
      </c>
      <c r="Y827" s="37"/>
      <c r="Z827" s="37"/>
      <c r="AA827" s="37"/>
      <c r="AB827" s="37"/>
      <c r="AC827" s="37"/>
      <c r="AD827" s="37"/>
      <c r="AE827" s="37"/>
      <c r="AF827" s="37"/>
      <c r="AG827" s="37"/>
      <c r="AH827" s="37"/>
    </row>
    <row r="828"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40" t="str">
        <f>IFERROR(__xludf.DUMMYFUNCTION("""COMPUTED_VALUE"""),"")</f>
        <v/>
      </c>
      <c r="Y828" s="37"/>
      <c r="Z828" s="37"/>
      <c r="AA828" s="37"/>
      <c r="AB828" s="37"/>
      <c r="AC828" s="37"/>
      <c r="AD828" s="37"/>
      <c r="AE828" s="37"/>
      <c r="AF828" s="37"/>
      <c r="AG828" s="37"/>
      <c r="AH828" s="37"/>
    </row>
    <row r="829"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40" t="str">
        <f>IFERROR(__xludf.DUMMYFUNCTION("""COMPUTED_VALUE"""),"")</f>
        <v/>
      </c>
      <c r="Y829" s="37"/>
      <c r="Z829" s="37"/>
      <c r="AA829" s="37"/>
      <c r="AB829" s="37"/>
      <c r="AC829" s="37"/>
      <c r="AD829" s="37"/>
      <c r="AE829" s="37"/>
      <c r="AF829" s="37"/>
      <c r="AG829" s="37"/>
      <c r="AH829" s="37"/>
    </row>
    <row r="830"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40" t="str">
        <f>IFERROR(__xludf.DUMMYFUNCTION("""COMPUTED_VALUE"""),"")</f>
        <v/>
      </c>
      <c r="Y830" s="37"/>
      <c r="Z830" s="37"/>
      <c r="AA830" s="37"/>
      <c r="AB830" s="37"/>
      <c r="AC830" s="37"/>
      <c r="AD830" s="37"/>
      <c r="AE830" s="37"/>
      <c r="AF830" s="37"/>
      <c r="AG830" s="37"/>
      <c r="AH830" s="37"/>
    </row>
    <row r="831"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40" t="str">
        <f>IFERROR(__xludf.DUMMYFUNCTION("""COMPUTED_VALUE"""),"")</f>
        <v/>
      </c>
      <c r="Y831" s="37"/>
      <c r="Z831" s="37"/>
      <c r="AA831" s="37"/>
      <c r="AB831" s="37"/>
      <c r="AC831" s="37"/>
      <c r="AD831" s="37"/>
      <c r="AE831" s="37"/>
      <c r="AF831" s="37"/>
      <c r="AG831" s="37"/>
      <c r="AH831" s="37"/>
    </row>
    <row r="832"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40" t="str">
        <f>IFERROR(__xludf.DUMMYFUNCTION("""COMPUTED_VALUE"""),"")</f>
        <v/>
      </c>
      <c r="Y832" s="37"/>
      <c r="Z832" s="37"/>
      <c r="AA832" s="37"/>
      <c r="AB832" s="37"/>
      <c r="AC832" s="37"/>
      <c r="AD832" s="37"/>
      <c r="AE832" s="37"/>
      <c r="AF832" s="37"/>
      <c r="AG832" s="37"/>
      <c r="AH832" s="37"/>
    </row>
    <row r="833"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40" t="str">
        <f>IFERROR(__xludf.DUMMYFUNCTION("""COMPUTED_VALUE"""),"")</f>
        <v/>
      </c>
      <c r="Y833" s="37"/>
      <c r="Z833" s="37"/>
      <c r="AA833" s="37"/>
      <c r="AB833" s="37"/>
      <c r="AC833" s="37"/>
      <c r="AD833" s="37"/>
      <c r="AE833" s="37"/>
      <c r="AF833" s="37"/>
      <c r="AG833" s="37"/>
      <c r="AH833" s="37"/>
    </row>
    <row r="834"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40" t="str">
        <f>IFERROR(__xludf.DUMMYFUNCTION("""COMPUTED_VALUE"""),"")</f>
        <v/>
      </c>
      <c r="Y834" s="37"/>
      <c r="Z834" s="37"/>
      <c r="AA834" s="37"/>
      <c r="AB834" s="37"/>
      <c r="AC834" s="37"/>
      <c r="AD834" s="37"/>
      <c r="AE834" s="37"/>
      <c r="AF834" s="37"/>
      <c r="AG834" s="37"/>
      <c r="AH834" s="37"/>
    </row>
    <row r="835"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40" t="str">
        <f>IFERROR(__xludf.DUMMYFUNCTION("""COMPUTED_VALUE"""),"")</f>
        <v/>
      </c>
      <c r="Y835" s="37"/>
      <c r="Z835" s="37"/>
      <c r="AA835" s="37"/>
      <c r="AB835" s="37"/>
      <c r="AC835" s="37"/>
      <c r="AD835" s="37"/>
      <c r="AE835" s="37"/>
      <c r="AF835" s="37"/>
      <c r="AG835" s="37"/>
      <c r="AH835" s="37"/>
    </row>
    <row r="836"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40" t="str">
        <f>IFERROR(__xludf.DUMMYFUNCTION("""COMPUTED_VALUE"""),"")</f>
        <v/>
      </c>
      <c r="Y836" s="37"/>
      <c r="Z836" s="37"/>
      <c r="AA836" s="37"/>
      <c r="AB836" s="37"/>
      <c r="AC836" s="37"/>
      <c r="AD836" s="37"/>
      <c r="AE836" s="37"/>
      <c r="AF836" s="37"/>
      <c r="AG836" s="37"/>
      <c r="AH836" s="37"/>
    </row>
    <row r="837"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40" t="str">
        <f>IFERROR(__xludf.DUMMYFUNCTION("""COMPUTED_VALUE"""),"")</f>
        <v/>
      </c>
      <c r="Y837" s="37"/>
      <c r="Z837" s="37"/>
      <c r="AA837" s="37"/>
      <c r="AB837" s="37"/>
      <c r="AC837" s="37"/>
      <c r="AD837" s="37"/>
      <c r="AE837" s="37"/>
      <c r="AF837" s="37"/>
      <c r="AG837" s="37"/>
      <c r="AH837" s="37"/>
    </row>
    <row r="838"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40" t="str">
        <f>IFERROR(__xludf.DUMMYFUNCTION("""COMPUTED_VALUE"""),"")</f>
        <v/>
      </c>
      <c r="Y838" s="37"/>
      <c r="Z838" s="37"/>
      <c r="AA838" s="37"/>
      <c r="AB838" s="37"/>
      <c r="AC838" s="37"/>
      <c r="AD838" s="37"/>
      <c r="AE838" s="37"/>
      <c r="AF838" s="37"/>
      <c r="AG838" s="37"/>
      <c r="AH838" s="37"/>
    </row>
    <row r="839"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40" t="str">
        <f>IFERROR(__xludf.DUMMYFUNCTION("""COMPUTED_VALUE"""),"")</f>
        <v/>
      </c>
      <c r="Y839" s="37"/>
      <c r="Z839" s="37"/>
      <c r="AA839" s="37"/>
      <c r="AB839" s="37"/>
      <c r="AC839" s="37"/>
      <c r="AD839" s="37"/>
      <c r="AE839" s="37"/>
      <c r="AF839" s="37"/>
      <c r="AG839" s="37"/>
      <c r="AH839" s="37"/>
    </row>
    <row r="840"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40" t="str">
        <f>IFERROR(__xludf.DUMMYFUNCTION("""COMPUTED_VALUE"""),"")</f>
        <v/>
      </c>
      <c r="Y840" s="37"/>
      <c r="Z840" s="37"/>
      <c r="AA840" s="37"/>
      <c r="AB840" s="37"/>
      <c r="AC840" s="37"/>
      <c r="AD840" s="37"/>
      <c r="AE840" s="37"/>
      <c r="AF840" s="37"/>
      <c r="AG840" s="37"/>
      <c r="AH840" s="37"/>
    </row>
    <row r="841"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40" t="str">
        <f>IFERROR(__xludf.DUMMYFUNCTION("""COMPUTED_VALUE"""),"")</f>
        <v/>
      </c>
      <c r="Y841" s="37"/>
      <c r="Z841" s="37"/>
      <c r="AA841" s="37"/>
      <c r="AB841" s="37"/>
      <c r="AC841" s="37"/>
      <c r="AD841" s="37"/>
      <c r="AE841" s="37"/>
      <c r="AF841" s="37"/>
      <c r="AG841" s="37"/>
      <c r="AH841" s="37"/>
    </row>
    <row r="842"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40" t="str">
        <f>IFERROR(__xludf.DUMMYFUNCTION("""COMPUTED_VALUE"""),"")</f>
        <v/>
      </c>
      <c r="Y842" s="37"/>
      <c r="Z842" s="37"/>
      <c r="AA842" s="37"/>
      <c r="AB842" s="37"/>
      <c r="AC842" s="37"/>
      <c r="AD842" s="37"/>
      <c r="AE842" s="37"/>
      <c r="AF842" s="37"/>
      <c r="AG842" s="37"/>
      <c r="AH842" s="37"/>
    </row>
    <row r="843"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40" t="str">
        <f>IFERROR(__xludf.DUMMYFUNCTION("""COMPUTED_VALUE"""),"")</f>
        <v/>
      </c>
      <c r="Y843" s="37"/>
      <c r="Z843" s="37"/>
      <c r="AA843" s="37"/>
      <c r="AB843" s="37"/>
      <c r="AC843" s="37"/>
      <c r="AD843" s="37"/>
      <c r="AE843" s="37"/>
      <c r="AF843" s="37"/>
      <c r="AG843" s="37"/>
      <c r="AH843" s="37"/>
    </row>
    <row r="844"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40" t="str">
        <f>IFERROR(__xludf.DUMMYFUNCTION("""COMPUTED_VALUE"""),"")</f>
        <v/>
      </c>
      <c r="Y844" s="37"/>
      <c r="Z844" s="37"/>
      <c r="AA844" s="37"/>
      <c r="AB844" s="37"/>
      <c r="AC844" s="37"/>
      <c r="AD844" s="37"/>
      <c r="AE844" s="37"/>
      <c r="AF844" s="37"/>
      <c r="AG844" s="37"/>
      <c r="AH844" s="37"/>
    </row>
    <row r="845"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40" t="str">
        <f>IFERROR(__xludf.DUMMYFUNCTION("""COMPUTED_VALUE"""),"")</f>
        <v/>
      </c>
      <c r="Y845" s="37"/>
      <c r="Z845" s="37"/>
      <c r="AA845" s="37"/>
      <c r="AB845" s="37"/>
      <c r="AC845" s="37"/>
      <c r="AD845" s="37"/>
      <c r="AE845" s="37"/>
      <c r="AF845" s="37"/>
      <c r="AG845" s="37"/>
      <c r="AH845" s="37"/>
    </row>
    <row r="846"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40" t="str">
        <f>IFERROR(__xludf.DUMMYFUNCTION("""COMPUTED_VALUE"""),"")</f>
        <v/>
      </c>
      <c r="Y846" s="37"/>
      <c r="Z846" s="37"/>
      <c r="AA846" s="37"/>
      <c r="AB846" s="37"/>
      <c r="AC846" s="37"/>
      <c r="AD846" s="37"/>
      <c r="AE846" s="37"/>
      <c r="AF846" s="37"/>
      <c r="AG846" s="37"/>
      <c r="AH846" s="37"/>
    </row>
    <row r="847"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40" t="str">
        <f>IFERROR(__xludf.DUMMYFUNCTION("""COMPUTED_VALUE"""),"")</f>
        <v/>
      </c>
      <c r="Y847" s="37"/>
      <c r="Z847" s="37"/>
      <c r="AA847" s="37"/>
      <c r="AB847" s="37"/>
      <c r="AC847" s="37"/>
      <c r="AD847" s="37"/>
      <c r="AE847" s="37"/>
      <c r="AF847" s="37"/>
      <c r="AG847" s="37"/>
      <c r="AH847" s="37"/>
    </row>
    <row r="848"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40" t="str">
        <f>IFERROR(__xludf.DUMMYFUNCTION("""COMPUTED_VALUE"""),"")</f>
        <v/>
      </c>
      <c r="Y848" s="37"/>
      <c r="Z848" s="37"/>
      <c r="AA848" s="37"/>
      <c r="AB848" s="37"/>
      <c r="AC848" s="37"/>
      <c r="AD848" s="37"/>
      <c r="AE848" s="37"/>
      <c r="AF848" s="37"/>
      <c r="AG848" s="37"/>
      <c r="AH848" s="37"/>
    </row>
    <row r="849"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40" t="str">
        <f>IFERROR(__xludf.DUMMYFUNCTION("""COMPUTED_VALUE"""),"")</f>
        <v/>
      </c>
      <c r="Y849" s="37"/>
      <c r="Z849" s="37"/>
      <c r="AA849" s="37"/>
      <c r="AB849" s="37"/>
      <c r="AC849" s="37"/>
      <c r="AD849" s="37"/>
      <c r="AE849" s="37"/>
      <c r="AF849" s="37"/>
      <c r="AG849" s="37"/>
      <c r="AH849" s="37"/>
    </row>
    <row r="850"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40" t="str">
        <f>IFERROR(__xludf.DUMMYFUNCTION("""COMPUTED_VALUE"""),"")</f>
        <v/>
      </c>
      <c r="Y850" s="37"/>
      <c r="Z850" s="37"/>
      <c r="AA850" s="37"/>
      <c r="AB850" s="37"/>
      <c r="AC850" s="37"/>
      <c r="AD850" s="37"/>
      <c r="AE850" s="37"/>
      <c r="AF850" s="37"/>
      <c r="AG850" s="37"/>
      <c r="AH850" s="37"/>
    </row>
    <row r="851"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40" t="str">
        <f>IFERROR(__xludf.DUMMYFUNCTION("""COMPUTED_VALUE"""),"")</f>
        <v/>
      </c>
      <c r="Y851" s="37"/>
      <c r="Z851" s="37"/>
      <c r="AA851" s="37"/>
      <c r="AB851" s="37"/>
      <c r="AC851" s="37"/>
      <c r="AD851" s="37"/>
      <c r="AE851" s="37"/>
      <c r="AF851" s="37"/>
      <c r="AG851" s="37"/>
      <c r="AH851" s="37"/>
    </row>
    <row r="852"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40" t="str">
        <f>IFERROR(__xludf.DUMMYFUNCTION("""COMPUTED_VALUE"""),"")</f>
        <v/>
      </c>
      <c r="Y852" s="37"/>
      <c r="Z852" s="37"/>
      <c r="AA852" s="37"/>
      <c r="AB852" s="37"/>
      <c r="AC852" s="37"/>
      <c r="AD852" s="37"/>
      <c r="AE852" s="37"/>
      <c r="AF852" s="37"/>
      <c r="AG852" s="37"/>
      <c r="AH852" s="37"/>
    </row>
    <row r="853"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40" t="str">
        <f>IFERROR(__xludf.DUMMYFUNCTION("""COMPUTED_VALUE"""),"")</f>
        <v/>
      </c>
      <c r="Y853" s="37"/>
      <c r="Z853" s="37"/>
      <c r="AA853" s="37"/>
      <c r="AB853" s="37"/>
      <c r="AC853" s="37"/>
      <c r="AD853" s="37"/>
      <c r="AE853" s="37"/>
      <c r="AF853" s="37"/>
      <c r="AG853" s="37"/>
      <c r="AH853" s="37"/>
    </row>
    <row r="854"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40" t="str">
        <f>IFERROR(__xludf.DUMMYFUNCTION("""COMPUTED_VALUE"""),"")</f>
        <v/>
      </c>
      <c r="Y854" s="37"/>
      <c r="Z854" s="37"/>
      <c r="AA854" s="37"/>
      <c r="AB854" s="37"/>
      <c r="AC854" s="37"/>
      <c r="AD854" s="37"/>
      <c r="AE854" s="37"/>
      <c r="AF854" s="37"/>
      <c r="AG854" s="37"/>
      <c r="AH854" s="37"/>
    </row>
    <row r="855"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40" t="str">
        <f>IFERROR(__xludf.DUMMYFUNCTION("""COMPUTED_VALUE"""),"")</f>
        <v/>
      </c>
      <c r="Y855" s="37"/>
      <c r="Z855" s="37"/>
      <c r="AA855" s="37"/>
      <c r="AB855" s="37"/>
      <c r="AC855" s="37"/>
      <c r="AD855" s="37"/>
      <c r="AE855" s="37"/>
      <c r="AF855" s="37"/>
      <c r="AG855" s="37"/>
      <c r="AH855" s="37"/>
    </row>
    <row r="856"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40" t="str">
        <f>IFERROR(__xludf.DUMMYFUNCTION("""COMPUTED_VALUE"""),"")</f>
        <v/>
      </c>
      <c r="Y856" s="37"/>
      <c r="Z856" s="37"/>
      <c r="AA856" s="37"/>
      <c r="AB856" s="37"/>
      <c r="AC856" s="37"/>
      <c r="AD856" s="37"/>
      <c r="AE856" s="37"/>
      <c r="AF856" s="37"/>
      <c r="AG856" s="37"/>
      <c r="AH856" s="37"/>
    </row>
    <row r="857"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40" t="str">
        <f>IFERROR(__xludf.DUMMYFUNCTION("""COMPUTED_VALUE"""),"")</f>
        <v/>
      </c>
      <c r="Y857" s="37"/>
      <c r="Z857" s="37"/>
      <c r="AA857" s="37"/>
      <c r="AB857" s="37"/>
      <c r="AC857" s="37"/>
      <c r="AD857" s="37"/>
      <c r="AE857" s="37"/>
      <c r="AF857" s="37"/>
      <c r="AG857" s="37"/>
      <c r="AH857" s="37"/>
    </row>
    <row r="858"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40" t="str">
        <f>IFERROR(__xludf.DUMMYFUNCTION("""COMPUTED_VALUE"""),"")</f>
        <v/>
      </c>
      <c r="Y858" s="37"/>
      <c r="Z858" s="37"/>
      <c r="AA858" s="37"/>
      <c r="AB858" s="37"/>
      <c r="AC858" s="37"/>
      <c r="AD858" s="37"/>
      <c r="AE858" s="37"/>
      <c r="AF858" s="37"/>
      <c r="AG858" s="37"/>
      <c r="AH858" s="37"/>
    </row>
    <row r="859"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40" t="str">
        <f>IFERROR(__xludf.DUMMYFUNCTION("""COMPUTED_VALUE"""),"")</f>
        <v/>
      </c>
      <c r="Y859" s="37"/>
      <c r="Z859" s="37"/>
      <c r="AA859" s="37"/>
      <c r="AB859" s="37"/>
      <c r="AC859" s="37"/>
      <c r="AD859" s="37"/>
      <c r="AE859" s="37"/>
      <c r="AF859" s="37"/>
      <c r="AG859" s="37"/>
      <c r="AH859" s="37"/>
    </row>
    <row r="860"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40" t="str">
        <f>IFERROR(__xludf.DUMMYFUNCTION("""COMPUTED_VALUE"""),"")</f>
        <v/>
      </c>
      <c r="Y860" s="37"/>
      <c r="Z860" s="37"/>
      <c r="AA860" s="37"/>
      <c r="AB860" s="37"/>
      <c r="AC860" s="37"/>
      <c r="AD860" s="37"/>
      <c r="AE860" s="37"/>
      <c r="AF860" s="37"/>
      <c r="AG860" s="37"/>
      <c r="AH860" s="37"/>
    </row>
    <row r="861"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40" t="str">
        <f>IFERROR(__xludf.DUMMYFUNCTION("""COMPUTED_VALUE"""),"")</f>
        <v/>
      </c>
      <c r="Y861" s="37"/>
      <c r="Z861" s="37"/>
      <c r="AA861" s="37"/>
      <c r="AB861" s="37"/>
      <c r="AC861" s="37"/>
      <c r="AD861" s="37"/>
      <c r="AE861" s="37"/>
      <c r="AF861" s="37"/>
      <c r="AG861" s="37"/>
      <c r="AH861" s="37"/>
    </row>
    <row r="862"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40" t="str">
        <f>IFERROR(__xludf.DUMMYFUNCTION("""COMPUTED_VALUE"""),"")</f>
        <v/>
      </c>
      <c r="Y862" s="37"/>
      <c r="Z862" s="37"/>
      <c r="AA862" s="37"/>
      <c r="AB862" s="37"/>
      <c r="AC862" s="37"/>
      <c r="AD862" s="37"/>
      <c r="AE862" s="37"/>
      <c r="AF862" s="37"/>
      <c r="AG862" s="37"/>
      <c r="AH862" s="37"/>
    </row>
    <row r="863"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40" t="str">
        <f>IFERROR(__xludf.DUMMYFUNCTION("""COMPUTED_VALUE"""),"")</f>
        <v/>
      </c>
      <c r="Y863" s="37"/>
      <c r="Z863" s="37"/>
      <c r="AA863" s="37"/>
      <c r="AB863" s="37"/>
      <c r="AC863" s="37"/>
      <c r="AD863" s="37"/>
      <c r="AE863" s="37"/>
      <c r="AF863" s="37"/>
      <c r="AG863" s="37"/>
      <c r="AH863" s="37"/>
    </row>
    <row r="864"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40" t="str">
        <f>IFERROR(__xludf.DUMMYFUNCTION("""COMPUTED_VALUE"""),"")</f>
        <v/>
      </c>
      <c r="Y864" s="37"/>
      <c r="Z864" s="37"/>
      <c r="AA864" s="37"/>
      <c r="AB864" s="37"/>
      <c r="AC864" s="37"/>
      <c r="AD864" s="37"/>
      <c r="AE864" s="37"/>
      <c r="AF864" s="37"/>
      <c r="AG864" s="37"/>
      <c r="AH864" s="37"/>
    </row>
    <row r="865"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40" t="str">
        <f>IFERROR(__xludf.DUMMYFUNCTION("""COMPUTED_VALUE"""),"")</f>
        <v/>
      </c>
      <c r="Y865" s="37"/>
      <c r="Z865" s="37"/>
      <c r="AA865" s="37"/>
      <c r="AB865" s="37"/>
      <c r="AC865" s="37"/>
      <c r="AD865" s="37"/>
      <c r="AE865" s="37"/>
      <c r="AF865" s="37"/>
      <c r="AG865" s="37"/>
      <c r="AH865" s="37"/>
    </row>
    <row r="866"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40" t="str">
        <f>IFERROR(__xludf.DUMMYFUNCTION("""COMPUTED_VALUE"""),"")</f>
        <v/>
      </c>
      <c r="Y866" s="37"/>
      <c r="Z866" s="37"/>
      <c r="AA866" s="37"/>
      <c r="AB866" s="37"/>
      <c r="AC866" s="37"/>
      <c r="AD866" s="37"/>
      <c r="AE866" s="37"/>
      <c r="AF866" s="37"/>
      <c r="AG866" s="37"/>
      <c r="AH866" s="37"/>
    </row>
    <row r="867"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40" t="str">
        <f>IFERROR(__xludf.DUMMYFUNCTION("""COMPUTED_VALUE"""),"")</f>
        <v/>
      </c>
      <c r="Y867" s="37"/>
      <c r="Z867" s="37"/>
      <c r="AA867" s="37"/>
      <c r="AB867" s="37"/>
      <c r="AC867" s="37"/>
      <c r="AD867" s="37"/>
      <c r="AE867" s="37"/>
      <c r="AF867" s="37"/>
      <c r="AG867" s="37"/>
      <c r="AH867" s="37"/>
    </row>
    <row r="868"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40" t="str">
        <f>IFERROR(__xludf.DUMMYFUNCTION("""COMPUTED_VALUE"""),"")</f>
        <v/>
      </c>
      <c r="Y868" s="37"/>
      <c r="Z868" s="37"/>
      <c r="AA868" s="37"/>
      <c r="AB868" s="37"/>
      <c r="AC868" s="37"/>
      <c r="AD868" s="37"/>
      <c r="AE868" s="37"/>
      <c r="AF868" s="37"/>
      <c r="AG868" s="37"/>
      <c r="AH868" s="37"/>
    </row>
    <row r="869"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40" t="str">
        <f>IFERROR(__xludf.DUMMYFUNCTION("""COMPUTED_VALUE"""),"")</f>
        <v/>
      </c>
      <c r="Y869" s="37"/>
      <c r="Z869" s="37"/>
      <c r="AA869" s="37"/>
      <c r="AB869" s="37"/>
      <c r="AC869" s="37"/>
      <c r="AD869" s="37"/>
      <c r="AE869" s="37"/>
      <c r="AF869" s="37"/>
      <c r="AG869" s="37"/>
      <c r="AH869" s="37"/>
    </row>
    <row r="870"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40" t="str">
        <f>IFERROR(__xludf.DUMMYFUNCTION("""COMPUTED_VALUE"""),"")</f>
        <v/>
      </c>
      <c r="Y870" s="37"/>
      <c r="Z870" s="37"/>
      <c r="AA870" s="37"/>
      <c r="AB870" s="37"/>
      <c r="AC870" s="37"/>
      <c r="AD870" s="37"/>
      <c r="AE870" s="37"/>
      <c r="AF870" s="37"/>
      <c r="AG870" s="37"/>
      <c r="AH870" s="37"/>
    </row>
    <row r="871"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40" t="str">
        <f>IFERROR(__xludf.DUMMYFUNCTION("""COMPUTED_VALUE"""),"")</f>
        <v/>
      </c>
      <c r="Y871" s="37"/>
      <c r="Z871" s="37"/>
      <c r="AA871" s="37"/>
      <c r="AB871" s="37"/>
      <c r="AC871" s="37"/>
      <c r="AD871" s="37"/>
      <c r="AE871" s="37"/>
      <c r="AF871" s="37"/>
      <c r="AG871" s="37"/>
      <c r="AH871" s="37"/>
    </row>
    <row r="872"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40" t="str">
        <f>IFERROR(__xludf.DUMMYFUNCTION("""COMPUTED_VALUE"""),"")</f>
        <v/>
      </c>
      <c r="Y872" s="37"/>
      <c r="Z872" s="37"/>
      <c r="AA872" s="37"/>
      <c r="AB872" s="37"/>
      <c r="AC872" s="37"/>
      <c r="AD872" s="37"/>
      <c r="AE872" s="37"/>
      <c r="AF872" s="37"/>
      <c r="AG872" s="37"/>
      <c r="AH872" s="37"/>
    </row>
    <row r="873"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40" t="str">
        <f>IFERROR(__xludf.DUMMYFUNCTION("""COMPUTED_VALUE"""),"")</f>
        <v/>
      </c>
      <c r="Y873" s="37"/>
      <c r="Z873" s="37"/>
      <c r="AA873" s="37"/>
      <c r="AB873" s="37"/>
      <c r="AC873" s="37"/>
      <c r="AD873" s="37"/>
      <c r="AE873" s="37"/>
      <c r="AF873" s="37"/>
      <c r="AG873" s="37"/>
      <c r="AH873" s="37"/>
    </row>
    <row r="874"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40" t="str">
        <f>IFERROR(__xludf.DUMMYFUNCTION("""COMPUTED_VALUE"""),"")</f>
        <v/>
      </c>
      <c r="Y874" s="37"/>
      <c r="Z874" s="37"/>
      <c r="AA874" s="37"/>
      <c r="AB874" s="37"/>
      <c r="AC874" s="37"/>
      <c r="AD874" s="37"/>
      <c r="AE874" s="37"/>
      <c r="AF874" s="37"/>
      <c r="AG874" s="37"/>
      <c r="AH874" s="37"/>
    </row>
    <row r="875"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40" t="str">
        <f>IFERROR(__xludf.DUMMYFUNCTION("""COMPUTED_VALUE"""),"")</f>
        <v/>
      </c>
      <c r="Y875" s="37"/>
      <c r="Z875" s="37"/>
      <c r="AA875" s="37"/>
      <c r="AB875" s="37"/>
      <c r="AC875" s="37"/>
      <c r="AD875" s="37"/>
      <c r="AE875" s="37"/>
      <c r="AF875" s="37"/>
      <c r="AG875" s="37"/>
      <c r="AH875" s="37"/>
    </row>
    <row r="876"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40" t="str">
        <f>IFERROR(__xludf.DUMMYFUNCTION("""COMPUTED_VALUE"""),"")</f>
        <v/>
      </c>
      <c r="Y876" s="37"/>
      <c r="Z876" s="37"/>
      <c r="AA876" s="37"/>
      <c r="AB876" s="37"/>
      <c r="AC876" s="37"/>
      <c r="AD876" s="37"/>
      <c r="AE876" s="37"/>
      <c r="AF876" s="37"/>
      <c r="AG876" s="37"/>
      <c r="AH876" s="37"/>
    </row>
    <row r="877"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40" t="str">
        <f>IFERROR(__xludf.DUMMYFUNCTION("""COMPUTED_VALUE"""),"")</f>
        <v/>
      </c>
      <c r="Y877" s="37"/>
      <c r="Z877" s="37"/>
      <c r="AA877" s="37"/>
      <c r="AB877" s="37"/>
      <c r="AC877" s="37"/>
      <c r="AD877" s="37"/>
      <c r="AE877" s="37"/>
      <c r="AF877" s="37"/>
      <c r="AG877" s="37"/>
      <c r="AH877" s="37"/>
    </row>
    <row r="878"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40" t="str">
        <f>IFERROR(__xludf.DUMMYFUNCTION("""COMPUTED_VALUE"""),"")</f>
        <v/>
      </c>
      <c r="Y878" s="37"/>
      <c r="Z878" s="37"/>
      <c r="AA878" s="37"/>
      <c r="AB878" s="37"/>
      <c r="AC878" s="37"/>
      <c r="AD878" s="37"/>
      <c r="AE878" s="37"/>
      <c r="AF878" s="37"/>
      <c r="AG878" s="37"/>
      <c r="AH878" s="37"/>
    </row>
    <row r="879"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40" t="str">
        <f>IFERROR(__xludf.DUMMYFUNCTION("""COMPUTED_VALUE"""),"")</f>
        <v/>
      </c>
      <c r="Y879" s="37"/>
      <c r="Z879" s="37"/>
      <c r="AA879" s="37"/>
      <c r="AB879" s="37"/>
      <c r="AC879" s="37"/>
      <c r="AD879" s="37"/>
      <c r="AE879" s="37"/>
      <c r="AF879" s="37"/>
      <c r="AG879" s="37"/>
      <c r="AH879" s="37"/>
    </row>
    <row r="880"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40" t="str">
        <f>IFERROR(__xludf.DUMMYFUNCTION("""COMPUTED_VALUE"""),"")</f>
        <v/>
      </c>
      <c r="Y880" s="37"/>
      <c r="Z880" s="37"/>
      <c r="AA880" s="37"/>
      <c r="AB880" s="37"/>
      <c r="AC880" s="37"/>
      <c r="AD880" s="37"/>
      <c r="AE880" s="37"/>
      <c r="AF880" s="37"/>
      <c r="AG880" s="37"/>
      <c r="AH880" s="37"/>
    </row>
    <row r="881"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40" t="str">
        <f>IFERROR(__xludf.DUMMYFUNCTION("""COMPUTED_VALUE"""),"")</f>
        <v/>
      </c>
      <c r="Y881" s="37"/>
      <c r="Z881" s="37"/>
      <c r="AA881" s="37"/>
      <c r="AB881" s="37"/>
      <c r="AC881" s="37"/>
      <c r="AD881" s="37"/>
      <c r="AE881" s="37"/>
      <c r="AF881" s="37"/>
      <c r="AG881" s="37"/>
      <c r="AH881" s="37"/>
    </row>
    <row r="882"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40" t="str">
        <f>IFERROR(__xludf.DUMMYFUNCTION("""COMPUTED_VALUE"""),"")</f>
        <v/>
      </c>
      <c r="Y882" s="37"/>
      <c r="Z882" s="37"/>
      <c r="AA882" s="37"/>
      <c r="AB882" s="37"/>
      <c r="AC882" s="37"/>
      <c r="AD882" s="37"/>
      <c r="AE882" s="37"/>
      <c r="AF882" s="37"/>
      <c r="AG882" s="37"/>
      <c r="AH882" s="37"/>
    </row>
    <row r="883"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40" t="str">
        <f>IFERROR(__xludf.DUMMYFUNCTION("""COMPUTED_VALUE"""),"")</f>
        <v/>
      </c>
      <c r="Y883" s="37"/>
      <c r="Z883" s="37"/>
      <c r="AA883" s="37"/>
      <c r="AB883" s="37"/>
      <c r="AC883" s="37"/>
      <c r="AD883" s="37"/>
      <c r="AE883" s="37"/>
      <c r="AF883" s="37"/>
      <c r="AG883" s="37"/>
      <c r="AH883" s="37"/>
    </row>
    <row r="884"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40" t="str">
        <f>IFERROR(__xludf.DUMMYFUNCTION("""COMPUTED_VALUE"""),"")</f>
        <v/>
      </c>
      <c r="Y884" s="37"/>
      <c r="Z884" s="37"/>
      <c r="AA884" s="37"/>
      <c r="AB884" s="37"/>
      <c r="AC884" s="37"/>
      <c r="AD884" s="37"/>
      <c r="AE884" s="37"/>
      <c r="AF884" s="37"/>
      <c r="AG884" s="37"/>
      <c r="AH884" s="37"/>
    </row>
    <row r="885"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40" t="str">
        <f>IFERROR(__xludf.DUMMYFUNCTION("""COMPUTED_VALUE"""),"")</f>
        <v/>
      </c>
      <c r="Y885" s="37"/>
      <c r="Z885" s="37"/>
      <c r="AA885" s="37"/>
      <c r="AB885" s="37"/>
      <c r="AC885" s="37"/>
      <c r="AD885" s="37"/>
      <c r="AE885" s="37"/>
      <c r="AF885" s="37"/>
      <c r="AG885" s="37"/>
      <c r="AH885" s="37"/>
    </row>
    <row r="886"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40" t="str">
        <f>IFERROR(__xludf.DUMMYFUNCTION("""COMPUTED_VALUE"""),"")</f>
        <v/>
      </c>
      <c r="Y886" s="37"/>
      <c r="Z886" s="37"/>
      <c r="AA886" s="37"/>
      <c r="AB886" s="37"/>
      <c r="AC886" s="37"/>
      <c r="AD886" s="37"/>
      <c r="AE886" s="37"/>
      <c r="AF886" s="37"/>
      <c r="AG886" s="37"/>
      <c r="AH886" s="37"/>
    </row>
    <row r="887"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40" t="str">
        <f>IFERROR(__xludf.DUMMYFUNCTION("""COMPUTED_VALUE"""),"")</f>
        <v/>
      </c>
      <c r="Y887" s="37"/>
      <c r="Z887" s="37"/>
      <c r="AA887" s="37"/>
      <c r="AB887" s="37"/>
      <c r="AC887" s="37"/>
      <c r="AD887" s="37"/>
      <c r="AE887" s="37"/>
      <c r="AF887" s="37"/>
      <c r="AG887" s="37"/>
      <c r="AH887" s="37"/>
    </row>
    <row r="888"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40" t="str">
        <f>IFERROR(__xludf.DUMMYFUNCTION("""COMPUTED_VALUE"""),"")</f>
        <v/>
      </c>
      <c r="Y888" s="37"/>
      <c r="Z888" s="37"/>
      <c r="AA888" s="37"/>
      <c r="AB888" s="37"/>
      <c r="AC888" s="37"/>
      <c r="AD888" s="37"/>
      <c r="AE888" s="37"/>
      <c r="AF888" s="37"/>
      <c r="AG888" s="37"/>
      <c r="AH888" s="37"/>
    </row>
    <row r="889"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40" t="str">
        <f>IFERROR(__xludf.DUMMYFUNCTION("""COMPUTED_VALUE"""),"")</f>
        <v/>
      </c>
      <c r="Y889" s="37"/>
      <c r="Z889" s="37"/>
      <c r="AA889" s="37"/>
      <c r="AB889" s="37"/>
      <c r="AC889" s="37"/>
      <c r="AD889" s="37"/>
      <c r="AE889" s="37"/>
      <c r="AF889" s="37"/>
      <c r="AG889" s="37"/>
      <c r="AH889" s="37"/>
    </row>
    <row r="890"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40" t="str">
        <f>IFERROR(__xludf.DUMMYFUNCTION("""COMPUTED_VALUE"""),"")</f>
        <v/>
      </c>
      <c r="Y890" s="37"/>
      <c r="Z890" s="37"/>
      <c r="AA890" s="37"/>
      <c r="AB890" s="37"/>
      <c r="AC890" s="37"/>
      <c r="AD890" s="37"/>
      <c r="AE890" s="37"/>
      <c r="AF890" s="37"/>
      <c r="AG890" s="37"/>
      <c r="AH890" s="37"/>
    </row>
    <row r="891"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40" t="str">
        <f>IFERROR(__xludf.DUMMYFUNCTION("""COMPUTED_VALUE"""),"")</f>
        <v/>
      </c>
      <c r="Y891" s="37"/>
      <c r="Z891" s="37"/>
      <c r="AA891" s="37"/>
      <c r="AB891" s="37"/>
      <c r="AC891" s="37"/>
      <c r="AD891" s="37"/>
      <c r="AE891" s="37"/>
      <c r="AF891" s="37"/>
      <c r="AG891" s="37"/>
      <c r="AH891" s="37"/>
    </row>
    <row r="892"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40" t="str">
        <f>IFERROR(__xludf.DUMMYFUNCTION("""COMPUTED_VALUE"""),"")</f>
        <v/>
      </c>
      <c r="Y892" s="37"/>
      <c r="Z892" s="37"/>
      <c r="AA892" s="37"/>
      <c r="AB892" s="37"/>
      <c r="AC892" s="37"/>
      <c r="AD892" s="37"/>
      <c r="AE892" s="37"/>
      <c r="AF892" s="37"/>
      <c r="AG892" s="37"/>
      <c r="AH892" s="37"/>
    </row>
    <row r="893"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40" t="str">
        <f>IFERROR(__xludf.DUMMYFUNCTION("""COMPUTED_VALUE"""),"")</f>
        <v/>
      </c>
      <c r="Y893" s="37"/>
      <c r="Z893" s="37"/>
      <c r="AA893" s="37"/>
      <c r="AB893" s="37"/>
      <c r="AC893" s="37"/>
      <c r="AD893" s="37"/>
      <c r="AE893" s="37"/>
      <c r="AF893" s="37"/>
      <c r="AG893" s="37"/>
      <c r="AH893" s="37"/>
    </row>
    <row r="894"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40" t="str">
        <f>IFERROR(__xludf.DUMMYFUNCTION("""COMPUTED_VALUE"""),"")</f>
        <v/>
      </c>
      <c r="Y894" s="37"/>
      <c r="Z894" s="37"/>
      <c r="AA894" s="37"/>
      <c r="AB894" s="37"/>
      <c r="AC894" s="37"/>
      <c r="AD894" s="37"/>
      <c r="AE894" s="37"/>
      <c r="AF894" s="37"/>
      <c r="AG894" s="37"/>
      <c r="AH894" s="37"/>
    </row>
    <row r="895"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40" t="str">
        <f>IFERROR(__xludf.DUMMYFUNCTION("""COMPUTED_VALUE"""),"")</f>
        <v/>
      </c>
      <c r="Y895" s="37"/>
      <c r="Z895" s="37"/>
      <c r="AA895" s="37"/>
      <c r="AB895" s="37"/>
      <c r="AC895" s="37"/>
      <c r="AD895" s="37"/>
      <c r="AE895" s="37"/>
      <c r="AF895" s="37"/>
      <c r="AG895" s="37"/>
      <c r="AH895" s="37"/>
    </row>
    <row r="896"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40" t="str">
        <f>IFERROR(__xludf.DUMMYFUNCTION("""COMPUTED_VALUE"""),"")</f>
        <v/>
      </c>
      <c r="Y896" s="37"/>
      <c r="Z896" s="37"/>
      <c r="AA896" s="37"/>
      <c r="AB896" s="37"/>
      <c r="AC896" s="37"/>
      <c r="AD896" s="37"/>
      <c r="AE896" s="37"/>
      <c r="AF896" s="37"/>
      <c r="AG896" s="37"/>
      <c r="AH896" s="37"/>
    </row>
    <row r="897"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40" t="str">
        <f>IFERROR(__xludf.DUMMYFUNCTION("""COMPUTED_VALUE"""),"")</f>
        <v/>
      </c>
      <c r="Y897" s="37"/>
      <c r="Z897" s="37"/>
      <c r="AA897" s="37"/>
      <c r="AB897" s="37"/>
      <c r="AC897" s="37"/>
      <c r="AD897" s="37"/>
      <c r="AE897" s="37"/>
      <c r="AF897" s="37"/>
      <c r="AG897" s="37"/>
      <c r="AH897" s="37"/>
    </row>
    <row r="898"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40" t="str">
        <f>IFERROR(__xludf.DUMMYFUNCTION("""COMPUTED_VALUE"""),"")</f>
        <v/>
      </c>
      <c r="Y898" s="37"/>
      <c r="Z898" s="37"/>
      <c r="AA898" s="37"/>
      <c r="AB898" s="37"/>
      <c r="AC898" s="37"/>
      <c r="AD898" s="37"/>
      <c r="AE898" s="37"/>
      <c r="AF898" s="37"/>
      <c r="AG898" s="37"/>
      <c r="AH898" s="37"/>
    </row>
    <row r="899"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40" t="str">
        <f>IFERROR(__xludf.DUMMYFUNCTION("""COMPUTED_VALUE"""),"")</f>
        <v/>
      </c>
      <c r="Y899" s="37"/>
      <c r="Z899" s="37"/>
      <c r="AA899" s="37"/>
      <c r="AB899" s="37"/>
      <c r="AC899" s="37"/>
      <c r="AD899" s="37"/>
      <c r="AE899" s="37"/>
      <c r="AF899" s="37"/>
      <c r="AG899" s="37"/>
      <c r="AH899" s="37"/>
    </row>
    <row r="900"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40" t="str">
        <f>IFERROR(__xludf.DUMMYFUNCTION("""COMPUTED_VALUE"""),"")</f>
        <v/>
      </c>
      <c r="Y900" s="37"/>
      <c r="Z900" s="37"/>
      <c r="AA900" s="37"/>
      <c r="AB900" s="37"/>
      <c r="AC900" s="37"/>
      <c r="AD900" s="37"/>
      <c r="AE900" s="37"/>
      <c r="AF900" s="37"/>
      <c r="AG900" s="37"/>
      <c r="AH900" s="37"/>
    </row>
    <row r="901"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40" t="str">
        <f>IFERROR(__xludf.DUMMYFUNCTION("""COMPUTED_VALUE"""),"")</f>
        <v/>
      </c>
      <c r="Y901" s="37"/>
      <c r="Z901" s="37"/>
      <c r="AA901" s="37"/>
      <c r="AB901" s="37"/>
      <c r="AC901" s="37"/>
      <c r="AD901" s="37"/>
      <c r="AE901" s="37"/>
      <c r="AF901" s="37"/>
      <c r="AG901" s="37"/>
      <c r="AH901" s="37"/>
    </row>
    <row r="902"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40" t="str">
        <f>IFERROR(__xludf.DUMMYFUNCTION("""COMPUTED_VALUE"""),"")</f>
        <v/>
      </c>
      <c r="Y902" s="37"/>
      <c r="Z902" s="37"/>
      <c r="AA902" s="37"/>
      <c r="AB902" s="37"/>
      <c r="AC902" s="37"/>
      <c r="AD902" s="37"/>
      <c r="AE902" s="37"/>
      <c r="AF902" s="37"/>
      <c r="AG902" s="37"/>
      <c r="AH902" s="37"/>
    </row>
    <row r="903"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40" t="str">
        <f>IFERROR(__xludf.DUMMYFUNCTION("""COMPUTED_VALUE"""),"")</f>
        <v/>
      </c>
      <c r="Y903" s="37"/>
      <c r="Z903" s="37"/>
      <c r="AA903" s="37"/>
      <c r="AB903" s="37"/>
      <c r="AC903" s="37"/>
      <c r="AD903" s="37"/>
      <c r="AE903" s="37"/>
      <c r="AF903" s="37"/>
      <c r="AG903" s="37"/>
      <c r="AH903" s="37"/>
    </row>
    <row r="904"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40" t="str">
        <f>IFERROR(__xludf.DUMMYFUNCTION("""COMPUTED_VALUE"""),"")</f>
        <v/>
      </c>
      <c r="Y904" s="37"/>
      <c r="Z904" s="37"/>
      <c r="AA904" s="37"/>
      <c r="AB904" s="37"/>
      <c r="AC904" s="37"/>
      <c r="AD904" s="37"/>
      <c r="AE904" s="37"/>
      <c r="AF904" s="37"/>
      <c r="AG904" s="37"/>
      <c r="AH904" s="37"/>
    </row>
    <row r="905"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40" t="str">
        <f>IFERROR(__xludf.DUMMYFUNCTION("""COMPUTED_VALUE"""),"")</f>
        <v/>
      </c>
      <c r="Y905" s="37"/>
      <c r="Z905" s="37"/>
      <c r="AA905" s="37"/>
      <c r="AB905" s="37"/>
      <c r="AC905" s="37"/>
      <c r="AD905" s="37"/>
      <c r="AE905" s="37"/>
      <c r="AF905" s="37"/>
      <c r="AG905" s="37"/>
      <c r="AH905" s="37"/>
    </row>
    <row r="906"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40" t="str">
        <f>IFERROR(__xludf.DUMMYFUNCTION("""COMPUTED_VALUE"""),"")</f>
        <v/>
      </c>
      <c r="Y906" s="37"/>
      <c r="Z906" s="37"/>
      <c r="AA906" s="37"/>
      <c r="AB906" s="37"/>
      <c r="AC906" s="37"/>
      <c r="AD906" s="37"/>
      <c r="AE906" s="37"/>
      <c r="AF906" s="37"/>
      <c r="AG906" s="37"/>
      <c r="AH906" s="37"/>
    </row>
    <row r="907"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40" t="str">
        <f>IFERROR(__xludf.DUMMYFUNCTION("""COMPUTED_VALUE"""),"")</f>
        <v/>
      </c>
      <c r="Y907" s="37"/>
      <c r="Z907" s="37"/>
      <c r="AA907" s="37"/>
      <c r="AB907" s="37"/>
      <c r="AC907" s="37"/>
      <c r="AD907" s="37"/>
      <c r="AE907" s="37"/>
      <c r="AF907" s="37"/>
      <c r="AG907" s="37"/>
      <c r="AH907" s="37"/>
    </row>
    <row r="908"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40" t="str">
        <f>IFERROR(__xludf.DUMMYFUNCTION("""COMPUTED_VALUE"""),"")</f>
        <v/>
      </c>
      <c r="Y908" s="37"/>
      <c r="Z908" s="37"/>
      <c r="AA908" s="37"/>
      <c r="AB908" s="37"/>
      <c r="AC908" s="37"/>
      <c r="AD908" s="37"/>
      <c r="AE908" s="37"/>
      <c r="AF908" s="37"/>
      <c r="AG908" s="37"/>
      <c r="AH908" s="37"/>
    </row>
    <row r="909"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40" t="str">
        <f>IFERROR(__xludf.DUMMYFUNCTION("""COMPUTED_VALUE"""),"")</f>
        <v/>
      </c>
      <c r="Y909" s="37"/>
      <c r="Z909" s="37"/>
      <c r="AA909" s="37"/>
      <c r="AB909" s="37"/>
      <c r="AC909" s="37"/>
      <c r="AD909" s="37"/>
      <c r="AE909" s="37"/>
      <c r="AF909" s="37"/>
      <c r="AG909" s="37"/>
      <c r="AH909" s="37"/>
    </row>
    <row r="910"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40" t="str">
        <f>IFERROR(__xludf.DUMMYFUNCTION("""COMPUTED_VALUE"""),"")</f>
        <v/>
      </c>
      <c r="Y910" s="37"/>
      <c r="Z910" s="37"/>
      <c r="AA910" s="37"/>
      <c r="AB910" s="37"/>
      <c r="AC910" s="37"/>
      <c r="AD910" s="37"/>
      <c r="AE910" s="37"/>
      <c r="AF910" s="37"/>
      <c r="AG910" s="37"/>
      <c r="AH910" s="37"/>
    </row>
    <row r="911"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40" t="str">
        <f>IFERROR(__xludf.DUMMYFUNCTION("""COMPUTED_VALUE"""),"")</f>
        <v/>
      </c>
      <c r="Y911" s="37"/>
      <c r="Z911" s="37"/>
      <c r="AA911" s="37"/>
      <c r="AB911" s="37"/>
      <c r="AC911" s="37"/>
      <c r="AD911" s="37"/>
      <c r="AE911" s="37"/>
      <c r="AF911" s="37"/>
      <c r="AG911" s="37"/>
      <c r="AH911" s="37"/>
    </row>
    <row r="912"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40" t="str">
        <f>IFERROR(__xludf.DUMMYFUNCTION("""COMPUTED_VALUE"""),"")</f>
        <v/>
      </c>
      <c r="Y912" s="37"/>
      <c r="Z912" s="37"/>
      <c r="AA912" s="37"/>
      <c r="AB912" s="37"/>
      <c r="AC912" s="37"/>
      <c r="AD912" s="37"/>
      <c r="AE912" s="37"/>
      <c r="AF912" s="37"/>
      <c r="AG912" s="37"/>
      <c r="AH912" s="37"/>
    </row>
    <row r="913"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40" t="str">
        <f>IFERROR(__xludf.DUMMYFUNCTION("""COMPUTED_VALUE"""),"")</f>
        <v/>
      </c>
      <c r="Y913" s="37"/>
      <c r="Z913" s="37"/>
      <c r="AA913" s="37"/>
      <c r="AB913" s="37"/>
      <c r="AC913" s="37"/>
      <c r="AD913" s="37"/>
      <c r="AE913" s="37"/>
      <c r="AF913" s="37"/>
      <c r="AG913" s="37"/>
      <c r="AH913" s="37"/>
    </row>
    <row r="914"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40" t="str">
        <f>IFERROR(__xludf.DUMMYFUNCTION("""COMPUTED_VALUE"""),"")</f>
        <v/>
      </c>
      <c r="Y914" s="37"/>
      <c r="Z914" s="37"/>
      <c r="AA914" s="37"/>
      <c r="AB914" s="37"/>
      <c r="AC914" s="37"/>
      <c r="AD914" s="37"/>
      <c r="AE914" s="37"/>
      <c r="AF914" s="37"/>
      <c r="AG914" s="37"/>
      <c r="AH914" s="37"/>
    </row>
    <row r="915"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40" t="str">
        <f>IFERROR(__xludf.DUMMYFUNCTION("""COMPUTED_VALUE"""),"")</f>
        <v/>
      </c>
      <c r="Y915" s="37"/>
      <c r="Z915" s="37"/>
      <c r="AA915" s="37"/>
      <c r="AB915" s="37"/>
      <c r="AC915" s="37"/>
      <c r="AD915" s="37"/>
      <c r="AE915" s="37"/>
      <c r="AF915" s="37"/>
      <c r="AG915" s="37"/>
      <c r="AH915" s="37"/>
    </row>
    <row r="916"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40" t="str">
        <f>IFERROR(__xludf.DUMMYFUNCTION("""COMPUTED_VALUE"""),"")</f>
        <v/>
      </c>
      <c r="Y916" s="37"/>
      <c r="Z916" s="37"/>
      <c r="AA916" s="37"/>
      <c r="AB916" s="37"/>
      <c r="AC916" s="37"/>
      <c r="AD916" s="37"/>
      <c r="AE916" s="37"/>
      <c r="AF916" s="37"/>
      <c r="AG916" s="37"/>
      <c r="AH916" s="37"/>
    </row>
    <row r="917"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40" t="str">
        <f>IFERROR(__xludf.DUMMYFUNCTION("""COMPUTED_VALUE"""),"")</f>
        <v/>
      </c>
      <c r="Y917" s="37"/>
      <c r="Z917" s="37"/>
      <c r="AA917" s="37"/>
      <c r="AB917" s="37"/>
      <c r="AC917" s="37"/>
      <c r="AD917" s="37"/>
      <c r="AE917" s="37"/>
      <c r="AF917" s="37"/>
      <c r="AG917" s="37"/>
      <c r="AH917" s="37"/>
    </row>
    <row r="918"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40" t="str">
        <f>IFERROR(__xludf.DUMMYFUNCTION("""COMPUTED_VALUE"""),"")</f>
        <v/>
      </c>
      <c r="Y918" s="37"/>
      <c r="Z918" s="37"/>
      <c r="AA918" s="37"/>
      <c r="AB918" s="37"/>
      <c r="AC918" s="37"/>
      <c r="AD918" s="37"/>
      <c r="AE918" s="37"/>
      <c r="AF918" s="37"/>
      <c r="AG918" s="37"/>
      <c r="AH918" s="37"/>
    </row>
    <row r="919"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40" t="str">
        <f>IFERROR(__xludf.DUMMYFUNCTION("""COMPUTED_VALUE"""),"")</f>
        <v/>
      </c>
      <c r="Y919" s="37"/>
      <c r="Z919" s="37"/>
      <c r="AA919" s="37"/>
      <c r="AB919" s="37"/>
      <c r="AC919" s="37"/>
      <c r="AD919" s="37"/>
      <c r="AE919" s="37"/>
      <c r="AF919" s="37"/>
      <c r="AG919" s="37"/>
      <c r="AH919" s="37"/>
    </row>
    <row r="920"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40" t="str">
        <f>IFERROR(__xludf.DUMMYFUNCTION("""COMPUTED_VALUE"""),"")</f>
        <v/>
      </c>
      <c r="Y920" s="37"/>
      <c r="Z920" s="37"/>
      <c r="AA920" s="37"/>
      <c r="AB920" s="37"/>
      <c r="AC920" s="37"/>
      <c r="AD920" s="37"/>
      <c r="AE920" s="37"/>
      <c r="AF920" s="37"/>
      <c r="AG920" s="37"/>
      <c r="AH920" s="37"/>
    </row>
    <row r="921"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40" t="str">
        <f>IFERROR(__xludf.DUMMYFUNCTION("""COMPUTED_VALUE"""),"")</f>
        <v/>
      </c>
      <c r="Y921" s="37"/>
      <c r="Z921" s="37"/>
      <c r="AA921" s="37"/>
      <c r="AB921" s="37"/>
      <c r="AC921" s="37"/>
      <c r="AD921" s="37"/>
      <c r="AE921" s="37"/>
      <c r="AF921" s="37"/>
      <c r="AG921" s="37"/>
      <c r="AH921" s="37"/>
    </row>
    <row r="922"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40" t="str">
        <f>IFERROR(__xludf.DUMMYFUNCTION("""COMPUTED_VALUE"""),"")</f>
        <v/>
      </c>
      <c r="Y922" s="37"/>
      <c r="Z922" s="37"/>
      <c r="AA922" s="37"/>
      <c r="AB922" s="37"/>
      <c r="AC922" s="37"/>
      <c r="AD922" s="37"/>
      <c r="AE922" s="37"/>
      <c r="AF922" s="37"/>
      <c r="AG922" s="37"/>
      <c r="AH922" s="37"/>
    </row>
    <row r="923"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40" t="str">
        <f>IFERROR(__xludf.DUMMYFUNCTION("""COMPUTED_VALUE"""),"")</f>
        <v/>
      </c>
      <c r="Y923" s="37"/>
      <c r="Z923" s="37"/>
      <c r="AA923" s="37"/>
      <c r="AB923" s="37"/>
      <c r="AC923" s="37"/>
      <c r="AD923" s="37"/>
      <c r="AE923" s="37"/>
      <c r="AF923" s="37"/>
      <c r="AG923" s="37"/>
      <c r="AH923" s="37"/>
    </row>
    <row r="924"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40" t="str">
        <f>IFERROR(__xludf.DUMMYFUNCTION("""COMPUTED_VALUE"""),"")</f>
        <v/>
      </c>
      <c r="Y924" s="37"/>
      <c r="Z924" s="37"/>
      <c r="AA924" s="37"/>
      <c r="AB924" s="37"/>
      <c r="AC924" s="37"/>
      <c r="AD924" s="37"/>
      <c r="AE924" s="37"/>
      <c r="AF924" s="37"/>
      <c r="AG924" s="37"/>
      <c r="AH924" s="37"/>
    </row>
    <row r="925"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40" t="str">
        <f>IFERROR(__xludf.DUMMYFUNCTION("""COMPUTED_VALUE"""),"")</f>
        <v/>
      </c>
      <c r="Y925" s="37"/>
      <c r="Z925" s="37"/>
      <c r="AA925" s="37"/>
      <c r="AB925" s="37"/>
      <c r="AC925" s="37"/>
      <c r="AD925" s="37"/>
      <c r="AE925" s="37"/>
      <c r="AF925" s="37"/>
      <c r="AG925" s="37"/>
      <c r="AH925" s="37"/>
    </row>
    <row r="926"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40" t="str">
        <f>IFERROR(__xludf.DUMMYFUNCTION("""COMPUTED_VALUE"""),"")</f>
        <v/>
      </c>
      <c r="Y926" s="37"/>
      <c r="Z926" s="37"/>
      <c r="AA926" s="37"/>
      <c r="AB926" s="37"/>
      <c r="AC926" s="37"/>
      <c r="AD926" s="37"/>
      <c r="AE926" s="37"/>
      <c r="AF926" s="37"/>
      <c r="AG926" s="37"/>
      <c r="AH926" s="37"/>
    </row>
    <row r="927"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40" t="str">
        <f>IFERROR(__xludf.DUMMYFUNCTION("""COMPUTED_VALUE"""),"")</f>
        <v/>
      </c>
      <c r="Y927" s="37"/>
      <c r="Z927" s="37"/>
      <c r="AA927" s="37"/>
      <c r="AB927" s="37"/>
      <c r="AC927" s="37"/>
      <c r="AD927" s="37"/>
      <c r="AE927" s="37"/>
      <c r="AF927" s="37"/>
      <c r="AG927" s="37"/>
      <c r="AH927" s="37"/>
    </row>
    <row r="928"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40" t="str">
        <f>IFERROR(__xludf.DUMMYFUNCTION("""COMPUTED_VALUE"""),"")</f>
        <v/>
      </c>
      <c r="Y928" s="37"/>
      <c r="Z928" s="37"/>
      <c r="AA928" s="37"/>
      <c r="AB928" s="37"/>
      <c r="AC928" s="37"/>
      <c r="AD928" s="37"/>
      <c r="AE928" s="37"/>
      <c r="AF928" s="37"/>
      <c r="AG928" s="37"/>
      <c r="AH928" s="37"/>
    </row>
    <row r="929"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40" t="str">
        <f>IFERROR(__xludf.DUMMYFUNCTION("""COMPUTED_VALUE"""),"")</f>
        <v/>
      </c>
      <c r="Y929" s="37"/>
      <c r="Z929" s="37"/>
      <c r="AA929" s="37"/>
      <c r="AB929" s="37"/>
      <c r="AC929" s="37"/>
      <c r="AD929" s="37"/>
      <c r="AE929" s="37"/>
      <c r="AF929" s="37"/>
      <c r="AG929" s="37"/>
      <c r="AH929" s="37"/>
    </row>
    <row r="930"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40" t="str">
        <f>IFERROR(__xludf.DUMMYFUNCTION("""COMPUTED_VALUE"""),"")</f>
        <v/>
      </c>
      <c r="Y930" s="37"/>
      <c r="Z930" s="37"/>
      <c r="AA930" s="37"/>
      <c r="AB930" s="37"/>
      <c r="AC930" s="37"/>
      <c r="AD930" s="37"/>
      <c r="AE930" s="37"/>
      <c r="AF930" s="37"/>
      <c r="AG930" s="37"/>
      <c r="AH930" s="37"/>
    </row>
    <row r="931"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40" t="str">
        <f>IFERROR(__xludf.DUMMYFUNCTION("""COMPUTED_VALUE"""),"")</f>
        <v/>
      </c>
      <c r="Y931" s="37"/>
      <c r="Z931" s="37"/>
      <c r="AA931" s="37"/>
      <c r="AB931" s="37"/>
      <c r="AC931" s="37"/>
      <c r="AD931" s="37"/>
      <c r="AE931" s="37"/>
      <c r="AF931" s="37"/>
      <c r="AG931" s="37"/>
      <c r="AH931" s="37"/>
    </row>
    <row r="932"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40" t="str">
        <f>IFERROR(__xludf.DUMMYFUNCTION("""COMPUTED_VALUE"""),"")</f>
        <v/>
      </c>
      <c r="Y932" s="37"/>
      <c r="Z932" s="37"/>
      <c r="AA932" s="37"/>
      <c r="AB932" s="37"/>
      <c r="AC932" s="37"/>
      <c r="AD932" s="37"/>
      <c r="AE932" s="37"/>
      <c r="AF932" s="37"/>
      <c r="AG932" s="37"/>
      <c r="AH932" s="37"/>
    </row>
    <row r="933"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40" t="str">
        <f>IFERROR(__xludf.DUMMYFUNCTION("""COMPUTED_VALUE"""),"")</f>
        <v/>
      </c>
      <c r="Y933" s="37"/>
      <c r="Z933" s="37"/>
      <c r="AA933" s="37"/>
      <c r="AB933" s="37"/>
      <c r="AC933" s="37"/>
      <c r="AD933" s="37"/>
      <c r="AE933" s="37"/>
      <c r="AF933" s="37"/>
      <c r="AG933" s="37"/>
      <c r="AH933" s="37"/>
    </row>
    <row r="934"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40" t="str">
        <f>IFERROR(__xludf.DUMMYFUNCTION("""COMPUTED_VALUE"""),"")</f>
        <v/>
      </c>
      <c r="Y934" s="37"/>
      <c r="Z934" s="37"/>
      <c r="AA934" s="37"/>
      <c r="AB934" s="37"/>
      <c r="AC934" s="37"/>
      <c r="AD934" s="37"/>
      <c r="AE934" s="37"/>
      <c r="AF934" s="37"/>
      <c r="AG934" s="37"/>
      <c r="AH934" s="37"/>
    </row>
    <row r="935"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40" t="str">
        <f>IFERROR(__xludf.DUMMYFUNCTION("""COMPUTED_VALUE"""),"")</f>
        <v/>
      </c>
      <c r="Y935" s="37"/>
      <c r="Z935" s="37"/>
      <c r="AA935" s="37"/>
      <c r="AB935" s="37"/>
      <c r="AC935" s="37"/>
      <c r="AD935" s="37"/>
      <c r="AE935" s="37"/>
      <c r="AF935" s="37"/>
      <c r="AG935" s="37"/>
      <c r="AH935" s="37"/>
    </row>
    <row r="936"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40" t="str">
        <f>IFERROR(__xludf.DUMMYFUNCTION("""COMPUTED_VALUE"""),"")</f>
        <v/>
      </c>
      <c r="Y936" s="37"/>
      <c r="Z936" s="37"/>
      <c r="AA936" s="37"/>
      <c r="AB936" s="37"/>
      <c r="AC936" s="37"/>
      <c r="AD936" s="37"/>
      <c r="AE936" s="37"/>
      <c r="AF936" s="37"/>
      <c r="AG936" s="37"/>
      <c r="AH936" s="37"/>
    </row>
    <row r="937"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40" t="str">
        <f>IFERROR(__xludf.DUMMYFUNCTION("""COMPUTED_VALUE"""),"")</f>
        <v/>
      </c>
      <c r="Y937" s="37"/>
      <c r="Z937" s="37"/>
      <c r="AA937" s="37"/>
      <c r="AB937" s="37"/>
      <c r="AC937" s="37"/>
      <c r="AD937" s="37"/>
      <c r="AE937" s="37"/>
      <c r="AF937" s="37"/>
      <c r="AG937" s="37"/>
      <c r="AH937" s="37"/>
    </row>
    <row r="938"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40" t="str">
        <f>IFERROR(__xludf.DUMMYFUNCTION("""COMPUTED_VALUE"""),"")</f>
        <v/>
      </c>
      <c r="Y938" s="37"/>
      <c r="Z938" s="37"/>
      <c r="AA938" s="37"/>
      <c r="AB938" s="37"/>
      <c r="AC938" s="37"/>
      <c r="AD938" s="37"/>
      <c r="AE938" s="37"/>
      <c r="AF938" s="37"/>
      <c r="AG938" s="37"/>
      <c r="AH938" s="37"/>
    </row>
    <row r="939"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40" t="str">
        <f>IFERROR(__xludf.DUMMYFUNCTION("""COMPUTED_VALUE"""),"")</f>
        <v/>
      </c>
      <c r="Y939" s="37"/>
      <c r="Z939" s="37"/>
      <c r="AA939" s="37"/>
      <c r="AB939" s="37"/>
      <c r="AC939" s="37"/>
      <c r="AD939" s="37"/>
      <c r="AE939" s="37"/>
      <c r="AF939" s="37"/>
      <c r="AG939" s="37"/>
      <c r="AH939" s="37"/>
    </row>
    <row r="940"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40" t="str">
        <f>IFERROR(__xludf.DUMMYFUNCTION("""COMPUTED_VALUE"""),"")</f>
        <v/>
      </c>
      <c r="Y940" s="37"/>
      <c r="Z940" s="37"/>
      <c r="AA940" s="37"/>
      <c r="AB940" s="37"/>
      <c r="AC940" s="37"/>
      <c r="AD940" s="37"/>
      <c r="AE940" s="37"/>
      <c r="AF940" s="37"/>
      <c r="AG940" s="37"/>
      <c r="AH940" s="37"/>
    </row>
    <row r="941"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40" t="str">
        <f>IFERROR(__xludf.DUMMYFUNCTION("""COMPUTED_VALUE"""),"")</f>
        <v/>
      </c>
      <c r="Y941" s="37"/>
      <c r="Z941" s="37"/>
      <c r="AA941" s="37"/>
      <c r="AB941" s="37"/>
      <c r="AC941" s="37"/>
      <c r="AD941" s="37"/>
      <c r="AE941" s="37"/>
      <c r="AF941" s="37"/>
      <c r="AG941" s="37"/>
      <c r="AH941" s="37"/>
    </row>
    <row r="942"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40" t="str">
        <f>IFERROR(__xludf.DUMMYFUNCTION("""COMPUTED_VALUE"""),"")</f>
        <v/>
      </c>
      <c r="Y942" s="37"/>
      <c r="Z942" s="37"/>
      <c r="AA942" s="37"/>
      <c r="AB942" s="37"/>
      <c r="AC942" s="37"/>
      <c r="AD942" s="37"/>
      <c r="AE942" s="37"/>
      <c r="AF942" s="37"/>
      <c r="AG942" s="37"/>
      <c r="AH942" s="37"/>
    </row>
    <row r="943"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40" t="str">
        <f>IFERROR(__xludf.DUMMYFUNCTION("""COMPUTED_VALUE"""),"")</f>
        <v/>
      </c>
      <c r="Y943" s="37"/>
      <c r="Z943" s="37"/>
      <c r="AA943" s="37"/>
      <c r="AB943" s="37"/>
      <c r="AC943" s="37"/>
      <c r="AD943" s="37"/>
      <c r="AE943" s="37"/>
      <c r="AF943" s="37"/>
      <c r="AG943" s="37"/>
      <c r="AH943" s="37"/>
    </row>
    <row r="944"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40" t="str">
        <f>IFERROR(__xludf.DUMMYFUNCTION("""COMPUTED_VALUE"""),"")</f>
        <v/>
      </c>
      <c r="Y944" s="37"/>
      <c r="Z944" s="37"/>
      <c r="AA944" s="37"/>
      <c r="AB944" s="37"/>
      <c r="AC944" s="37"/>
      <c r="AD944" s="37"/>
      <c r="AE944" s="37"/>
      <c r="AF944" s="37"/>
      <c r="AG944" s="37"/>
      <c r="AH944" s="37"/>
    </row>
    <row r="945"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40" t="str">
        <f>IFERROR(__xludf.DUMMYFUNCTION("""COMPUTED_VALUE"""),"")</f>
        <v/>
      </c>
      <c r="Y945" s="37"/>
      <c r="Z945" s="37"/>
      <c r="AA945" s="37"/>
      <c r="AB945" s="37"/>
      <c r="AC945" s="37"/>
      <c r="AD945" s="37"/>
      <c r="AE945" s="37"/>
      <c r="AF945" s="37"/>
      <c r="AG945" s="37"/>
      <c r="AH945" s="37"/>
    </row>
    <row r="946"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40" t="str">
        <f>IFERROR(__xludf.DUMMYFUNCTION("""COMPUTED_VALUE"""),"")</f>
        <v/>
      </c>
      <c r="Y946" s="37"/>
      <c r="Z946" s="37"/>
      <c r="AA946" s="37"/>
      <c r="AB946" s="37"/>
      <c r="AC946" s="37"/>
      <c r="AD946" s="37"/>
      <c r="AE946" s="37"/>
      <c r="AF946" s="37"/>
      <c r="AG946" s="37"/>
      <c r="AH946" s="37"/>
    </row>
    <row r="947"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40" t="str">
        <f>IFERROR(__xludf.DUMMYFUNCTION("""COMPUTED_VALUE"""),"")</f>
        <v/>
      </c>
      <c r="Y947" s="37"/>
      <c r="Z947" s="37"/>
      <c r="AA947" s="37"/>
      <c r="AB947" s="37"/>
      <c r="AC947" s="37"/>
      <c r="AD947" s="37"/>
      <c r="AE947" s="37"/>
      <c r="AF947" s="37"/>
      <c r="AG947" s="37"/>
      <c r="AH947" s="37"/>
    </row>
    <row r="948"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40" t="str">
        <f>IFERROR(__xludf.DUMMYFUNCTION("""COMPUTED_VALUE"""),"")</f>
        <v/>
      </c>
      <c r="Y948" s="37"/>
      <c r="Z948" s="37"/>
      <c r="AA948" s="37"/>
      <c r="AB948" s="37"/>
      <c r="AC948" s="37"/>
      <c r="AD948" s="37"/>
      <c r="AE948" s="37"/>
      <c r="AF948" s="37"/>
      <c r="AG948" s="37"/>
      <c r="AH948" s="37"/>
    </row>
    <row r="949"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40" t="str">
        <f>IFERROR(__xludf.DUMMYFUNCTION("""COMPUTED_VALUE"""),"")</f>
        <v/>
      </c>
      <c r="Y949" s="37"/>
      <c r="Z949" s="37"/>
      <c r="AA949" s="37"/>
      <c r="AB949" s="37"/>
      <c r="AC949" s="37"/>
      <c r="AD949" s="37"/>
      <c r="AE949" s="37"/>
      <c r="AF949" s="37"/>
      <c r="AG949" s="37"/>
      <c r="AH949" s="37"/>
    </row>
    <row r="950"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40" t="str">
        <f>IFERROR(__xludf.DUMMYFUNCTION("""COMPUTED_VALUE"""),"")</f>
        <v/>
      </c>
      <c r="Y950" s="37"/>
      <c r="Z950" s="37"/>
      <c r="AA950" s="37"/>
      <c r="AB950" s="37"/>
      <c r="AC950" s="37"/>
      <c r="AD950" s="37"/>
      <c r="AE950" s="37"/>
      <c r="AF950" s="37"/>
      <c r="AG950" s="37"/>
      <c r="AH950" s="37"/>
    </row>
    <row r="951"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40" t="str">
        <f>IFERROR(__xludf.DUMMYFUNCTION("""COMPUTED_VALUE"""),"")</f>
        <v/>
      </c>
      <c r="Y951" s="37"/>
      <c r="Z951" s="37"/>
      <c r="AA951" s="37"/>
      <c r="AB951" s="37"/>
      <c r="AC951" s="37"/>
      <c r="AD951" s="37"/>
      <c r="AE951" s="37"/>
      <c r="AF951" s="37"/>
      <c r="AG951" s="37"/>
      <c r="AH951" s="37"/>
    </row>
    <row r="952"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40" t="str">
        <f>IFERROR(__xludf.DUMMYFUNCTION("""COMPUTED_VALUE"""),"")</f>
        <v/>
      </c>
      <c r="Y952" s="37"/>
      <c r="Z952" s="37"/>
      <c r="AA952" s="37"/>
      <c r="AB952" s="37"/>
      <c r="AC952" s="37"/>
      <c r="AD952" s="37"/>
      <c r="AE952" s="37"/>
      <c r="AF952" s="37"/>
      <c r="AG952" s="37"/>
      <c r="AH952" s="37"/>
    </row>
    <row r="953"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40" t="str">
        <f>IFERROR(__xludf.DUMMYFUNCTION("""COMPUTED_VALUE"""),"")</f>
        <v/>
      </c>
      <c r="Y953" s="37"/>
      <c r="Z953" s="37"/>
      <c r="AA953" s="37"/>
      <c r="AB953" s="37"/>
      <c r="AC953" s="37"/>
      <c r="AD953" s="37"/>
      <c r="AE953" s="37"/>
      <c r="AF953" s="37"/>
      <c r="AG953" s="37"/>
      <c r="AH953" s="37"/>
    </row>
    <row r="954"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40" t="str">
        <f>IFERROR(__xludf.DUMMYFUNCTION("""COMPUTED_VALUE"""),"")</f>
        <v/>
      </c>
      <c r="Y954" s="37"/>
      <c r="Z954" s="37"/>
      <c r="AA954" s="37"/>
      <c r="AB954" s="37"/>
      <c r="AC954" s="37"/>
      <c r="AD954" s="37"/>
      <c r="AE954" s="37"/>
      <c r="AF954" s="37"/>
      <c r="AG954" s="37"/>
      <c r="AH954" s="37"/>
    </row>
    <row r="955"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40" t="str">
        <f>IFERROR(__xludf.DUMMYFUNCTION("""COMPUTED_VALUE"""),"")</f>
        <v/>
      </c>
      <c r="Y955" s="37"/>
      <c r="Z955" s="37"/>
      <c r="AA955" s="37"/>
      <c r="AB955" s="37"/>
      <c r="AC955" s="37"/>
      <c r="AD955" s="37"/>
      <c r="AE955" s="37"/>
      <c r="AF955" s="37"/>
      <c r="AG955" s="37"/>
      <c r="AH955" s="37"/>
    </row>
    <row r="956"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40" t="str">
        <f>IFERROR(__xludf.DUMMYFUNCTION("""COMPUTED_VALUE"""),"")</f>
        <v/>
      </c>
      <c r="Y956" s="37"/>
      <c r="Z956" s="37"/>
      <c r="AA956" s="37"/>
      <c r="AB956" s="37"/>
      <c r="AC956" s="37"/>
      <c r="AD956" s="37"/>
      <c r="AE956" s="37"/>
      <c r="AF956" s="37"/>
      <c r="AG956" s="37"/>
      <c r="AH956" s="37"/>
    </row>
    <row r="957"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40" t="str">
        <f>IFERROR(__xludf.DUMMYFUNCTION("""COMPUTED_VALUE"""),"")</f>
        <v/>
      </c>
      <c r="Y957" s="37"/>
      <c r="Z957" s="37"/>
      <c r="AA957" s="37"/>
      <c r="AB957" s="37"/>
      <c r="AC957" s="37"/>
      <c r="AD957" s="37"/>
      <c r="AE957" s="37"/>
      <c r="AF957" s="37"/>
      <c r="AG957" s="37"/>
      <c r="AH957" s="37"/>
    </row>
    <row r="958"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40" t="str">
        <f>IFERROR(__xludf.DUMMYFUNCTION("""COMPUTED_VALUE"""),"")</f>
        <v/>
      </c>
      <c r="Y958" s="37"/>
      <c r="Z958" s="37"/>
      <c r="AA958" s="37"/>
      <c r="AB958" s="37"/>
      <c r="AC958" s="37"/>
      <c r="AD958" s="37"/>
      <c r="AE958" s="37"/>
      <c r="AF958" s="37"/>
      <c r="AG958" s="37"/>
      <c r="AH958" s="37"/>
    </row>
    <row r="959"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40" t="str">
        <f>IFERROR(__xludf.DUMMYFUNCTION("""COMPUTED_VALUE"""),"")</f>
        <v/>
      </c>
      <c r="Y959" s="37"/>
      <c r="Z959" s="37"/>
      <c r="AA959" s="37"/>
      <c r="AB959" s="37"/>
      <c r="AC959" s="37"/>
      <c r="AD959" s="37"/>
      <c r="AE959" s="37"/>
      <c r="AF959" s="37"/>
      <c r="AG959" s="37"/>
      <c r="AH959" s="37"/>
    </row>
    <row r="960"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40" t="str">
        <f>IFERROR(__xludf.DUMMYFUNCTION("""COMPUTED_VALUE"""),"")</f>
        <v/>
      </c>
      <c r="Y960" s="37"/>
      <c r="Z960" s="37"/>
      <c r="AA960" s="37"/>
      <c r="AB960" s="37"/>
      <c r="AC960" s="37"/>
      <c r="AD960" s="37"/>
      <c r="AE960" s="37"/>
      <c r="AF960" s="37"/>
      <c r="AG960" s="37"/>
      <c r="AH960" s="37"/>
    </row>
    <row r="961"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40" t="str">
        <f>IFERROR(__xludf.DUMMYFUNCTION("""COMPUTED_VALUE"""),"")</f>
        <v/>
      </c>
      <c r="Y961" s="37"/>
      <c r="Z961" s="37"/>
      <c r="AA961" s="37"/>
      <c r="AB961" s="37"/>
      <c r="AC961" s="37"/>
      <c r="AD961" s="37"/>
      <c r="AE961" s="37"/>
      <c r="AF961" s="37"/>
      <c r="AG961" s="37"/>
      <c r="AH961" s="37"/>
    </row>
    <row r="962"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40" t="str">
        <f>IFERROR(__xludf.DUMMYFUNCTION("""COMPUTED_VALUE"""),"")</f>
        <v/>
      </c>
      <c r="Y962" s="37"/>
      <c r="Z962" s="37"/>
      <c r="AA962" s="37"/>
      <c r="AB962" s="37"/>
      <c r="AC962" s="37"/>
      <c r="AD962" s="37"/>
      <c r="AE962" s="37"/>
      <c r="AF962" s="37"/>
      <c r="AG962" s="37"/>
      <c r="AH962" s="37"/>
    </row>
    <row r="963"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40" t="str">
        <f>IFERROR(__xludf.DUMMYFUNCTION("""COMPUTED_VALUE"""),"")</f>
        <v/>
      </c>
      <c r="Y963" s="37"/>
      <c r="Z963" s="37"/>
      <c r="AA963" s="37"/>
      <c r="AB963" s="37"/>
      <c r="AC963" s="37"/>
      <c r="AD963" s="37"/>
      <c r="AE963" s="37"/>
      <c r="AF963" s="37"/>
      <c r="AG963" s="37"/>
      <c r="AH963" s="37"/>
    </row>
    <row r="964"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40" t="str">
        <f>IFERROR(__xludf.DUMMYFUNCTION("""COMPUTED_VALUE"""),"")</f>
        <v/>
      </c>
      <c r="Y964" s="37"/>
      <c r="Z964" s="37"/>
      <c r="AA964" s="37"/>
      <c r="AB964" s="37"/>
      <c r="AC964" s="37"/>
      <c r="AD964" s="37"/>
      <c r="AE964" s="37"/>
      <c r="AF964" s="37"/>
      <c r="AG964" s="37"/>
      <c r="AH964" s="37"/>
    </row>
    <row r="965"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40" t="str">
        <f>IFERROR(__xludf.DUMMYFUNCTION("""COMPUTED_VALUE"""),"")</f>
        <v/>
      </c>
      <c r="Y965" s="37"/>
      <c r="Z965" s="37"/>
      <c r="AA965" s="37"/>
      <c r="AB965" s="37"/>
      <c r="AC965" s="37"/>
      <c r="AD965" s="37"/>
      <c r="AE965" s="37"/>
      <c r="AF965" s="37"/>
      <c r="AG965" s="37"/>
      <c r="AH965" s="37"/>
    </row>
    <row r="966"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40" t="str">
        <f>IFERROR(__xludf.DUMMYFUNCTION("""COMPUTED_VALUE"""),"")</f>
        <v/>
      </c>
      <c r="Y966" s="37"/>
      <c r="Z966" s="37"/>
      <c r="AA966" s="37"/>
      <c r="AB966" s="37"/>
      <c r="AC966" s="37"/>
      <c r="AD966" s="37"/>
      <c r="AE966" s="37"/>
      <c r="AF966" s="37"/>
      <c r="AG966" s="37"/>
      <c r="AH966" s="37"/>
    </row>
    <row r="967"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40" t="str">
        <f>IFERROR(__xludf.DUMMYFUNCTION("""COMPUTED_VALUE"""),"")</f>
        <v/>
      </c>
      <c r="Y967" s="37"/>
      <c r="Z967" s="37"/>
      <c r="AA967" s="37"/>
      <c r="AB967" s="37"/>
      <c r="AC967" s="37"/>
      <c r="AD967" s="37"/>
      <c r="AE967" s="37"/>
      <c r="AF967" s="37"/>
      <c r="AG967" s="37"/>
      <c r="AH967" s="37"/>
    </row>
    <row r="968"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40" t="str">
        <f>IFERROR(__xludf.DUMMYFUNCTION("""COMPUTED_VALUE"""),"")</f>
        <v/>
      </c>
      <c r="Y968" s="37"/>
      <c r="Z968" s="37"/>
      <c r="AA968" s="37"/>
      <c r="AB968" s="37"/>
      <c r="AC968" s="37"/>
      <c r="AD968" s="37"/>
      <c r="AE968" s="37"/>
      <c r="AF968" s="37"/>
      <c r="AG968" s="37"/>
      <c r="AH968" s="37"/>
    </row>
    <row r="969"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40" t="str">
        <f>IFERROR(__xludf.DUMMYFUNCTION("""COMPUTED_VALUE"""),"")</f>
        <v/>
      </c>
      <c r="Y969" s="37"/>
      <c r="Z969" s="37"/>
      <c r="AA969" s="37"/>
      <c r="AB969" s="37"/>
      <c r="AC969" s="37"/>
      <c r="AD969" s="37"/>
      <c r="AE969" s="37"/>
      <c r="AF969" s="37"/>
      <c r="AG969" s="37"/>
      <c r="AH969" s="37"/>
    </row>
    <row r="970"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40" t="str">
        <f>IFERROR(__xludf.DUMMYFUNCTION("""COMPUTED_VALUE"""),"")</f>
        <v/>
      </c>
      <c r="Y970" s="37"/>
      <c r="Z970" s="37"/>
      <c r="AA970" s="37"/>
      <c r="AB970" s="37"/>
      <c r="AC970" s="37"/>
      <c r="AD970" s="37"/>
      <c r="AE970" s="37"/>
      <c r="AF970" s="37"/>
      <c r="AG970" s="37"/>
      <c r="AH970" s="37"/>
    </row>
    <row r="971"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40" t="str">
        <f>IFERROR(__xludf.DUMMYFUNCTION("""COMPUTED_VALUE"""),"")</f>
        <v/>
      </c>
      <c r="Y971" s="37"/>
      <c r="Z971" s="37"/>
      <c r="AA971" s="37"/>
      <c r="AB971" s="37"/>
      <c r="AC971" s="37"/>
      <c r="AD971" s="37"/>
      <c r="AE971" s="37"/>
      <c r="AF971" s="37"/>
      <c r="AG971" s="37"/>
      <c r="AH971" s="37"/>
    </row>
    <row r="972"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40" t="str">
        <f>IFERROR(__xludf.DUMMYFUNCTION("""COMPUTED_VALUE"""),"")</f>
        <v/>
      </c>
      <c r="Y972" s="37"/>
      <c r="Z972" s="37"/>
      <c r="AA972" s="37"/>
      <c r="AB972" s="37"/>
      <c r="AC972" s="37"/>
      <c r="AD972" s="37"/>
      <c r="AE972" s="37"/>
      <c r="AF972" s="37"/>
      <c r="AG972" s="37"/>
      <c r="AH972" s="37"/>
    </row>
    <row r="973"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40" t="str">
        <f>IFERROR(__xludf.DUMMYFUNCTION("""COMPUTED_VALUE"""),"")</f>
        <v/>
      </c>
      <c r="Y973" s="37"/>
      <c r="Z973" s="37"/>
      <c r="AA973" s="37"/>
      <c r="AB973" s="37"/>
      <c r="AC973" s="37"/>
      <c r="AD973" s="37"/>
      <c r="AE973" s="37"/>
      <c r="AF973" s="37"/>
      <c r="AG973" s="37"/>
      <c r="AH973" s="37"/>
    </row>
    <row r="974"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40" t="str">
        <f>IFERROR(__xludf.DUMMYFUNCTION("""COMPUTED_VALUE"""),"")</f>
        <v/>
      </c>
      <c r="Y974" s="37"/>
      <c r="Z974" s="37"/>
      <c r="AA974" s="37"/>
      <c r="AB974" s="37"/>
      <c r="AC974" s="37"/>
      <c r="AD974" s="37"/>
      <c r="AE974" s="37"/>
      <c r="AF974" s="37"/>
      <c r="AG974" s="37"/>
      <c r="AH974" s="37"/>
    </row>
    <row r="975"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40" t="str">
        <f>IFERROR(__xludf.DUMMYFUNCTION("""COMPUTED_VALUE"""),"")</f>
        <v/>
      </c>
      <c r="Y975" s="37"/>
      <c r="Z975" s="37"/>
      <c r="AA975" s="37"/>
      <c r="AB975" s="37"/>
      <c r="AC975" s="37"/>
      <c r="AD975" s="37"/>
      <c r="AE975" s="37"/>
      <c r="AF975" s="37"/>
      <c r="AG975" s="37"/>
      <c r="AH975" s="37"/>
    </row>
    <row r="976"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40" t="str">
        <f>IFERROR(__xludf.DUMMYFUNCTION("""COMPUTED_VALUE"""),"")</f>
        <v/>
      </c>
      <c r="Y976" s="37"/>
      <c r="Z976" s="37"/>
      <c r="AA976" s="37"/>
      <c r="AB976" s="37"/>
      <c r="AC976" s="37"/>
      <c r="AD976" s="37"/>
      <c r="AE976" s="37"/>
      <c r="AF976" s="37"/>
      <c r="AG976" s="37"/>
      <c r="AH976" s="37"/>
    </row>
    <row r="977"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40" t="str">
        <f>IFERROR(__xludf.DUMMYFUNCTION("""COMPUTED_VALUE"""),"")</f>
        <v/>
      </c>
      <c r="Y977" s="37"/>
      <c r="Z977" s="37"/>
      <c r="AA977" s="37"/>
      <c r="AB977" s="37"/>
      <c r="AC977" s="37"/>
      <c r="AD977" s="37"/>
      <c r="AE977" s="37"/>
      <c r="AF977" s="37"/>
      <c r="AG977" s="37"/>
      <c r="AH977" s="37"/>
    </row>
    <row r="978"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40" t="str">
        <f>IFERROR(__xludf.DUMMYFUNCTION("""COMPUTED_VALUE"""),"")</f>
        <v/>
      </c>
      <c r="Y978" s="37"/>
      <c r="Z978" s="37"/>
      <c r="AA978" s="37"/>
      <c r="AB978" s="37"/>
      <c r="AC978" s="37"/>
      <c r="AD978" s="37"/>
      <c r="AE978" s="37"/>
      <c r="AF978" s="37"/>
      <c r="AG978" s="37"/>
      <c r="AH978" s="37"/>
    </row>
    <row r="979"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40" t="str">
        <f>IFERROR(__xludf.DUMMYFUNCTION("""COMPUTED_VALUE"""),"")</f>
        <v/>
      </c>
      <c r="Y979" s="37"/>
      <c r="Z979" s="37"/>
      <c r="AA979" s="37"/>
      <c r="AB979" s="37"/>
      <c r="AC979" s="37"/>
      <c r="AD979" s="37"/>
      <c r="AE979" s="37"/>
      <c r="AF979" s="37"/>
      <c r="AG979" s="37"/>
      <c r="AH979" s="37"/>
    </row>
    <row r="980"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40" t="str">
        <f>IFERROR(__xludf.DUMMYFUNCTION("""COMPUTED_VALUE"""),"")</f>
        <v/>
      </c>
      <c r="Y980" s="37"/>
      <c r="Z980" s="37"/>
      <c r="AA980" s="37"/>
      <c r="AB980" s="37"/>
      <c r="AC980" s="37"/>
      <c r="AD980" s="37"/>
      <c r="AE980" s="37"/>
      <c r="AF980" s="37"/>
      <c r="AG980" s="37"/>
      <c r="AH980" s="37"/>
    </row>
    <row r="981"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40" t="str">
        <f>IFERROR(__xludf.DUMMYFUNCTION("""COMPUTED_VALUE"""),"")</f>
        <v/>
      </c>
      <c r="Y981" s="37"/>
      <c r="Z981" s="37"/>
      <c r="AA981" s="37"/>
      <c r="AB981" s="37"/>
      <c r="AC981" s="37"/>
      <c r="AD981" s="37"/>
      <c r="AE981" s="37"/>
      <c r="AF981" s="37"/>
      <c r="AG981" s="37"/>
      <c r="AH981" s="37"/>
    </row>
    <row r="982"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40" t="str">
        <f>IFERROR(__xludf.DUMMYFUNCTION("""COMPUTED_VALUE"""),"")</f>
        <v/>
      </c>
      <c r="Y982" s="37"/>
      <c r="Z982" s="37"/>
      <c r="AA982" s="37"/>
      <c r="AB982" s="37"/>
      <c r="AC982" s="37"/>
      <c r="AD982" s="37"/>
      <c r="AE982" s="37"/>
      <c r="AF982" s="37"/>
      <c r="AG982" s="37"/>
      <c r="AH982" s="37"/>
    </row>
    <row r="983"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40" t="str">
        <f>IFERROR(__xludf.DUMMYFUNCTION("""COMPUTED_VALUE"""),"")</f>
        <v/>
      </c>
      <c r="Y983" s="37"/>
      <c r="Z983" s="37"/>
      <c r="AA983" s="37"/>
      <c r="AB983" s="37"/>
      <c r="AC983" s="37"/>
      <c r="AD983" s="37"/>
      <c r="AE983" s="37"/>
      <c r="AF983" s="37"/>
      <c r="AG983" s="37"/>
      <c r="AH983" s="37"/>
    </row>
    <row r="984"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40" t="str">
        <f>IFERROR(__xludf.DUMMYFUNCTION("""COMPUTED_VALUE"""),"")</f>
        <v/>
      </c>
      <c r="Y984" s="37"/>
      <c r="Z984" s="37"/>
      <c r="AA984" s="37"/>
      <c r="AB984" s="37"/>
      <c r="AC984" s="37"/>
      <c r="AD984" s="37"/>
      <c r="AE984" s="37"/>
      <c r="AF984" s="37"/>
      <c r="AG984" s="37"/>
      <c r="AH984" s="37"/>
    </row>
    <row r="985"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40" t="str">
        <f>IFERROR(__xludf.DUMMYFUNCTION("""COMPUTED_VALUE"""),"")</f>
        <v/>
      </c>
      <c r="Y985" s="37"/>
      <c r="Z985" s="37"/>
      <c r="AA985" s="37"/>
      <c r="AB985" s="37"/>
      <c r="AC985" s="37"/>
      <c r="AD985" s="37"/>
      <c r="AE985" s="37"/>
      <c r="AF985" s="37"/>
      <c r="AG985" s="37"/>
      <c r="AH985" s="37"/>
    </row>
    <row r="986"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40" t="str">
        <f>IFERROR(__xludf.DUMMYFUNCTION("""COMPUTED_VALUE"""),"")</f>
        <v/>
      </c>
      <c r="Y986" s="37"/>
      <c r="Z986" s="37"/>
      <c r="AA986" s="37"/>
      <c r="AB986" s="37"/>
      <c r="AC986" s="37"/>
      <c r="AD986" s="37"/>
      <c r="AE986" s="37"/>
      <c r="AF986" s="37"/>
      <c r="AG986" s="37"/>
      <c r="AH986" s="37"/>
    </row>
    <row r="987"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40" t="str">
        <f>IFERROR(__xludf.DUMMYFUNCTION("""COMPUTED_VALUE"""),"")</f>
        <v/>
      </c>
      <c r="Y987" s="37"/>
      <c r="Z987" s="37"/>
      <c r="AA987" s="37"/>
      <c r="AB987" s="37"/>
      <c r="AC987" s="37"/>
      <c r="AD987" s="37"/>
      <c r="AE987" s="37"/>
      <c r="AF987" s="37"/>
      <c r="AG987" s="37"/>
      <c r="AH987" s="37"/>
    </row>
    <row r="988"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40" t="str">
        <f>IFERROR(__xludf.DUMMYFUNCTION("""COMPUTED_VALUE"""),"")</f>
        <v/>
      </c>
      <c r="Y988" s="37"/>
      <c r="Z988" s="37"/>
      <c r="AA988" s="37"/>
      <c r="AB988" s="37"/>
      <c r="AC988" s="37"/>
      <c r="AD988" s="37"/>
      <c r="AE988" s="37"/>
      <c r="AF988" s="37"/>
      <c r="AG988" s="37"/>
      <c r="AH988" s="37"/>
    </row>
    <row r="989"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40" t="str">
        <f>IFERROR(__xludf.DUMMYFUNCTION("""COMPUTED_VALUE"""),"")</f>
        <v/>
      </c>
      <c r="Y989" s="37"/>
      <c r="Z989" s="37"/>
      <c r="AA989" s="37"/>
      <c r="AB989" s="37"/>
      <c r="AC989" s="37"/>
      <c r="AD989" s="37"/>
      <c r="AE989" s="37"/>
      <c r="AF989" s="37"/>
      <c r="AG989" s="37"/>
      <c r="AH989" s="37"/>
    </row>
    <row r="990"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40" t="str">
        <f>IFERROR(__xludf.DUMMYFUNCTION("""COMPUTED_VALUE"""),"")</f>
        <v/>
      </c>
      <c r="Y990" s="37"/>
      <c r="Z990" s="37"/>
      <c r="AA990" s="37"/>
      <c r="AB990" s="37"/>
      <c r="AC990" s="37"/>
      <c r="AD990" s="37"/>
      <c r="AE990" s="37"/>
      <c r="AF990" s="37"/>
      <c r="AG990" s="37"/>
      <c r="AH990" s="37"/>
    </row>
    <row r="991"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40" t="str">
        <f>IFERROR(__xludf.DUMMYFUNCTION("""COMPUTED_VALUE"""),"")</f>
        <v/>
      </c>
      <c r="Y991" s="37"/>
      <c r="Z991" s="37"/>
      <c r="AA991" s="37"/>
      <c r="AB991" s="37"/>
      <c r="AC991" s="37"/>
      <c r="AD991" s="37"/>
      <c r="AE991" s="37"/>
      <c r="AF991" s="37"/>
      <c r="AG991" s="37"/>
      <c r="AH991" s="37"/>
    </row>
    <row r="992"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40" t="str">
        <f>IFERROR(__xludf.DUMMYFUNCTION("""COMPUTED_VALUE"""),"")</f>
        <v/>
      </c>
      <c r="Y992" s="37"/>
      <c r="Z992" s="37"/>
      <c r="AA992" s="37"/>
      <c r="AB992" s="37"/>
      <c r="AC992" s="37"/>
      <c r="AD992" s="37"/>
      <c r="AE992" s="37"/>
      <c r="AF992" s="37"/>
      <c r="AG992" s="37"/>
      <c r="AH992" s="37"/>
    </row>
    <row r="993"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40" t="str">
        <f>IFERROR(__xludf.DUMMYFUNCTION("""COMPUTED_VALUE"""),"")</f>
        <v/>
      </c>
      <c r="Y993" s="37"/>
      <c r="Z993" s="37"/>
      <c r="AA993" s="37"/>
      <c r="AB993" s="37"/>
      <c r="AC993" s="37"/>
      <c r="AD993" s="37"/>
      <c r="AE993" s="37"/>
      <c r="AF993" s="37"/>
      <c r="AG993" s="37"/>
      <c r="AH993" s="37"/>
    </row>
    <row r="994"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40" t="str">
        <f>IFERROR(__xludf.DUMMYFUNCTION("""COMPUTED_VALUE"""),"")</f>
        <v/>
      </c>
      <c r="Y994" s="37"/>
      <c r="Z994" s="37"/>
      <c r="AA994" s="37"/>
      <c r="AB994" s="37"/>
      <c r="AC994" s="37"/>
      <c r="AD994" s="37"/>
      <c r="AE994" s="37"/>
      <c r="AF994" s="37"/>
      <c r="AG994" s="37"/>
      <c r="AH994" s="37"/>
    </row>
    <row r="995"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40" t="str">
        <f>IFERROR(__xludf.DUMMYFUNCTION("""COMPUTED_VALUE"""),"")</f>
        <v/>
      </c>
      <c r="Y995" s="37"/>
      <c r="Z995" s="37"/>
      <c r="AA995" s="37"/>
      <c r="AB995" s="37"/>
      <c r="AC995" s="37"/>
      <c r="AD995" s="37"/>
      <c r="AE995" s="37"/>
      <c r="AF995" s="37"/>
      <c r="AG995" s="37"/>
      <c r="AH995" s="37"/>
    </row>
    <row r="996"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40" t="str">
        <f>IFERROR(__xludf.DUMMYFUNCTION("""COMPUTED_VALUE"""),"")</f>
        <v/>
      </c>
      <c r="Y996" s="37"/>
      <c r="Z996" s="37"/>
      <c r="AA996" s="37"/>
      <c r="AB996" s="37"/>
      <c r="AC996" s="37"/>
      <c r="AD996" s="37"/>
      <c r="AE996" s="37"/>
      <c r="AF996" s="37"/>
      <c r="AG996" s="37"/>
      <c r="AH996" s="37"/>
    </row>
    <row r="997"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40" t="str">
        <f>IFERROR(__xludf.DUMMYFUNCTION("""COMPUTED_VALUE"""),"")</f>
        <v/>
      </c>
      <c r="Y997" s="37"/>
      <c r="Z997" s="37"/>
      <c r="AA997" s="37"/>
      <c r="AB997" s="37"/>
      <c r="AC997" s="37"/>
      <c r="AD997" s="37"/>
      <c r="AE997" s="37"/>
      <c r="AF997" s="37"/>
      <c r="AG997" s="37"/>
      <c r="AH997" s="37"/>
    </row>
    <row r="998"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40" t="str">
        <f>IFERROR(__xludf.DUMMYFUNCTION("""COMPUTED_VALUE"""),"")</f>
        <v/>
      </c>
      <c r="Y998" s="37"/>
      <c r="Z998" s="37"/>
      <c r="AA998" s="37"/>
      <c r="AB998" s="37"/>
      <c r="AC998" s="37"/>
      <c r="AD998" s="37"/>
      <c r="AE998" s="37"/>
      <c r="AF998" s="37"/>
      <c r="AG998" s="37"/>
      <c r="AH998" s="37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0"/>
  </cols>
  <sheetData>
    <row r="1">
      <c r="B1" s="37" t="str">
        <f>IFERROR(__xludf.DUMMYFUNCTION("IMPORTRANGE(""https://docs.google.com/spreadsheets/d/1DuUTd7fRVpaAXdkRQJDjjy7g3he8KwkmWaF0ctkE1ww/edit?gid=284830706#gid=284830706"",""2026 折舊費用攤提!A1:AJ"")"),"子公司")</f>
        <v>子公司</v>
      </c>
      <c r="C1" s="37" t="str">
        <f>IFERROR(__xludf.DUMMYFUNCTION("""COMPUTED_VALUE"""),"事業單位")</f>
        <v>事業單位</v>
      </c>
      <c r="D1" s="37" t="str">
        <f>IFERROR(__xludf.DUMMYFUNCTION("""COMPUTED_VALUE"""),"Si 編號")</f>
        <v>Si 編號</v>
      </c>
      <c r="E1" s="37" t="str">
        <f>IFERROR(__xludf.DUMMYFUNCTION("""COMPUTED_VALUE"""),"TA 編號")</f>
        <v>TA 編號</v>
      </c>
      <c r="F1" s="37" t="str">
        <f>IFERROR(__xludf.DUMMYFUNCTION("""COMPUTED_VALUE"""),"編號")</f>
        <v>編號</v>
      </c>
      <c r="G1" s="37" t="str">
        <f>IFERROR(__xludf.DUMMYFUNCTION("""COMPUTED_VALUE"""),"項目")</f>
        <v>項目</v>
      </c>
      <c r="H1" s="37" t="str">
        <f>IFERROR(__xludf.DUMMYFUNCTION("""COMPUTED_VALUE"""),"資產明細")</f>
        <v>資產明細</v>
      </c>
      <c r="I1" s="37" t="str">
        <f>IFERROR(__xludf.DUMMYFUNCTION("""COMPUTED_VALUE"""),"費用單位")</f>
        <v>費用單位</v>
      </c>
      <c r="J1" s="37" t="str">
        <f>IFERROR(__xludf.DUMMYFUNCTION("""COMPUTED_VALUE"""),"財編")</f>
        <v>財編</v>
      </c>
      <c r="K1" s="37" t="str">
        <f>IFERROR(__xludf.DUMMYFUNCTION("""COMPUTED_VALUE"""),"資產總表裝置名稱")</f>
        <v>資產總表裝置名稱</v>
      </c>
      <c r="L1" s="37" t="str">
        <f>IFERROR(__xludf.DUMMYFUNCTION("""COMPUTED_VALUE"""),"資產總表保管人")</f>
        <v>資產總表保管人</v>
      </c>
      <c r="M1" s="37" t="str">
        <f>IFERROR(__xludf.DUMMYFUNCTION("""COMPUTED_VALUE"""),"資產總表部門
(部分最新)")</f>
        <v>資產總表部門
(部分最新)</v>
      </c>
      <c r="N1" s="37" t="str">
        <f>IFERROR(__xludf.DUMMYFUNCTION("""COMPUTED_VALUE"""),"資產總表部門
(部分最新)")</f>
        <v>資產總表部門
(部分最新)</v>
      </c>
      <c r="O1" s="37" t="str">
        <f>IFERROR(__xludf.DUMMYFUNCTION("""COMPUTED_VALUE"""),"資產總表部門
(部分最新)")</f>
        <v>資產總表部門
(部分最新)</v>
      </c>
      <c r="P1" s="46">
        <f>IFERROR(__xludf.DUMMYFUNCTION("""COMPUTED_VALUE"""),46023.0)</f>
        <v>46023</v>
      </c>
      <c r="Q1" s="46">
        <f>IFERROR(__xludf.DUMMYFUNCTION("""COMPUTED_VALUE"""),46054.0)</f>
        <v>46054</v>
      </c>
      <c r="R1" s="46">
        <f>IFERROR(__xludf.DUMMYFUNCTION("""COMPUTED_VALUE"""),46082.0)</f>
        <v>46082</v>
      </c>
      <c r="S1" s="46">
        <f>IFERROR(__xludf.DUMMYFUNCTION("""COMPUTED_VALUE"""),46113.0)</f>
        <v>46113</v>
      </c>
      <c r="T1" s="46">
        <f>IFERROR(__xludf.DUMMYFUNCTION("""COMPUTED_VALUE"""),46143.0)</f>
        <v>46143</v>
      </c>
      <c r="U1" s="46">
        <f>IFERROR(__xludf.DUMMYFUNCTION("""COMPUTED_VALUE"""),46174.0)</f>
        <v>46174</v>
      </c>
      <c r="V1" s="46">
        <f>IFERROR(__xludf.DUMMYFUNCTION("""COMPUTED_VALUE"""),46204.0)</f>
        <v>46204</v>
      </c>
      <c r="W1" s="46">
        <f>IFERROR(__xludf.DUMMYFUNCTION("""COMPUTED_VALUE"""),46235.0)</f>
        <v>46235</v>
      </c>
      <c r="X1" s="46">
        <f>IFERROR(__xludf.DUMMYFUNCTION("""COMPUTED_VALUE"""),46266.0)</f>
        <v>46266</v>
      </c>
      <c r="Y1" s="46">
        <f>IFERROR(__xludf.DUMMYFUNCTION("""COMPUTED_VALUE"""),46296.0)</f>
        <v>46296</v>
      </c>
      <c r="Z1" s="46">
        <f>IFERROR(__xludf.DUMMYFUNCTION("""COMPUTED_VALUE"""),46327.0)</f>
        <v>46327</v>
      </c>
      <c r="AA1" s="46">
        <f>IFERROR(__xludf.DUMMYFUNCTION("""COMPUTED_VALUE"""),46357.0)</f>
        <v>46357</v>
      </c>
      <c r="AB1" s="37" t="str">
        <f>IFERROR(__xludf.DUMMYFUNCTION("""COMPUTED_VALUE"""),"2026 合計")</f>
        <v>2026 合計</v>
      </c>
    </row>
    <row r="2">
      <c r="B2" s="37" t="str">
        <f>IFERROR(__xludf.DUMMYFUNCTION("""COMPUTED_VALUE"""),"歸屬子公司，例如:TW、QLR")</f>
        <v>歸屬子公司，例如:TW、QLR</v>
      </c>
      <c r="C2" s="37" t="str">
        <f>IFERROR(__xludf.DUMMYFUNCTION("""COMPUTED_VALUE"""),"不需填寫")</f>
        <v>不需填寫</v>
      </c>
      <c r="D2" s="37" t="str">
        <f>IFERROR(__xludf.DUMMYFUNCTION("""COMPUTED_VALUE"""),"不需填寫")</f>
        <v>不需填寫</v>
      </c>
      <c r="E2" s="37" t="str">
        <f>IFERROR(__xludf.DUMMYFUNCTION("""COMPUTED_VALUE"""),"不需填寫")</f>
        <v>不需填寫</v>
      </c>
      <c r="F2" s="37" t="str">
        <f>IFERROR(__xludf.DUMMYFUNCTION("""COMPUTED_VALUE"""),"依資訊部管理方式設定")</f>
        <v>依資訊部管理方式設定</v>
      </c>
      <c r="G2" s="37" t="str">
        <f>IFERROR(__xludf.DUMMYFUNCTION("""COMPUTED_VALUE"""),"依資訊部管理方式設定")</f>
        <v>依資訊部管理方式設定</v>
      </c>
      <c r="H2" s="37" t="str">
        <f>IFERROR(__xludf.DUMMYFUNCTION("""COMPUTED_VALUE"""),"依資訊部管理方式設定")</f>
        <v>依資訊部管理方式設定</v>
      </c>
      <c r="I2" s="37" t="str">
        <f>IFERROR(__xludf.DUMMYFUNCTION("""COMPUTED_VALUE"""),"需按中心/部門/團隊規格，例如：行銷營運中心:銷售營運部:導入教練團隊")</f>
        <v>需按中心/部門/團隊規格，例如：行銷營運中心:銷售營運部:導入教練團隊</v>
      </c>
      <c r="J2" s="37" t="str">
        <f>IFERROR(__xludf.DUMMYFUNCTION("""COMPUTED_VALUE"""),"依資訊部管理方式設定")</f>
        <v>依資訊部管理方式設定</v>
      </c>
      <c r="K2" s="37" t="str">
        <f>IFERROR(__xludf.DUMMYFUNCTION("""COMPUTED_VALUE"""),"依資訊部管理方式設定")</f>
        <v>依資訊部管理方式設定</v>
      </c>
      <c r="L2" s="37" t="str">
        <f>IFERROR(__xludf.DUMMYFUNCTION("""COMPUTED_VALUE"""),"依資訊部管理方式設定")</f>
        <v>依資訊部管理方式設定</v>
      </c>
      <c r="M2" s="37" t="str">
        <f>IFERROR(__xludf.DUMMYFUNCTION("""COMPUTED_VALUE"""),"依資訊部管理方式設定")</f>
        <v>依資訊部管理方式設定</v>
      </c>
      <c r="N2" s="37" t="str">
        <f>IFERROR(__xludf.DUMMYFUNCTION("""COMPUTED_VALUE"""),"依資訊部管理方式設定")</f>
        <v>依資訊部管理方式設定</v>
      </c>
      <c r="O2" s="37" t="str">
        <f>IFERROR(__xludf.DUMMYFUNCTION("""COMPUTED_VALUE"""),"依資訊部管理方式設定")</f>
        <v>依資訊部管理方式設定</v>
      </c>
      <c r="P2" s="37" t="str">
        <f>IFERROR(__xludf.DUMMYFUNCTION("""COMPUTED_VALUE"""),"依財務部匯出資料填寫，例如：300")</f>
        <v>依財務部匯出資料填寫，例如：300</v>
      </c>
      <c r="Q2" s="37" t="str">
        <f>IFERROR(__xludf.DUMMYFUNCTION("""COMPUTED_VALUE"""),"依財務部匯出資料填寫，例如：300")</f>
        <v>依財務部匯出資料填寫，例如：300</v>
      </c>
      <c r="R2" s="37" t="str">
        <f>IFERROR(__xludf.DUMMYFUNCTION("""COMPUTED_VALUE"""),"依財務部匯出資料填寫，例如：300")</f>
        <v>依財務部匯出資料填寫，例如：300</v>
      </c>
      <c r="S2" s="37" t="str">
        <f>IFERROR(__xludf.DUMMYFUNCTION("""COMPUTED_VALUE"""),"依財務部匯出資料填寫，例如：300")</f>
        <v>依財務部匯出資料填寫，例如：300</v>
      </c>
      <c r="T2" s="37" t="str">
        <f>IFERROR(__xludf.DUMMYFUNCTION("""COMPUTED_VALUE"""),"依財務部匯出資料填寫，例如：300")</f>
        <v>依財務部匯出資料填寫，例如：300</v>
      </c>
      <c r="U2" s="37" t="str">
        <f>IFERROR(__xludf.DUMMYFUNCTION("""COMPUTED_VALUE"""),"依財務部匯出資料填寫，例如：300")</f>
        <v>依財務部匯出資料填寫，例如：300</v>
      </c>
      <c r="V2" s="37" t="str">
        <f>IFERROR(__xludf.DUMMYFUNCTION("""COMPUTED_VALUE"""),"依財務部匯出資料填寫，例如：300")</f>
        <v>依財務部匯出資料填寫，例如：300</v>
      </c>
      <c r="W2" s="37" t="str">
        <f>IFERROR(__xludf.DUMMYFUNCTION("""COMPUTED_VALUE"""),"依財務部匯出資料填寫，例如：300")</f>
        <v>依財務部匯出資料填寫，例如：300</v>
      </c>
      <c r="X2" s="37" t="str">
        <f>IFERROR(__xludf.DUMMYFUNCTION("""COMPUTED_VALUE"""),"依財務部匯出資料填寫，例如：300")</f>
        <v>依財務部匯出資料填寫，例如：300</v>
      </c>
      <c r="Y2" s="37" t="str">
        <f>IFERROR(__xludf.DUMMYFUNCTION("""COMPUTED_VALUE"""),"依財務部匯出資料填寫，例如：300")</f>
        <v>依財務部匯出資料填寫，例如：300</v>
      </c>
      <c r="Z2" s="37" t="str">
        <f>IFERROR(__xludf.DUMMYFUNCTION("""COMPUTED_VALUE"""),"依財務部匯出資料填寫，例如：300")</f>
        <v>依財務部匯出資料填寫，例如：300</v>
      </c>
      <c r="AA2" s="37" t="str">
        <f>IFERROR(__xludf.DUMMYFUNCTION("""COMPUTED_VALUE"""),"依財務部匯出資料填寫，例如：300")</f>
        <v>依財務部匯出資料填寫，例如：300</v>
      </c>
      <c r="AB2" s="37" t="str">
        <f>IFERROR(__xludf.DUMMYFUNCTION("""COMPUTED_VALUE"""),"依財務部匯出資料填寫，例如：300")</f>
        <v>依財務部匯出資料填寫，例如：300</v>
      </c>
    </row>
    <row r="3">
      <c r="B3" s="37"/>
      <c r="C3" s="37"/>
      <c r="D3" s="37"/>
      <c r="E3" s="37"/>
      <c r="F3" s="37"/>
      <c r="G3" s="37"/>
      <c r="H3" s="37"/>
      <c r="I3" s="37"/>
      <c r="J3" s="37" t="str">
        <f>IFERROR(__xludf.DUMMYFUNCTION("""COMPUTED_VALUE"""),"AICHIP02302087")</f>
        <v>AICHIP02302087</v>
      </c>
      <c r="K3" s="37" t="str">
        <f>IFERROR(__xludf.DUMMYFUNCTION("""COMPUTED_VALUE"""),"iPad Pro")</f>
        <v>iPad Pro</v>
      </c>
      <c r="L3" s="37" t="str">
        <f>IFERROR(__xludf.DUMMYFUNCTION("""COMPUTED_VALUE"""),"陳又嘉")</f>
        <v>陳又嘉</v>
      </c>
      <c r="M3" s="37" t="str">
        <f>IFERROR(__xludf.DUMMYFUNCTION("""COMPUTED_VALUE"""),"研發中心")</f>
        <v>研發中心</v>
      </c>
      <c r="N3" s="37" t="str">
        <f>IFERROR(__xludf.DUMMYFUNCTION("""COMPUTED_VALUE"""),"軟體工程部")</f>
        <v>軟體工程部</v>
      </c>
      <c r="O3" s="37" t="str">
        <f>IFERROR(__xludf.DUMMYFUNCTION("""COMPUTED_VALUE"""),"QE團隊")</f>
        <v>QE團隊</v>
      </c>
      <c r="P3" s="47">
        <f>IFERROR(__xludf.DUMMYFUNCTION("""COMPUTED_VALUE"""),931.0)</f>
        <v>931</v>
      </c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47">
        <f>IFERROR(__xludf.DUMMYFUNCTION("""COMPUTED_VALUE"""),931.0)</f>
        <v>931</v>
      </c>
    </row>
    <row r="4">
      <c r="B4" s="37"/>
      <c r="C4" s="37"/>
      <c r="D4" s="37"/>
      <c r="E4" s="37"/>
      <c r="F4" s="37"/>
      <c r="G4" s="37"/>
      <c r="H4" s="37"/>
      <c r="I4" s="37"/>
      <c r="J4" s="37" t="str">
        <f>IFERROR(__xludf.DUMMYFUNCTION("""COMPUTED_VALUE"""),"AICHIP02302088")</f>
        <v>AICHIP02302088</v>
      </c>
      <c r="K4" s="37" t="str">
        <f>IFERROR(__xludf.DUMMYFUNCTION("""COMPUTED_VALUE"""),"iPad")</f>
        <v>iPad</v>
      </c>
      <c r="L4" s="37" t="str">
        <f>IFERROR(__xludf.DUMMYFUNCTION("""COMPUTED_VALUE"""),"郭哲宇")</f>
        <v>郭哲宇</v>
      </c>
      <c r="M4" s="37" t="str">
        <f>IFERROR(__xludf.DUMMYFUNCTION("""COMPUTED_VALUE"""),"研發中心")</f>
        <v>研發中心</v>
      </c>
      <c r="N4" s="37" t="str">
        <f>IFERROR(__xludf.DUMMYFUNCTION("""COMPUTED_VALUE"""),"軟體工程部")</f>
        <v>軟體工程部</v>
      </c>
      <c r="O4" s="37" t="str">
        <f>IFERROR(__xludf.DUMMYFUNCTION("""COMPUTED_VALUE"""),"QE團隊")</f>
        <v>QE團隊</v>
      </c>
      <c r="P4" s="47">
        <f>IFERROR(__xludf.DUMMYFUNCTION("""COMPUTED_VALUE"""),366.0)</f>
        <v>366</v>
      </c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47">
        <f>IFERROR(__xludf.DUMMYFUNCTION("""COMPUTED_VALUE"""),366.0)</f>
        <v>366</v>
      </c>
    </row>
    <row r="5">
      <c r="B5" s="37"/>
      <c r="C5" s="37"/>
      <c r="D5" s="37"/>
      <c r="E5" s="37"/>
      <c r="F5" s="37"/>
      <c r="G5" s="37"/>
      <c r="H5" s="37"/>
      <c r="I5" s="37"/>
      <c r="J5" s="37" t="str">
        <f>IFERROR(__xludf.DUMMYFUNCTION("""COMPUTED_VALUE"""),"AICHMA02302052")</f>
        <v>AICHMA02302052</v>
      </c>
      <c r="K5" s="37" t="str">
        <f>IFERROR(__xludf.DUMMYFUNCTION("""COMPUTED_VALUE"""),"Macbook Air")</f>
        <v>Macbook Air</v>
      </c>
      <c r="L5" s="37" t="str">
        <f>IFERROR(__xludf.DUMMYFUNCTION("""COMPUTED_VALUE"""),"楊靖國")</f>
        <v>楊靖國</v>
      </c>
      <c r="M5" s="37" t="str">
        <f>IFERROR(__xludf.DUMMYFUNCTION("""COMPUTED_VALUE"""),"研發中心")</f>
        <v>研發中心</v>
      </c>
      <c r="N5" s="37" t="str">
        <f>IFERROR(__xludf.DUMMYFUNCTION("""COMPUTED_VALUE"""),"軟體工程部")</f>
        <v>軟體工程部</v>
      </c>
      <c r="O5" s="37" t="str">
        <f>IFERROR(__xludf.DUMMYFUNCTION("""COMPUTED_VALUE"""),"後端團隊")</f>
        <v>後端團隊</v>
      </c>
      <c r="P5" s="47">
        <f>IFERROR(__xludf.DUMMYFUNCTION("""COMPUTED_VALUE"""),1872.0)</f>
        <v>1872</v>
      </c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47">
        <f>IFERROR(__xludf.DUMMYFUNCTION("""COMPUTED_VALUE"""),1872.0)</f>
        <v>1872</v>
      </c>
    </row>
    <row r="6">
      <c r="B6" s="37"/>
      <c r="C6" s="37"/>
      <c r="D6" s="37"/>
      <c r="E6" s="37"/>
      <c r="F6" s="37"/>
      <c r="G6" s="37"/>
      <c r="H6" s="37"/>
      <c r="I6" s="37"/>
      <c r="J6" s="37" t="str">
        <f>IFERROR(__xludf.DUMMYFUNCTION("""COMPUTED_VALUE"""),"AICHIP02303091")</f>
        <v>AICHIP02303091</v>
      </c>
      <c r="K6" s="37" t="str">
        <f>IFERROR(__xludf.DUMMYFUNCTION("""COMPUTED_VALUE"""),"iPad 9")</f>
        <v>iPad 9</v>
      </c>
      <c r="L6" s="37" t="str">
        <f>IFERROR(__xludf.DUMMYFUNCTION("""COMPUTED_VALUE"""),"詹承峰")</f>
        <v>詹承峰</v>
      </c>
      <c r="M6" s="37" t="str">
        <f>IFERROR(__xludf.DUMMYFUNCTION("""COMPUTED_VALUE"""),"行銷營運中心")</f>
        <v>行銷營運中心</v>
      </c>
      <c r="N6" s="37" t="str">
        <f>IFERROR(__xludf.DUMMYFUNCTION("""COMPUTED_VALUE"""),"銷售營運部")</f>
        <v>銷售營運部</v>
      </c>
      <c r="O6" s="37" t="str">
        <f>IFERROR(__xludf.DUMMYFUNCTION("""COMPUTED_VALUE"""),"銷售顧問團隊")</f>
        <v>銷售顧問團隊</v>
      </c>
      <c r="P6" s="47">
        <f>IFERROR(__xludf.DUMMYFUNCTION("""COMPUTED_VALUE"""),262.0)</f>
        <v>262</v>
      </c>
      <c r="Q6" s="47">
        <f>IFERROR(__xludf.DUMMYFUNCTION("""COMPUTED_VALUE"""),262.0)</f>
        <v>262</v>
      </c>
      <c r="R6" s="37"/>
      <c r="S6" s="37"/>
      <c r="T6" s="37"/>
      <c r="U6" s="37"/>
      <c r="V6" s="37"/>
      <c r="W6" s="37"/>
      <c r="X6" s="37"/>
      <c r="Y6" s="37"/>
      <c r="Z6" s="37"/>
      <c r="AA6" s="37"/>
      <c r="AB6" s="47">
        <f>IFERROR(__xludf.DUMMYFUNCTION("""COMPUTED_VALUE"""),524.0)</f>
        <v>524</v>
      </c>
    </row>
    <row r="7">
      <c r="B7" s="37"/>
      <c r="C7" s="37"/>
      <c r="D7" s="37"/>
      <c r="E7" s="37"/>
      <c r="F7" s="37"/>
      <c r="G7" s="37"/>
      <c r="H7" s="37"/>
      <c r="I7" s="37"/>
      <c r="J7" s="37" t="str">
        <f>IFERROR(__xludf.DUMMYFUNCTION("""COMPUTED_VALUE"""),"AICHMP02304058")</f>
        <v>AICHMP02304058</v>
      </c>
      <c r="K7" s="37" t="str">
        <f>IFERROR(__xludf.DUMMYFUNCTION("""COMPUTED_VALUE"""),"Macbook Pro")</f>
        <v>Macbook Pro</v>
      </c>
      <c r="L7" s="37" t="str">
        <f>IFERROR(__xludf.DUMMYFUNCTION("""COMPUTED_VALUE"""),"蕭佑霖")</f>
        <v>蕭佑霖</v>
      </c>
      <c r="M7" s="37" t="str">
        <f>IFERROR(__xludf.DUMMYFUNCTION("""COMPUTED_VALUE"""),"研發中心")</f>
        <v>研發中心</v>
      </c>
      <c r="N7" s="37" t="str">
        <f>IFERROR(__xludf.DUMMYFUNCTION("""COMPUTED_VALUE"""),"軟體工程部")</f>
        <v>軟體工程部</v>
      </c>
      <c r="O7" s="37" t="str">
        <f>IFERROR(__xludf.DUMMYFUNCTION("""COMPUTED_VALUE"""),"前端團隊")</f>
        <v>前端團隊</v>
      </c>
      <c r="P7" s="47">
        <f>IFERROR(__xludf.DUMMYFUNCTION("""COMPUTED_VALUE"""),2092.0)</f>
        <v>2092</v>
      </c>
      <c r="Q7" s="47">
        <f>IFERROR(__xludf.DUMMYFUNCTION("""COMPUTED_VALUE"""),2092.0)</f>
        <v>2092</v>
      </c>
      <c r="R7" s="47">
        <f>IFERROR(__xludf.DUMMYFUNCTION("""COMPUTED_VALUE"""),2092.0)</f>
        <v>2092</v>
      </c>
      <c r="S7" s="37"/>
      <c r="T7" s="37"/>
      <c r="U7" s="37"/>
      <c r="V7" s="37"/>
      <c r="W7" s="37"/>
      <c r="X7" s="37"/>
      <c r="Y7" s="37"/>
      <c r="Z7" s="37"/>
      <c r="AA7" s="37"/>
      <c r="AB7" s="47">
        <f>IFERROR(__xludf.DUMMYFUNCTION("""COMPUTED_VALUE"""),6276.0)</f>
        <v>6276</v>
      </c>
    </row>
    <row r="8">
      <c r="B8" s="37"/>
      <c r="C8" s="37"/>
      <c r="D8" s="37"/>
      <c r="E8" s="37"/>
      <c r="F8" s="37"/>
      <c r="G8" s="37"/>
      <c r="H8" s="37"/>
      <c r="I8" s="37"/>
      <c r="J8" s="37" t="str">
        <f>IFERROR(__xludf.DUMMYFUNCTION("""COMPUTED_VALUE"""),"AICHNB02304001")</f>
        <v>AICHNB02304001</v>
      </c>
      <c r="K8" s="37" t="str">
        <f>IFERROR(__xludf.DUMMYFUNCTION("""COMPUTED_VALUE"""),"Windows 筆電")</f>
        <v>Windows 筆電</v>
      </c>
      <c r="L8" s="37" t="str">
        <f>IFERROR(__xludf.DUMMYFUNCTION("""COMPUTED_VALUE"""),"陳紫芸")</f>
        <v>陳紫芸</v>
      </c>
      <c r="M8" s="37" t="str">
        <f>IFERROR(__xludf.DUMMYFUNCTION("""COMPUTED_VALUE"""),"財務中心")</f>
        <v>財務中心</v>
      </c>
      <c r="N8" s="37" t="str">
        <f>IFERROR(__xludf.DUMMYFUNCTION("""COMPUTED_VALUE"""),"財務部")</f>
        <v>財務部</v>
      </c>
      <c r="O8" s="37"/>
      <c r="P8" s="47">
        <f>IFERROR(__xludf.DUMMYFUNCTION("""COMPUTED_VALUE"""),976.0)</f>
        <v>976</v>
      </c>
      <c r="Q8" s="47">
        <f>IFERROR(__xludf.DUMMYFUNCTION("""COMPUTED_VALUE"""),976.0)</f>
        <v>976</v>
      </c>
      <c r="R8" s="47">
        <f>IFERROR(__xludf.DUMMYFUNCTION("""COMPUTED_VALUE"""),976.0)</f>
        <v>976</v>
      </c>
      <c r="S8" s="37"/>
      <c r="T8" s="37"/>
      <c r="U8" s="37"/>
      <c r="V8" s="37"/>
      <c r="W8" s="37"/>
      <c r="X8" s="37"/>
      <c r="Y8" s="37"/>
      <c r="Z8" s="37"/>
      <c r="AA8" s="37"/>
      <c r="AB8" s="47">
        <f>IFERROR(__xludf.DUMMYFUNCTION("""COMPUTED_VALUE"""),2928.0)</f>
        <v>2928</v>
      </c>
    </row>
    <row r="9">
      <c r="B9" s="37"/>
      <c r="C9" s="37"/>
      <c r="D9" s="37"/>
      <c r="E9" s="37"/>
      <c r="F9" s="37"/>
      <c r="G9" s="37"/>
      <c r="H9" s="37"/>
      <c r="I9" s="37"/>
      <c r="J9" s="37" t="str">
        <f>IFERROR(__xludf.DUMMYFUNCTION("""COMPUTED_VALUE"""),"AICHMP02304060")</f>
        <v>AICHMP02304060</v>
      </c>
      <c r="K9" s="37" t="str">
        <f>IFERROR(__xludf.DUMMYFUNCTION("""COMPUTED_VALUE"""),"Macbook Pro")</f>
        <v>Macbook Pro</v>
      </c>
      <c r="L9" s="37" t="str">
        <f>IFERROR(__xludf.DUMMYFUNCTION("""COMPUTED_VALUE"""),"陳彥豪")</f>
        <v>陳彥豪</v>
      </c>
      <c r="M9" s="37" t="str">
        <f>IFERROR(__xludf.DUMMYFUNCTION("""COMPUTED_VALUE"""),"研發中心")</f>
        <v>研發中心</v>
      </c>
      <c r="N9" s="37" t="str">
        <f>IFERROR(__xludf.DUMMYFUNCTION("""COMPUTED_VALUE"""),"產品設計部")</f>
        <v>產品設計部</v>
      </c>
      <c r="O9" s="37" t="str">
        <f>IFERROR(__xludf.DUMMYFUNCTION("""COMPUTED_VALUE"""),"產品設計師團隊")</f>
        <v>產品設計師團隊</v>
      </c>
      <c r="P9" s="47">
        <f>IFERROR(__xludf.DUMMYFUNCTION("""COMPUTED_VALUE"""),2092.0)</f>
        <v>2092</v>
      </c>
      <c r="Q9" s="47">
        <f>IFERROR(__xludf.DUMMYFUNCTION("""COMPUTED_VALUE"""),2092.0)</f>
        <v>2092</v>
      </c>
      <c r="R9" s="47">
        <f>IFERROR(__xludf.DUMMYFUNCTION("""COMPUTED_VALUE"""),2092.0)</f>
        <v>2092</v>
      </c>
      <c r="S9" s="37"/>
      <c r="T9" s="37"/>
      <c r="U9" s="37"/>
      <c r="V9" s="37"/>
      <c r="W9" s="37"/>
      <c r="X9" s="37"/>
      <c r="Y9" s="37"/>
      <c r="Z9" s="37"/>
      <c r="AA9" s="37"/>
      <c r="AB9" s="47">
        <f>IFERROR(__xludf.DUMMYFUNCTION("""COMPUTED_VALUE"""),6276.0)</f>
        <v>6276</v>
      </c>
    </row>
    <row r="10">
      <c r="B10" s="37"/>
      <c r="C10" s="37"/>
      <c r="D10" s="37"/>
      <c r="E10" s="37"/>
      <c r="F10" s="37"/>
      <c r="G10" s="37"/>
      <c r="H10" s="37"/>
      <c r="I10" s="37"/>
      <c r="J10" s="37" t="str">
        <f>IFERROR(__xludf.DUMMYFUNCTION("""COMPUTED_VALUE"""),"AICHMP02304061")</f>
        <v>AICHMP02304061</v>
      </c>
      <c r="K10" s="37" t="str">
        <f>IFERROR(__xludf.DUMMYFUNCTION("""COMPUTED_VALUE"""),"Macbook Pro")</f>
        <v>Macbook Pro</v>
      </c>
      <c r="L10" s="37" t="str">
        <f>IFERROR(__xludf.DUMMYFUNCTION("""COMPUTED_VALUE"""),"黃康庭")</f>
        <v>黃康庭</v>
      </c>
      <c r="M10" s="37" t="str">
        <f>IFERROR(__xludf.DUMMYFUNCTION("""COMPUTED_VALUE"""),"研發中心")</f>
        <v>研發中心</v>
      </c>
      <c r="N10" s="37" t="str">
        <f>IFERROR(__xludf.DUMMYFUNCTION("""COMPUTED_VALUE"""),"軟體工程部")</f>
        <v>軟體工程部</v>
      </c>
      <c r="O10" s="37" t="str">
        <f>IFERROR(__xludf.DUMMYFUNCTION("""COMPUTED_VALUE"""),"後端團隊")</f>
        <v>後端團隊</v>
      </c>
      <c r="P10" s="47">
        <f>IFERROR(__xludf.DUMMYFUNCTION("""COMPUTED_VALUE"""),2092.0)</f>
        <v>2092</v>
      </c>
      <c r="Q10" s="47">
        <f>IFERROR(__xludf.DUMMYFUNCTION("""COMPUTED_VALUE"""),2092.0)</f>
        <v>2092</v>
      </c>
      <c r="R10" s="47">
        <f>IFERROR(__xludf.DUMMYFUNCTION("""COMPUTED_VALUE"""),2092.0)</f>
        <v>2092</v>
      </c>
      <c r="S10" s="37"/>
      <c r="T10" s="37"/>
      <c r="U10" s="37"/>
      <c r="V10" s="37"/>
      <c r="W10" s="37"/>
      <c r="X10" s="37"/>
      <c r="Y10" s="37"/>
      <c r="Z10" s="37"/>
      <c r="AA10" s="37"/>
      <c r="AB10" s="47">
        <f>IFERROR(__xludf.DUMMYFUNCTION("""COMPUTED_VALUE"""),6276.0)</f>
        <v>6276</v>
      </c>
    </row>
    <row r="11">
      <c r="B11" s="37"/>
      <c r="C11" s="37"/>
      <c r="D11" s="37"/>
      <c r="E11" s="37"/>
      <c r="F11" s="37"/>
      <c r="G11" s="37"/>
      <c r="H11" s="37"/>
      <c r="I11" s="37"/>
      <c r="J11" s="37" t="str">
        <f>IFERROR(__xludf.DUMMYFUNCTION("""COMPUTED_VALUE"""),"AICHMP02305062")</f>
        <v>AICHMP02305062</v>
      </c>
      <c r="K11" s="37" t="str">
        <f>IFERROR(__xludf.DUMMYFUNCTION("""COMPUTED_VALUE"""),"Macbook Pro")</f>
        <v>Macbook Pro</v>
      </c>
      <c r="L11" s="37" t="str">
        <f>IFERROR(__xludf.DUMMYFUNCTION("""COMPUTED_VALUE"""),"吳德毅")</f>
        <v>吳德毅</v>
      </c>
      <c r="M11" s="37" t="str">
        <f>IFERROR(__xludf.DUMMYFUNCTION("""COMPUTED_VALUE"""),"研發中心")</f>
        <v>研發中心</v>
      </c>
      <c r="N11" s="37" t="str">
        <f>IFERROR(__xludf.DUMMYFUNCTION("""COMPUTED_VALUE"""),"軟體工程部")</f>
        <v>軟體工程部</v>
      </c>
      <c r="O11" s="37" t="str">
        <f>IFERROR(__xludf.DUMMYFUNCTION("""COMPUTED_VALUE"""),"QE團隊")</f>
        <v>QE團隊</v>
      </c>
      <c r="P11" s="47">
        <f>IFERROR(__xludf.DUMMYFUNCTION("""COMPUTED_VALUE"""),2239.0)</f>
        <v>2239</v>
      </c>
      <c r="Q11" s="47">
        <f>IFERROR(__xludf.DUMMYFUNCTION("""COMPUTED_VALUE"""),2239.0)</f>
        <v>2239</v>
      </c>
      <c r="R11" s="47">
        <f>IFERROR(__xludf.DUMMYFUNCTION("""COMPUTED_VALUE"""),2239.0)</f>
        <v>2239</v>
      </c>
      <c r="S11" s="47">
        <f>IFERROR(__xludf.DUMMYFUNCTION("""COMPUTED_VALUE"""),2239.0)</f>
        <v>2239</v>
      </c>
      <c r="T11" s="37"/>
      <c r="U11" s="37"/>
      <c r="V11" s="37"/>
      <c r="W11" s="37"/>
      <c r="X11" s="37"/>
      <c r="Y11" s="37"/>
      <c r="Z11" s="37"/>
      <c r="AA11" s="37"/>
      <c r="AB11" s="47">
        <f>IFERROR(__xludf.DUMMYFUNCTION("""COMPUTED_VALUE"""),8956.0)</f>
        <v>8956</v>
      </c>
    </row>
    <row r="12">
      <c r="B12" s="37"/>
      <c r="C12" s="37"/>
      <c r="D12" s="37"/>
      <c r="E12" s="37"/>
      <c r="F12" s="37"/>
      <c r="G12" s="37"/>
      <c r="H12" s="37"/>
      <c r="I12" s="37"/>
      <c r="J12" s="37" t="str">
        <f>IFERROR(__xludf.DUMMYFUNCTION("""COMPUTED_VALUE"""),"AICHMP02304059")</f>
        <v>AICHMP02304059</v>
      </c>
      <c r="K12" s="37" t="str">
        <f>IFERROR(__xludf.DUMMYFUNCTION("""COMPUTED_VALUE"""),"Macbook Pro")</f>
        <v>Macbook Pro</v>
      </c>
      <c r="L12" s="37" t="str">
        <f>IFERROR(__xludf.DUMMYFUNCTION("""COMPUTED_VALUE"""),"莊承霖")</f>
        <v>莊承霖</v>
      </c>
      <c r="M12" s="37" t="str">
        <f>IFERROR(__xludf.DUMMYFUNCTION("""COMPUTED_VALUE"""),"研發中心")</f>
        <v>研發中心</v>
      </c>
      <c r="N12" s="37" t="str">
        <f>IFERROR(__xludf.DUMMYFUNCTION("""COMPUTED_VALUE"""),"軟體工程部")</f>
        <v>軟體工程部</v>
      </c>
      <c r="O12" s="37" t="str">
        <f>IFERROR(__xludf.DUMMYFUNCTION("""COMPUTED_VALUE"""),"IOS團隊")</f>
        <v>IOS團隊</v>
      </c>
      <c r="P12" s="47">
        <f>IFERROR(__xludf.DUMMYFUNCTION("""COMPUTED_VALUE"""),1919.0)</f>
        <v>1919</v>
      </c>
      <c r="Q12" s="47">
        <f>IFERROR(__xludf.DUMMYFUNCTION("""COMPUTED_VALUE"""),1919.0)</f>
        <v>1919</v>
      </c>
      <c r="R12" s="47">
        <f>IFERROR(__xludf.DUMMYFUNCTION("""COMPUTED_VALUE"""),1919.0)</f>
        <v>1919</v>
      </c>
      <c r="S12" s="47">
        <f>IFERROR(__xludf.DUMMYFUNCTION("""COMPUTED_VALUE"""),1919.0)</f>
        <v>1919</v>
      </c>
      <c r="T12" s="47">
        <f>IFERROR(__xludf.DUMMYFUNCTION("""COMPUTED_VALUE"""),1919.0)</f>
        <v>1919</v>
      </c>
      <c r="U12" s="47">
        <f>IFERROR(__xludf.DUMMYFUNCTION("""COMPUTED_VALUE"""),1919.0)</f>
        <v>1919</v>
      </c>
      <c r="V12" s="47">
        <f>IFERROR(__xludf.DUMMYFUNCTION("""COMPUTED_VALUE"""),1919.0)</f>
        <v>1919</v>
      </c>
      <c r="W12" s="47">
        <f>IFERROR(__xludf.DUMMYFUNCTION("""COMPUTED_VALUE"""),1919.0)</f>
        <v>1919</v>
      </c>
      <c r="X12" s="47">
        <f>IFERROR(__xludf.DUMMYFUNCTION("""COMPUTED_VALUE"""),1919.0)</f>
        <v>1919</v>
      </c>
      <c r="Y12" s="37"/>
      <c r="Z12" s="37"/>
      <c r="AA12" s="37"/>
      <c r="AB12" s="47">
        <f>IFERROR(__xludf.DUMMYFUNCTION("""COMPUTED_VALUE"""),17271.0)</f>
        <v>17271</v>
      </c>
    </row>
    <row r="13">
      <c r="B13" s="37"/>
      <c r="C13" s="37"/>
      <c r="D13" s="37"/>
      <c r="E13" s="37"/>
      <c r="F13" s="37"/>
      <c r="G13" s="37"/>
      <c r="H13" s="37"/>
      <c r="I13" s="37"/>
      <c r="J13" s="37" t="str">
        <f>IFERROR(__xludf.DUMMYFUNCTION("""COMPUTED_VALUE"""),"AICHMA02304054")</f>
        <v>AICHMA02304054</v>
      </c>
      <c r="K13" s="37" t="str">
        <f>IFERROR(__xludf.DUMMYFUNCTION("""COMPUTED_VALUE"""),"Macbook Air")</f>
        <v>Macbook Air</v>
      </c>
      <c r="L13" s="37" t="str">
        <f>IFERROR(__xludf.DUMMYFUNCTION("""COMPUTED_VALUE"""),"高克瑋")</f>
        <v>高克瑋</v>
      </c>
      <c r="M13" s="37" t="str">
        <f>IFERROR(__xludf.DUMMYFUNCTION("""COMPUTED_VALUE"""),"行銷營運中心")</f>
        <v>行銷營運中心</v>
      </c>
      <c r="N13" s="37" t="str">
        <f>IFERROR(__xludf.DUMMYFUNCTION("""COMPUTED_VALUE"""),"銷售營運部")</f>
        <v>銷售營運部</v>
      </c>
      <c r="O13" s="37"/>
      <c r="P13" s="47">
        <f>IFERROR(__xludf.DUMMYFUNCTION("""COMPUTED_VALUE"""),924.0)</f>
        <v>924</v>
      </c>
      <c r="Q13" s="47">
        <f>IFERROR(__xludf.DUMMYFUNCTION("""COMPUTED_VALUE"""),924.0)</f>
        <v>924</v>
      </c>
      <c r="R13" s="47">
        <f>IFERROR(__xludf.DUMMYFUNCTION("""COMPUTED_VALUE"""),924.0)</f>
        <v>924</v>
      </c>
      <c r="S13" s="37"/>
      <c r="T13" s="37"/>
      <c r="U13" s="37"/>
      <c r="V13" s="37"/>
      <c r="W13" s="37"/>
      <c r="X13" s="37"/>
      <c r="Y13" s="37"/>
      <c r="Z13" s="37"/>
      <c r="AA13" s="37"/>
      <c r="AB13" s="47">
        <f>IFERROR(__xludf.DUMMYFUNCTION("""COMPUTED_VALUE"""),2772.0)</f>
        <v>2772</v>
      </c>
    </row>
    <row r="14">
      <c r="B14" s="37"/>
      <c r="C14" s="37"/>
      <c r="D14" s="37"/>
      <c r="E14" s="37"/>
      <c r="F14" s="37"/>
      <c r="G14" s="37"/>
      <c r="H14" s="37"/>
      <c r="I14" s="37"/>
      <c r="J14" s="37" t="str">
        <f>IFERROR(__xludf.DUMMYFUNCTION("""COMPUTED_VALUE"""),"AICHNE02306001")</f>
        <v>AICHNE02306001</v>
      </c>
      <c r="K14" s="37" t="str">
        <f>IFERROR(__xludf.DUMMYFUNCTION("""COMPUTED_VALUE"""),"HDD硬碟")</f>
        <v>HDD硬碟</v>
      </c>
      <c r="L14" s="37" t="str">
        <f>IFERROR(__xludf.DUMMYFUNCTION("""COMPUTED_VALUE"""),"萬盈君")</f>
        <v>萬盈君</v>
      </c>
      <c r="M14" s="37" t="str">
        <f>IFERROR(__xludf.DUMMYFUNCTION("""COMPUTED_VALUE"""),"行銷營運中心")</f>
        <v>行銷營運中心</v>
      </c>
      <c r="N14" s="37" t="str">
        <f>IFERROR(__xludf.DUMMYFUNCTION("""COMPUTED_VALUE"""),"產品行銷部")</f>
        <v>產品行銷部</v>
      </c>
      <c r="O14" s="37" t="str">
        <f>IFERROR(__xludf.DUMMYFUNCTION("""COMPUTED_VALUE"""),"設計管理團隊")</f>
        <v>設計管理團隊</v>
      </c>
      <c r="P14" s="47">
        <f>IFERROR(__xludf.DUMMYFUNCTION("""COMPUTED_VALUE"""),103.0)</f>
        <v>103</v>
      </c>
      <c r="Q14" s="47">
        <f>IFERROR(__xludf.DUMMYFUNCTION("""COMPUTED_VALUE"""),103.0)</f>
        <v>103</v>
      </c>
      <c r="R14" s="47">
        <f>IFERROR(__xludf.DUMMYFUNCTION("""COMPUTED_VALUE"""),103.0)</f>
        <v>103</v>
      </c>
      <c r="S14" s="47">
        <f>IFERROR(__xludf.DUMMYFUNCTION("""COMPUTED_VALUE"""),103.0)</f>
        <v>103</v>
      </c>
      <c r="T14" s="47">
        <f>IFERROR(__xludf.DUMMYFUNCTION("""COMPUTED_VALUE"""),103.0)</f>
        <v>103</v>
      </c>
      <c r="U14" s="37"/>
      <c r="V14" s="37"/>
      <c r="W14" s="37"/>
      <c r="X14" s="37"/>
      <c r="Y14" s="37"/>
      <c r="Z14" s="37"/>
      <c r="AA14" s="37"/>
      <c r="AB14" s="47">
        <f>IFERROR(__xludf.DUMMYFUNCTION("""COMPUTED_VALUE"""),515.0)</f>
        <v>515</v>
      </c>
    </row>
    <row r="15">
      <c r="B15" s="37"/>
      <c r="C15" s="37"/>
      <c r="D15" s="37"/>
      <c r="E15" s="37"/>
      <c r="F15" s="37"/>
      <c r="G15" s="37"/>
      <c r="H15" s="37"/>
      <c r="I15" s="37"/>
      <c r="J15" s="37" t="str">
        <f>IFERROR(__xludf.DUMMYFUNCTION("""COMPUTED_VALUE"""),"AICHNB02306002")</f>
        <v>AICHNB02306002</v>
      </c>
      <c r="K15" s="37" t="str">
        <f>IFERROR(__xludf.DUMMYFUNCTION("""COMPUTED_VALUE"""),"Windows 筆電")</f>
        <v>Windows 筆電</v>
      </c>
      <c r="L15" s="37" t="str">
        <f>IFERROR(__xludf.DUMMYFUNCTION("""COMPUTED_VALUE"""),"曹昀暐")</f>
        <v>曹昀暐</v>
      </c>
      <c r="M15" s="37" t="str">
        <f>IFERROR(__xludf.DUMMYFUNCTION("""COMPUTED_VALUE"""),"財務中心")</f>
        <v>財務中心</v>
      </c>
      <c r="N15" s="37" t="str">
        <f>IFERROR(__xludf.DUMMYFUNCTION("""COMPUTED_VALUE"""),"會計部")</f>
        <v>會計部</v>
      </c>
      <c r="O15" s="37"/>
      <c r="P15" s="47">
        <f>IFERROR(__xludf.DUMMYFUNCTION("""COMPUTED_VALUE"""),923.0)</f>
        <v>923</v>
      </c>
      <c r="Q15" s="47">
        <f>IFERROR(__xludf.DUMMYFUNCTION("""COMPUTED_VALUE"""),923.0)</f>
        <v>923</v>
      </c>
      <c r="R15" s="47">
        <f>IFERROR(__xludf.DUMMYFUNCTION("""COMPUTED_VALUE"""),923.0)</f>
        <v>923</v>
      </c>
      <c r="S15" s="47">
        <f>IFERROR(__xludf.DUMMYFUNCTION("""COMPUTED_VALUE"""),923.0)</f>
        <v>923</v>
      </c>
      <c r="T15" s="47">
        <f>IFERROR(__xludf.DUMMYFUNCTION("""COMPUTED_VALUE"""),923.0)</f>
        <v>923</v>
      </c>
      <c r="U15" s="37"/>
      <c r="V15" s="37"/>
      <c r="W15" s="37"/>
      <c r="X15" s="37"/>
      <c r="Y15" s="37"/>
      <c r="Z15" s="37"/>
      <c r="AA15" s="37"/>
      <c r="AB15" s="47">
        <f>IFERROR(__xludf.DUMMYFUNCTION("""COMPUTED_VALUE"""),4615.0)</f>
        <v>4615</v>
      </c>
    </row>
    <row r="16">
      <c r="B16" s="37"/>
      <c r="C16" s="37"/>
      <c r="D16" s="37"/>
      <c r="E16" s="37"/>
      <c r="F16" s="37"/>
      <c r="G16" s="37"/>
      <c r="H16" s="37"/>
      <c r="I16" s="37"/>
      <c r="J16" s="37" t="str">
        <f>IFERROR(__xludf.DUMMYFUNCTION("""COMPUTED_VALUE"""),"AICHMA02307055")</f>
        <v>AICHMA02307055</v>
      </c>
      <c r="K16" s="37" t="str">
        <f>IFERROR(__xludf.DUMMYFUNCTION("""COMPUTED_VALUE"""),"Macbook Air 	")</f>
        <v>Macbook Air 	</v>
      </c>
      <c r="L16" s="37" t="str">
        <f>IFERROR(__xludf.DUMMYFUNCTION("""COMPUTED_VALUE"""),"邱郁婷")</f>
        <v>邱郁婷</v>
      </c>
      <c r="M16" s="37" t="str">
        <f>IFERROR(__xludf.DUMMYFUNCTION("""COMPUTED_VALUE"""),"行銷營運中心")</f>
        <v>行銷營運中心</v>
      </c>
      <c r="N16" s="37" t="str">
        <f>IFERROR(__xludf.DUMMYFUNCTION("""COMPUTED_VALUE"""),"銷售營運部")</f>
        <v>銷售營運部</v>
      </c>
      <c r="O16" s="37" t="str">
        <f>IFERROR(__xludf.DUMMYFUNCTION("""COMPUTED_VALUE"""),"客戶導入團隊")</f>
        <v>客戶導入團隊</v>
      </c>
      <c r="P16" s="47">
        <f>IFERROR(__xludf.DUMMYFUNCTION("""COMPUTED_VALUE"""),875.0)</f>
        <v>875</v>
      </c>
      <c r="Q16" s="47">
        <f>IFERROR(__xludf.DUMMYFUNCTION("""COMPUTED_VALUE"""),875.0)</f>
        <v>875</v>
      </c>
      <c r="R16" s="47">
        <f>IFERROR(__xludf.DUMMYFUNCTION("""COMPUTED_VALUE"""),875.0)</f>
        <v>875</v>
      </c>
      <c r="S16" s="47">
        <f>IFERROR(__xludf.DUMMYFUNCTION("""COMPUTED_VALUE"""),875.0)</f>
        <v>875</v>
      </c>
      <c r="T16" s="47">
        <f>IFERROR(__xludf.DUMMYFUNCTION("""COMPUTED_VALUE"""),875.0)</f>
        <v>875</v>
      </c>
      <c r="U16" s="47">
        <f>IFERROR(__xludf.DUMMYFUNCTION("""COMPUTED_VALUE"""),875.0)</f>
        <v>875</v>
      </c>
      <c r="V16" s="37"/>
      <c r="W16" s="37"/>
      <c r="X16" s="37"/>
      <c r="Y16" s="37"/>
      <c r="Z16" s="37"/>
      <c r="AA16" s="37"/>
      <c r="AB16" s="47">
        <f>IFERROR(__xludf.DUMMYFUNCTION("""COMPUTED_VALUE"""),5250.0)</f>
        <v>5250</v>
      </c>
    </row>
    <row r="17">
      <c r="B17" s="37"/>
      <c r="C17" s="37"/>
      <c r="D17" s="37"/>
      <c r="E17" s="37"/>
      <c r="F17" s="37"/>
      <c r="G17" s="37"/>
      <c r="H17" s="37"/>
      <c r="I17" s="37"/>
      <c r="J17" s="37" t="str">
        <f>IFERROR(__xludf.DUMMYFUNCTION("""COMPUTED_VALUE"""),"AICHMC02307017")</f>
        <v>AICHMC02307017</v>
      </c>
      <c r="K17" s="37" t="str">
        <f>IFERROR(__xludf.DUMMYFUNCTION("""COMPUTED_VALUE"""),"Mac Mini")</f>
        <v>Mac Mini</v>
      </c>
      <c r="L17" s="37" t="str">
        <f>IFERROR(__xludf.DUMMYFUNCTION("""COMPUTED_VALUE"""),"高旻暄")</f>
        <v>高旻暄</v>
      </c>
      <c r="M17" s="37" t="str">
        <f>IFERROR(__xludf.DUMMYFUNCTION("""COMPUTED_VALUE"""),"研發中心")</f>
        <v>研發中心</v>
      </c>
      <c r="N17" s="37" t="str">
        <f>IFERROR(__xludf.DUMMYFUNCTION("""COMPUTED_VALUE"""),"軟體工程部")</f>
        <v>軟體工程部</v>
      </c>
      <c r="O17" s="37" t="str">
        <f>IFERROR(__xludf.DUMMYFUNCTION("""COMPUTED_VALUE"""),"IOS團隊")</f>
        <v>IOS團隊</v>
      </c>
      <c r="P17" s="47">
        <f>IFERROR(__xludf.DUMMYFUNCTION("""COMPUTED_VALUE"""),758.0)</f>
        <v>758</v>
      </c>
      <c r="Q17" s="47">
        <f>IFERROR(__xludf.DUMMYFUNCTION("""COMPUTED_VALUE"""),758.0)</f>
        <v>758</v>
      </c>
      <c r="R17" s="47">
        <f>IFERROR(__xludf.DUMMYFUNCTION("""COMPUTED_VALUE"""),758.0)</f>
        <v>758</v>
      </c>
      <c r="S17" s="47">
        <f>IFERROR(__xludf.DUMMYFUNCTION("""COMPUTED_VALUE"""),758.0)</f>
        <v>758</v>
      </c>
      <c r="T17" s="47">
        <f>IFERROR(__xludf.DUMMYFUNCTION("""COMPUTED_VALUE"""),758.0)</f>
        <v>758</v>
      </c>
      <c r="U17" s="47">
        <f>IFERROR(__xludf.DUMMYFUNCTION("""COMPUTED_VALUE"""),758.0)</f>
        <v>758</v>
      </c>
      <c r="V17" s="37"/>
      <c r="W17" s="37"/>
      <c r="X17" s="37"/>
      <c r="Y17" s="37"/>
      <c r="Z17" s="37"/>
      <c r="AA17" s="37"/>
      <c r="AB17" s="47">
        <f>IFERROR(__xludf.DUMMYFUNCTION("""COMPUTED_VALUE"""),4548.0)</f>
        <v>4548</v>
      </c>
    </row>
    <row r="18">
      <c r="B18" s="37"/>
      <c r="C18" s="37"/>
      <c r="D18" s="37"/>
      <c r="E18" s="37"/>
      <c r="F18" s="37"/>
      <c r="G18" s="37"/>
      <c r="H18" s="37"/>
      <c r="I18" s="37"/>
      <c r="J18" s="37" t="str">
        <f>IFERROR(__xludf.DUMMYFUNCTION("""COMPUTED_VALUE"""),"AICHMC02307018")</f>
        <v>AICHMC02307018</v>
      </c>
      <c r="K18" s="37" t="str">
        <f>IFERROR(__xludf.DUMMYFUNCTION("""COMPUTED_VALUE"""),"Mac Mini")</f>
        <v>Mac Mini</v>
      </c>
      <c r="L18" s="37" t="str">
        <f>IFERROR(__xludf.DUMMYFUNCTION("""COMPUTED_VALUE"""),"高旻暄")</f>
        <v>高旻暄</v>
      </c>
      <c r="M18" s="37" t="str">
        <f>IFERROR(__xludf.DUMMYFUNCTION("""COMPUTED_VALUE"""),"研發中心")</f>
        <v>研發中心</v>
      </c>
      <c r="N18" s="37" t="str">
        <f>IFERROR(__xludf.DUMMYFUNCTION("""COMPUTED_VALUE"""),"軟體工程部")</f>
        <v>軟體工程部</v>
      </c>
      <c r="O18" s="37" t="str">
        <f>IFERROR(__xludf.DUMMYFUNCTION("""COMPUTED_VALUE"""),"IOS團隊")</f>
        <v>IOS團隊</v>
      </c>
      <c r="P18" s="47">
        <f>IFERROR(__xludf.DUMMYFUNCTION("""COMPUTED_VALUE"""),758.0)</f>
        <v>758</v>
      </c>
      <c r="Q18" s="47">
        <f>IFERROR(__xludf.DUMMYFUNCTION("""COMPUTED_VALUE"""),758.0)</f>
        <v>758</v>
      </c>
      <c r="R18" s="47">
        <f>IFERROR(__xludf.DUMMYFUNCTION("""COMPUTED_VALUE"""),758.0)</f>
        <v>758</v>
      </c>
      <c r="S18" s="47">
        <f>IFERROR(__xludf.DUMMYFUNCTION("""COMPUTED_VALUE"""),758.0)</f>
        <v>758</v>
      </c>
      <c r="T18" s="47">
        <f>IFERROR(__xludf.DUMMYFUNCTION("""COMPUTED_VALUE"""),758.0)</f>
        <v>758</v>
      </c>
      <c r="U18" s="47">
        <f>IFERROR(__xludf.DUMMYFUNCTION("""COMPUTED_VALUE"""),758.0)</f>
        <v>758</v>
      </c>
      <c r="V18" s="37"/>
      <c r="W18" s="37"/>
      <c r="X18" s="37"/>
      <c r="Y18" s="37"/>
      <c r="Z18" s="37"/>
      <c r="AA18" s="37"/>
      <c r="AB18" s="47">
        <f>IFERROR(__xludf.DUMMYFUNCTION("""COMPUTED_VALUE"""),4548.0)</f>
        <v>4548</v>
      </c>
    </row>
    <row r="19">
      <c r="B19" s="37"/>
      <c r="C19" s="37"/>
      <c r="D19" s="37"/>
      <c r="E19" s="37"/>
      <c r="F19" s="37"/>
      <c r="G19" s="37"/>
      <c r="H19" s="37"/>
      <c r="I19" s="37"/>
      <c r="J19" s="37" t="str">
        <f>IFERROR(__xludf.DUMMYFUNCTION("""COMPUTED_VALUE"""),"AICHIP02309092")</f>
        <v>AICHIP02309092</v>
      </c>
      <c r="K19" s="37" t="str">
        <f>IFERROR(__xludf.DUMMYFUNCTION("""COMPUTED_VALUE"""),"iPad 9 / 10.2吋 64G WiFi _ 無法挑色")</f>
        <v>iPad 9 / 10.2吋 64G WiFi _ 無法挑色</v>
      </c>
      <c r="L19" s="37" t="str">
        <f>IFERROR(__xludf.DUMMYFUNCTION("""COMPUTED_VALUE"""),"王壯為")</f>
        <v>王壯為</v>
      </c>
      <c r="M19" s="37" t="str">
        <f>IFERROR(__xludf.DUMMYFUNCTION("""COMPUTED_VALUE"""),"管理中心")</f>
        <v>管理中心</v>
      </c>
      <c r="N19" s="37" t="str">
        <f>IFERROR(__xludf.DUMMYFUNCTION("""COMPUTED_VALUE"""),"資訊部")</f>
        <v>資訊部</v>
      </c>
      <c r="O19" s="37"/>
      <c r="P19" s="47">
        <f>IFERROR(__xludf.DUMMYFUNCTION("""COMPUTED_VALUE"""),275.0)</f>
        <v>275</v>
      </c>
      <c r="Q19" s="47">
        <f>IFERROR(__xludf.DUMMYFUNCTION("""COMPUTED_VALUE"""),275.0)</f>
        <v>275</v>
      </c>
      <c r="R19" s="47">
        <f>IFERROR(__xludf.DUMMYFUNCTION("""COMPUTED_VALUE"""),275.0)</f>
        <v>275</v>
      </c>
      <c r="S19" s="47">
        <f>IFERROR(__xludf.DUMMYFUNCTION("""COMPUTED_VALUE"""),275.0)</f>
        <v>275</v>
      </c>
      <c r="T19" s="47">
        <f>IFERROR(__xludf.DUMMYFUNCTION("""COMPUTED_VALUE"""),275.0)</f>
        <v>275</v>
      </c>
      <c r="U19" s="47">
        <f>IFERROR(__xludf.DUMMYFUNCTION("""COMPUTED_VALUE"""),275.0)</f>
        <v>275</v>
      </c>
      <c r="V19" s="47">
        <f>IFERROR(__xludf.DUMMYFUNCTION("""COMPUTED_VALUE"""),275.0)</f>
        <v>275</v>
      </c>
      <c r="W19" s="47">
        <f>IFERROR(__xludf.DUMMYFUNCTION("""COMPUTED_VALUE"""),275.0)</f>
        <v>275</v>
      </c>
      <c r="X19" s="37"/>
      <c r="Y19" s="37"/>
      <c r="Z19" s="37"/>
      <c r="AA19" s="37"/>
      <c r="AB19" s="47">
        <f>IFERROR(__xludf.DUMMYFUNCTION("""COMPUTED_VALUE"""),2200.0)</f>
        <v>2200</v>
      </c>
    </row>
    <row r="20">
      <c r="B20" s="37"/>
      <c r="C20" s="37"/>
      <c r="D20" s="37"/>
      <c r="E20" s="37"/>
      <c r="F20" s="37"/>
      <c r="G20" s="37"/>
      <c r="H20" s="37"/>
      <c r="I20" s="37"/>
      <c r="J20" s="37" t="str">
        <f>IFERROR(__xludf.DUMMYFUNCTION("""COMPUTED_VALUE"""),"AICHOF02309001")</f>
        <v>AICHOF02309001</v>
      </c>
      <c r="K20" s="37" t="str">
        <f>IFERROR(__xludf.DUMMYFUNCTION("""COMPUTED_VALUE"""),"整新 mCP31L-WT（不含保固及維修補助）")</f>
        <v>整新 mCP31L-WT（不含保固及維修補助）</v>
      </c>
      <c r="L20" s="37" t="str">
        <f>IFERROR(__xludf.DUMMYFUNCTION("""COMPUTED_VALUE"""),"陳品宏")</f>
        <v>陳品宏</v>
      </c>
      <c r="M20" s="37" t="str">
        <f>IFERROR(__xludf.DUMMYFUNCTION("""COMPUTED_VALUE"""),"行銷營運中心")</f>
        <v>行銷營運中心</v>
      </c>
      <c r="N20" s="37" t="str">
        <f>IFERROR(__xludf.DUMMYFUNCTION("""COMPUTED_VALUE"""),"社群關係部")</f>
        <v>社群關係部</v>
      </c>
      <c r="O20" s="37" t="str">
        <f>IFERROR(__xludf.DUMMYFUNCTION("""COMPUTED_VALUE"""),"餐廳社群團隊")</f>
        <v>餐廳社群團隊</v>
      </c>
      <c r="P20" s="47">
        <f>IFERROR(__xludf.DUMMYFUNCTION("""COMPUTED_VALUE"""),189.0)</f>
        <v>189</v>
      </c>
      <c r="Q20" s="47">
        <f>IFERROR(__xludf.DUMMYFUNCTION("""COMPUTED_VALUE"""),189.0)</f>
        <v>189</v>
      </c>
      <c r="R20" s="47">
        <f>IFERROR(__xludf.DUMMYFUNCTION("""COMPUTED_VALUE"""),189.0)</f>
        <v>189</v>
      </c>
      <c r="S20" s="47">
        <f>IFERROR(__xludf.DUMMYFUNCTION("""COMPUTED_VALUE"""),189.0)</f>
        <v>189</v>
      </c>
      <c r="T20" s="47">
        <f>IFERROR(__xludf.DUMMYFUNCTION("""COMPUTED_VALUE"""),189.0)</f>
        <v>189</v>
      </c>
      <c r="U20" s="47">
        <f>IFERROR(__xludf.DUMMYFUNCTION("""COMPUTED_VALUE"""),189.0)</f>
        <v>189</v>
      </c>
      <c r="V20" s="47">
        <f>IFERROR(__xludf.DUMMYFUNCTION("""COMPUTED_VALUE"""),189.0)</f>
        <v>189</v>
      </c>
      <c r="W20" s="47">
        <f>IFERROR(__xludf.DUMMYFUNCTION("""COMPUTED_VALUE"""),189.0)</f>
        <v>189</v>
      </c>
      <c r="X20" s="37"/>
      <c r="Y20" s="37"/>
      <c r="Z20" s="37"/>
      <c r="AA20" s="37"/>
      <c r="AB20" s="47">
        <f>IFERROR(__xludf.DUMMYFUNCTION("""COMPUTED_VALUE"""),1512.0)</f>
        <v>1512</v>
      </c>
    </row>
    <row r="21">
      <c r="B21" s="37"/>
      <c r="C21" s="37"/>
      <c r="D21" s="37"/>
      <c r="E21" s="37"/>
      <c r="F21" s="37"/>
      <c r="G21" s="37"/>
      <c r="H21" s="37"/>
      <c r="I21" s="37"/>
      <c r="J21" s="37" t="str">
        <f>IFERROR(__xludf.DUMMYFUNCTION("""COMPUTED_VALUE"""),"AICHOF02309002")</f>
        <v>AICHOF02309002</v>
      </c>
      <c r="K21" s="37" t="str">
        <f>IFERROR(__xludf.DUMMYFUNCTION("""COMPUTED_VALUE"""),"整新 GoDEX小貼紙機（不含保固及維修補助）")</f>
        <v>整新 GoDEX小貼紙機（不含保固及維修補助）</v>
      </c>
      <c r="L21" s="37" t="str">
        <f>IFERROR(__xludf.DUMMYFUNCTION("""COMPUTED_VALUE"""),"陳品宏")</f>
        <v>陳品宏</v>
      </c>
      <c r="M21" s="37" t="str">
        <f>IFERROR(__xludf.DUMMYFUNCTION("""COMPUTED_VALUE"""),"行銷營運中心")</f>
        <v>行銷營運中心</v>
      </c>
      <c r="N21" s="37" t="str">
        <f>IFERROR(__xludf.DUMMYFUNCTION("""COMPUTED_VALUE"""),"社群關係部")</f>
        <v>社群關係部</v>
      </c>
      <c r="O21" s="37" t="str">
        <f>IFERROR(__xludf.DUMMYFUNCTION("""COMPUTED_VALUE"""),"餐廳社群團隊")</f>
        <v>餐廳社群團隊</v>
      </c>
      <c r="P21" s="47">
        <f>IFERROR(__xludf.DUMMYFUNCTION("""COMPUTED_VALUE"""),189.0)</f>
        <v>189</v>
      </c>
      <c r="Q21" s="47">
        <f>IFERROR(__xludf.DUMMYFUNCTION("""COMPUTED_VALUE"""),189.0)</f>
        <v>189</v>
      </c>
      <c r="R21" s="47">
        <f>IFERROR(__xludf.DUMMYFUNCTION("""COMPUTED_VALUE"""),189.0)</f>
        <v>189</v>
      </c>
      <c r="S21" s="47">
        <f>IFERROR(__xludf.DUMMYFUNCTION("""COMPUTED_VALUE"""),189.0)</f>
        <v>189</v>
      </c>
      <c r="T21" s="47">
        <f>IFERROR(__xludf.DUMMYFUNCTION("""COMPUTED_VALUE"""),189.0)</f>
        <v>189</v>
      </c>
      <c r="U21" s="47">
        <f>IFERROR(__xludf.DUMMYFUNCTION("""COMPUTED_VALUE"""),189.0)</f>
        <v>189</v>
      </c>
      <c r="V21" s="47">
        <f>IFERROR(__xludf.DUMMYFUNCTION("""COMPUTED_VALUE"""),189.0)</f>
        <v>189</v>
      </c>
      <c r="W21" s="47">
        <f>IFERROR(__xludf.DUMMYFUNCTION("""COMPUTED_VALUE"""),189.0)</f>
        <v>189</v>
      </c>
      <c r="X21" s="37"/>
      <c r="Y21" s="37"/>
      <c r="Z21" s="37"/>
      <c r="AA21" s="37"/>
      <c r="AB21" s="47">
        <f>IFERROR(__xludf.DUMMYFUNCTION("""COMPUTED_VALUE"""),1512.0)</f>
        <v>1512</v>
      </c>
    </row>
    <row r="22">
      <c r="B22" s="37"/>
      <c r="C22" s="37"/>
      <c r="D22" s="37"/>
      <c r="E22" s="37"/>
      <c r="F22" s="37"/>
      <c r="G22" s="37"/>
      <c r="H22" s="37"/>
      <c r="I22" s="37"/>
      <c r="J22" s="37" t="str">
        <f>IFERROR(__xludf.DUMMYFUNCTION("""COMPUTED_VALUE"""),"AICHOF02309003")</f>
        <v>AICHOF02309003</v>
      </c>
      <c r="K22" s="37" t="str">
        <f>IFERROR(__xludf.DUMMYFUNCTION("""COMPUTED_VALUE"""),"白色小錢櫃(35*35*8 cm)")</f>
        <v>白色_x0008_小錢櫃(35*35*8 cm)</v>
      </c>
      <c r="L22" s="37" t="str">
        <f>IFERROR(__xludf.DUMMYFUNCTION("""COMPUTED_VALUE"""),"陳品宏")</f>
        <v>陳品宏</v>
      </c>
      <c r="M22" s="37" t="str">
        <f>IFERROR(__xludf.DUMMYFUNCTION("""COMPUTED_VALUE"""),"行銷營運中心")</f>
        <v>行銷營運中心</v>
      </c>
      <c r="N22" s="37" t="str">
        <f>IFERROR(__xludf.DUMMYFUNCTION("""COMPUTED_VALUE"""),"社群關係部")</f>
        <v>社群關係部</v>
      </c>
      <c r="O22" s="37" t="str">
        <f>IFERROR(__xludf.DUMMYFUNCTION("""COMPUTED_VALUE"""),"餐廳社群團隊")</f>
        <v>餐廳社群團隊</v>
      </c>
      <c r="P22" s="47">
        <f>IFERROR(__xludf.DUMMYFUNCTION("""COMPUTED_VALUE"""),42.0)</f>
        <v>42</v>
      </c>
      <c r="Q22" s="47">
        <f>IFERROR(__xludf.DUMMYFUNCTION("""COMPUTED_VALUE"""),42.0)</f>
        <v>42</v>
      </c>
      <c r="R22" s="47">
        <f>IFERROR(__xludf.DUMMYFUNCTION("""COMPUTED_VALUE"""),42.0)</f>
        <v>42</v>
      </c>
      <c r="S22" s="47">
        <f>IFERROR(__xludf.DUMMYFUNCTION("""COMPUTED_VALUE"""),42.0)</f>
        <v>42</v>
      </c>
      <c r="T22" s="47">
        <f>IFERROR(__xludf.DUMMYFUNCTION("""COMPUTED_VALUE"""),42.0)</f>
        <v>42</v>
      </c>
      <c r="U22" s="47">
        <f>IFERROR(__xludf.DUMMYFUNCTION("""COMPUTED_VALUE"""),42.0)</f>
        <v>42</v>
      </c>
      <c r="V22" s="47">
        <f>IFERROR(__xludf.DUMMYFUNCTION("""COMPUTED_VALUE"""),42.0)</f>
        <v>42</v>
      </c>
      <c r="W22" s="47">
        <f>IFERROR(__xludf.DUMMYFUNCTION("""COMPUTED_VALUE"""),42.0)</f>
        <v>42</v>
      </c>
      <c r="X22" s="37"/>
      <c r="Y22" s="37"/>
      <c r="Z22" s="37"/>
      <c r="AA22" s="37"/>
      <c r="AB22" s="47">
        <f>IFERROR(__xludf.DUMMYFUNCTION("""COMPUTED_VALUE"""),336.0)</f>
        <v>336</v>
      </c>
    </row>
    <row r="23">
      <c r="B23" s="37"/>
      <c r="C23" s="37"/>
      <c r="D23" s="37"/>
      <c r="E23" s="37"/>
      <c r="F23" s="37"/>
      <c r="G23" s="37"/>
      <c r="H23" s="37"/>
      <c r="I23" s="37"/>
      <c r="J23" s="37" t="str">
        <f>IFERROR(__xludf.DUMMYFUNCTION("""COMPUTED_VALUE"""),"AICHOF02309004")</f>
        <v>AICHOF02309004</v>
      </c>
      <c r="K23" s="37" t="str">
        <f>IFERROR(__xludf.DUMMYFUNCTION("""COMPUTED_VALUE"""),"Ledetech iPad 立架( 4-11吋平板專用 )_不挑色")</f>
        <v>Ledetech iPad 立架( 4-11吋平板專用 )_不挑色</v>
      </c>
      <c r="L23" s="37" t="str">
        <f>IFERROR(__xludf.DUMMYFUNCTION("""COMPUTED_VALUE"""),"陳品宏")</f>
        <v>陳品宏</v>
      </c>
      <c r="M23" s="37" t="str">
        <f>IFERROR(__xludf.DUMMYFUNCTION("""COMPUTED_VALUE"""),"行銷營運中心")</f>
        <v>行銷營運中心</v>
      </c>
      <c r="N23" s="37" t="str">
        <f>IFERROR(__xludf.DUMMYFUNCTION("""COMPUTED_VALUE"""),"社群關係部")</f>
        <v>社群關係部</v>
      </c>
      <c r="O23" s="37" t="str">
        <f>IFERROR(__xludf.DUMMYFUNCTION("""COMPUTED_VALUE"""),"餐廳社群團隊")</f>
        <v>餐廳社群團隊</v>
      </c>
      <c r="P23" s="47">
        <f>IFERROR(__xludf.DUMMYFUNCTION("""COMPUTED_VALUE"""),15.0)</f>
        <v>15</v>
      </c>
      <c r="Q23" s="47">
        <f>IFERROR(__xludf.DUMMYFUNCTION("""COMPUTED_VALUE"""),15.0)</f>
        <v>15</v>
      </c>
      <c r="R23" s="47">
        <f>IFERROR(__xludf.DUMMYFUNCTION("""COMPUTED_VALUE"""),15.0)</f>
        <v>15</v>
      </c>
      <c r="S23" s="47">
        <f>IFERROR(__xludf.DUMMYFUNCTION("""COMPUTED_VALUE"""),15.0)</f>
        <v>15</v>
      </c>
      <c r="T23" s="47">
        <f>IFERROR(__xludf.DUMMYFUNCTION("""COMPUTED_VALUE"""),15.0)</f>
        <v>15</v>
      </c>
      <c r="U23" s="47">
        <f>IFERROR(__xludf.DUMMYFUNCTION("""COMPUTED_VALUE"""),15.0)</f>
        <v>15</v>
      </c>
      <c r="V23" s="47">
        <f>IFERROR(__xludf.DUMMYFUNCTION("""COMPUTED_VALUE"""),15.0)</f>
        <v>15</v>
      </c>
      <c r="W23" s="47">
        <f>IFERROR(__xludf.DUMMYFUNCTION("""COMPUTED_VALUE"""),15.0)</f>
        <v>15</v>
      </c>
      <c r="X23" s="37"/>
      <c r="Y23" s="37"/>
      <c r="Z23" s="37"/>
      <c r="AA23" s="37"/>
      <c r="AB23" s="47">
        <f>IFERROR(__xludf.DUMMYFUNCTION("""COMPUTED_VALUE"""),120.0)</f>
        <v>120</v>
      </c>
    </row>
    <row r="24">
      <c r="B24" s="37"/>
      <c r="C24" s="37"/>
      <c r="D24" s="37"/>
      <c r="E24" s="37"/>
      <c r="F24" s="37"/>
      <c r="G24" s="37"/>
      <c r="H24" s="37"/>
      <c r="I24" s="37"/>
      <c r="J24" s="37" t="str">
        <f>IFERROR(__xludf.DUMMYFUNCTION("""COMPUTED_VALUE"""),"AICHMP02310063")</f>
        <v>AICHMP02310063</v>
      </c>
      <c r="K24" s="37" t="str">
        <f>IFERROR(__xludf.DUMMYFUNCTION("""COMPUTED_VALUE"""),"Macbook Pro 14寸	")</f>
        <v>Macbook Pro 14寸	</v>
      </c>
      <c r="L24" s="37" t="str">
        <f>IFERROR(__xludf.DUMMYFUNCTION("""COMPUTED_VALUE"""),"林育星")</f>
        <v>林育星</v>
      </c>
      <c r="M24" s="37" t="str">
        <f>IFERROR(__xludf.DUMMYFUNCTION("""COMPUTED_VALUE"""),"研發中心")</f>
        <v>研發中心</v>
      </c>
      <c r="N24" s="37" t="str">
        <f>IFERROR(__xludf.DUMMYFUNCTION("""COMPUTED_VALUE"""),"軟體工程部")</f>
        <v>軟體工程部</v>
      </c>
      <c r="O24" s="37" t="str">
        <f>IFERROR(__xludf.DUMMYFUNCTION("""COMPUTED_VALUE"""),"後端團隊")</f>
        <v>後端團隊</v>
      </c>
      <c r="P24" s="47">
        <f>IFERROR(__xludf.DUMMYFUNCTION("""COMPUTED_VALUE"""),1812.0)</f>
        <v>1812</v>
      </c>
      <c r="Q24" s="47">
        <f>IFERROR(__xludf.DUMMYFUNCTION("""COMPUTED_VALUE"""),1812.0)</f>
        <v>1812</v>
      </c>
      <c r="R24" s="47">
        <f>IFERROR(__xludf.DUMMYFUNCTION("""COMPUTED_VALUE"""),1812.0)</f>
        <v>1812</v>
      </c>
      <c r="S24" s="47">
        <f>IFERROR(__xludf.DUMMYFUNCTION("""COMPUTED_VALUE"""),1812.0)</f>
        <v>1812</v>
      </c>
      <c r="T24" s="47">
        <f>IFERROR(__xludf.DUMMYFUNCTION("""COMPUTED_VALUE"""),1812.0)</f>
        <v>1812</v>
      </c>
      <c r="U24" s="47">
        <f>IFERROR(__xludf.DUMMYFUNCTION("""COMPUTED_VALUE"""),1812.0)</f>
        <v>1812</v>
      </c>
      <c r="V24" s="47">
        <f>IFERROR(__xludf.DUMMYFUNCTION("""COMPUTED_VALUE"""),1812.0)</f>
        <v>1812</v>
      </c>
      <c r="W24" s="47">
        <f>IFERROR(__xludf.DUMMYFUNCTION("""COMPUTED_VALUE"""),1812.0)</f>
        <v>1812</v>
      </c>
      <c r="X24" s="47">
        <f>IFERROR(__xludf.DUMMYFUNCTION("""COMPUTED_VALUE"""),1812.0)</f>
        <v>1812</v>
      </c>
      <c r="Y24" s="37"/>
      <c r="Z24" s="37"/>
      <c r="AA24" s="37"/>
      <c r="AB24" s="47">
        <f>IFERROR(__xludf.DUMMYFUNCTION("""COMPUTED_VALUE"""),16308.0)</f>
        <v>16308</v>
      </c>
    </row>
    <row r="25">
      <c r="B25" s="37"/>
      <c r="C25" s="37"/>
      <c r="D25" s="37"/>
      <c r="E25" s="37"/>
      <c r="F25" s="37"/>
      <c r="G25" s="37"/>
      <c r="H25" s="37"/>
      <c r="I25" s="37"/>
      <c r="J25" s="37" t="str">
        <f>IFERROR(__xludf.DUMMYFUNCTION("""COMPUTED_VALUE"""),"AICHMP02310064")</f>
        <v>AICHMP02310064</v>
      </c>
      <c r="K25" s="37" t="str">
        <f>IFERROR(__xludf.DUMMYFUNCTION("""COMPUTED_VALUE"""),"Macbook Pro 16""	")</f>
        <v>Macbook Pro 16"	</v>
      </c>
      <c r="L25" s="37" t="str">
        <f>IFERROR(__xludf.DUMMYFUNCTION("""COMPUTED_VALUE"""),"吳佳駿")</f>
        <v>吳佳駿</v>
      </c>
      <c r="M25" s="37" t="str">
        <f>IFERROR(__xludf.DUMMYFUNCTION("""COMPUTED_VALUE"""),"執行長室")</f>
        <v>執行長室</v>
      </c>
      <c r="N25" s="37" t="str">
        <f>IFERROR(__xludf.DUMMYFUNCTION("""COMPUTED_VALUE"""),"執行長室")</f>
        <v>執行長室</v>
      </c>
      <c r="O25" s="37"/>
      <c r="P25" s="47">
        <f>IFERROR(__xludf.DUMMYFUNCTION("""COMPUTED_VALUE"""),2042.0)</f>
        <v>2042</v>
      </c>
      <c r="Q25" s="47">
        <f>IFERROR(__xludf.DUMMYFUNCTION("""COMPUTED_VALUE"""),2042.0)</f>
        <v>2042</v>
      </c>
      <c r="R25" s="47">
        <f>IFERROR(__xludf.DUMMYFUNCTION("""COMPUTED_VALUE"""),2042.0)</f>
        <v>2042</v>
      </c>
      <c r="S25" s="47">
        <f>IFERROR(__xludf.DUMMYFUNCTION("""COMPUTED_VALUE"""),2042.0)</f>
        <v>2042</v>
      </c>
      <c r="T25" s="47">
        <f>IFERROR(__xludf.DUMMYFUNCTION("""COMPUTED_VALUE"""),2042.0)</f>
        <v>2042</v>
      </c>
      <c r="U25" s="47">
        <f>IFERROR(__xludf.DUMMYFUNCTION("""COMPUTED_VALUE"""),2042.0)</f>
        <v>2042</v>
      </c>
      <c r="V25" s="47">
        <f>IFERROR(__xludf.DUMMYFUNCTION("""COMPUTED_VALUE"""),2042.0)</f>
        <v>2042</v>
      </c>
      <c r="W25" s="47">
        <f>IFERROR(__xludf.DUMMYFUNCTION("""COMPUTED_VALUE"""),2042.0)</f>
        <v>2042</v>
      </c>
      <c r="X25" s="47">
        <f>IFERROR(__xludf.DUMMYFUNCTION("""COMPUTED_VALUE"""),2042.0)</f>
        <v>2042</v>
      </c>
      <c r="Y25" s="37"/>
      <c r="Z25" s="37"/>
      <c r="AA25" s="37"/>
      <c r="AB25" s="47">
        <f>IFERROR(__xludf.DUMMYFUNCTION("""COMPUTED_VALUE"""),18378.0)</f>
        <v>18378</v>
      </c>
    </row>
    <row r="26">
      <c r="B26" s="37"/>
      <c r="C26" s="37"/>
      <c r="D26" s="37"/>
      <c r="E26" s="37"/>
      <c r="F26" s="37"/>
      <c r="G26" s="37"/>
      <c r="H26" s="37"/>
      <c r="I26" s="37"/>
      <c r="J26" s="37" t="str">
        <f>IFERROR(__xludf.DUMMYFUNCTION("""COMPUTED_VALUE"""),"AICHMP02310065")</f>
        <v>AICHMP02310065</v>
      </c>
      <c r="K26" s="37" t="str">
        <f>IFERROR(__xludf.DUMMYFUNCTION("""COMPUTED_VALUE"""),"Macbook Pro 14寸	")</f>
        <v>Macbook Pro 14寸	</v>
      </c>
      <c r="L26" s="37" t="str">
        <f>IFERROR(__xludf.DUMMYFUNCTION("""COMPUTED_VALUE"""),"鍾宛儒")</f>
        <v>鍾宛儒</v>
      </c>
      <c r="M26" s="37" t="str">
        <f>IFERROR(__xludf.DUMMYFUNCTION("""COMPUTED_VALUE"""),"研發中心")</f>
        <v>研發中心</v>
      </c>
      <c r="N26" s="37" t="str">
        <f>IFERROR(__xludf.DUMMYFUNCTION("""COMPUTED_VALUE"""),"產品設計部")</f>
        <v>產品設計部</v>
      </c>
      <c r="O26" s="37" t="str">
        <f>IFERROR(__xludf.DUMMYFUNCTION("""COMPUTED_VALUE"""),"產品設計師團隊")</f>
        <v>產品設計師團隊</v>
      </c>
      <c r="P26" s="47">
        <f>IFERROR(__xludf.DUMMYFUNCTION("""COMPUTED_VALUE"""),2349.0)</f>
        <v>2349</v>
      </c>
      <c r="Q26" s="47">
        <f>IFERROR(__xludf.DUMMYFUNCTION("""COMPUTED_VALUE"""),2349.0)</f>
        <v>2349</v>
      </c>
      <c r="R26" s="47">
        <f>IFERROR(__xludf.DUMMYFUNCTION("""COMPUTED_VALUE"""),2349.0)</f>
        <v>2349</v>
      </c>
      <c r="S26" s="47">
        <f>IFERROR(__xludf.DUMMYFUNCTION("""COMPUTED_VALUE"""),2349.0)</f>
        <v>2349</v>
      </c>
      <c r="T26" s="47">
        <f>IFERROR(__xludf.DUMMYFUNCTION("""COMPUTED_VALUE"""),2349.0)</f>
        <v>2349</v>
      </c>
      <c r="U26" s="47">
        <f>IFERROR(__xludf.DUMMYFUNCTION("""COMPUTED_VALUE"""),2349.0)</f>
        <v>2349</v>
      </c>
      <c r="V26" s="47">
        <f>IFERROR(__xludf.DUMMYFUNCTION("""COMPUTED_VALUE"""),2349.0)</f>
        <v>2349</v>
      </c>
      <c r="W26" s="47">
        <f>IFERROR(__xludf.DUMMYFUNCTION("""COMPUTED_VALUE"""),2349.0)</f>
        <v>2349</v>
      </c>
      <c r="X26" s="47">
        <f>IFERROR(__xludf.DUMMYFUNCTION("""COMPUTED_VALUE"""),2349.0)</f>
        <v>2349</v>
      </c>
      <c r="Y26" s="37"/>
      <c r="Z26" s="37"/>
      <c r="AA26" s="37"/>
      <c r="AB26" s="47">
        <f>IFERROR(__xludf.DUMMYFUNCTION("""COMPUTED_VALUE"""),21141.0)</f>
        <v>21141</v>
      </c>
    </row>
    <row r="27">
      <c r="B27" s="37"/>
      <c r="C27" s="37"/>
      <c r="D27" s="37"/>
      <c r="E27" s="37"/>
      <c r="F27" s="37"/>
      <c r="G27" s="37"/>
      <c r="H27" s="37"/>
      <c r="I27" s="37"/>
      <c r="J27" s="37" t="str">
        <f>IFERROR(__xludf.DUMMYFUNCTION("""COMPUTED_VALUE"""),"AICHMA02310056")</f>
        <v>AICHMA02310056</v>
      </c>
      <c r="K27" s="37" t="str">
        <f>IFERROR(__xludf.DUMMYFUNCTION("""COMPUTED_VALUE"""),"Macbook Air 13""	")</f>
        <v>Macbook Air 13"	</v>
      </c>
      <c r="L27" s="37" t="str">
        <f>IFERROR(__xludf.DUMMYFUNCTION("""COMPUTED_VALUE"""),"江彧琳")</f>
        <v>江彧琳</v>
      </c>
      <c r="M27" s="37" t="str">
        <f>IFERROR(__xludf.DUMMYFUNCTION("""COMPUTED_VALUE"""),"行銷營運中心")</f>
        <v>行銷營運中心</v>
      </c>
      <c r="N27" s="37" t="str">
        <f>IFERROR(__xludf.DUMMYFUNCTION("""COMPUTED_VALUE"""),"產品行銷部")</f>
        <v>產品行銷部</v>
      </c>
      <c r="O27" s="37" t="str">
        <f>IFERROR(__xludf.DUMMYFUNCTION("""COMPUTED_VALUE"""),"產品品牌團隊")</f>
        <v>產品品牌團隊</v>
      </c>
      <c r="P27" s="47">
        <f>IFERROR(__xludf.DUMMYFUNCTION("""COMPUTED_VALUE"""),753.0)</f>
        <v>753</v>
      </c>
      <c r="Q27" s="47">
        <f>IFERROR(__xludf.DUMMYFUNCTION("""COMPUTED_VALUE"""),753.0)</f>
        <v>753</v>
      </c>
      <c r="R27" s="47">
        <f>IFERROR(__xludf.DUMMYFUNCTION("""COMPUTED_VALUE"""),753.0)</f>
        <v>753</v>
      </c>
      <c r="S27" s="47">
        <f>IFERROR(__xludf.DUMMYFUNCTION("""COMPUTED_VALUE"""),753.0)</f>
        <v>753</v>
      </c>
      <c r="T27" s="47">
        <f>IFERROR(__xludf.DUMMYFUNCTION("""COMPUTED_VALUE"""),753.0)</f>
        <v>753</v>
      </c>
      <c r="U27" s="47">
        <f>IFERROR(__xludf.DUMMYFUNCTION("""COMPUTED_VALUE"""),753.0)</f>
        <v>753</v>
      </c>
      <c r="V27" s="47">
        <f>IFERROR(__xludf.DUMMYFUNCTION("""COMPUTED_VALUE"""),753.0)</f>
        <v>753</v>
      </c>
      <c r="W27" s="47">
        <f>IFERROR(__xludf.DUMMYFUNCTION("""COMPUTED_VALUE"""),753.0)</f>
        <v>753</v>
      </c>
      <c r="X27" s="47">
        <f>IFERROR(__xludf.DUMMYFUNCTION("""COMPUTED_VALUE"""),753.0)</f>
        <v>753</v>
      </c>
      <c r="Y27" s="37"/>
      <c r="Z27" s="37"/>
      <c r="AA27" s="37"/>
      <c r="AB27" s="47">
        <f>IFERROR(__xludf.DUMMYFUNCTION("""COMPUTED_VALUE"""),6777.0)</f>
        <v>6777</v>
      </c>
    </row>
    <row r="28">
      <c r="B28" s="37"/>
      <c r="C28" s="37"/>
      <c r="D28" s="37"/>
      <c r="E28" s="37"/>
      <c r="F28" s="37"/>
      <c r="G28" s="37"/>
      <c r="H28" s="37"/>
      <c r="I28" s="37"/>
      <c r="J28" s="37" t="str">
        <f>IFERROR(__xludf.DUMMYFUNCTION("""COMPUTED_VALUE"""),"AICHMA02310057")</f>
        <v>AICHMA02310057</v>
      </c>
      <c r="K28" s="37" t="str">
        <f>IFERROR(__xludf.DUMMYFUNCTION("""COMPUTED_VALUE"""),"Macbook Air	")</f>
        <v>Macbook Air	</v>
      </c>
      <c r="L28" s="37" t="str">
        <f>IFERROR(__xludf.DUMMYFUNCTION("""COMPUTED_VALUE"""),"王壯為")</f>
        <v>王壯為</v>
      </c>
      <c r="M28" s="37" t="str">
        <f>IFERROR(__xludf.DUMMYFUNCTION("""COMPUTED_VALUE"""),"管理中心")</f>
        <v>管理中心</v>
      </c>
      <c r="N28" s="37" t="str">
        <f>IFERROR(__xludf.DUMMYFUNCTION("""COMPUTED_VALUE"""),"資訊部")</f>
        <v>資訊部</v>
      </c>
      <c r="O28" s="37"/>
      <c r="P28" s="47">
        <f>IFERROR(__xludf.DUMMYFUNCTION("""COMPUTED_VALUE"""),753.0)</f>
        <v>753</v>
      </c>
      <c r="Q28" s="47">
        <f>IFERROR(__xludf.DUMMYFUNCTION("""COMPUTED_VALUE"""),753.0)</f>
        <v>753</v>
      </c>
      <c r="R28" s="47">
        <f>IFERROR(__xludf.DUMMYFUNCTION("""COMPUTED_VALUE"""),753.0)</f>
        <v>753</v>
      </c>
      <c r="S28" s="47">
        <f>IFERROR(__xludf.DUMMYFUNCTION("""COMPUTED_VALUE"""),753.0)</f>
        <v>753</v>
      </c>
      <c r="T28" s="47">
        <f>IFERROR(__xludf.DUMMYFUNCTION("""COMPUTED_VALUE"""),753.0)</f>
        <v>753</v>
      </c>
      <c r="U28" s="47">
        <f>IFERROR(__xludf.DUMMYFUNCTION("""COMPUTED_VALUE"""),753.0)</f>
        <v>753</v>
      </c>
      <c r="V28" s="47">
        <f>IFERROR(__xludf.DUMMYFUNCTION("""COMPUTED_VALUE"""),753.0)</f>
        <v>753</v>
      </c>
      <c r="W28" s="47">
        <f>IFERROR(__xludf.DUMMYFUNCTION("""COMPUTED_VALUE"""),753.0)</f>
        <v>753</v>
      </c>
      <c r="X28" s="47">
        <f>IFERROR(__xludf.DUMMYFUNCTION("""COMPUTED_VALUE"""),753.0)</f>
        <v>753</v>
      </c>
      <c r="Y28" s="37"/>
      <c r="Z28" s="37"/>
      <c r="AA28" s="37"/>
      <c r="AB28" s="47">
        <f>IFERROR(__xludf.DUMMYFUNCTION("""COMPUTED_VALUE"""),6777.0)</f>
        <v>6777</v>
      </c>
    </row>
    <row r="29">
      <c r="B29" s="37"/>
      <c r="C29" s="37"/>
      <c r="D29" s="37"/>
      <c r="E29" s="37"/>
      <c r="F29" s="37"/>
      <c r="G29" s="37"/>
      <c r="H29" s="37"/>
      <c r="I29" s="37"/>
      <c r="J29" s="37" t="str">
        <f>IFERROR(__xludf.DUMMYFUNCTION("""COMPUTED_VALUE"""),"AICHMP02311066")</f>
        <v>AICHMP02311066</v>
      </c>
      <c r="K29" s="37" t="str">
        <f>IFERROR(__xludf.DUMMYFUNCTION("""COMPUTED_VALUE"""),"Macbook Pro	")</f>
        <v>Macbook Pro	</v>
      </c>
      <c r="L29" s="37" t="str">
        <f>IFERROR(__xludf.DUMMYFUNCTION("""COMPUTED_VALUE"""),"彭成瑋")</f>
        <v>彭成瑋</v>
      </c>
      <c r="M29" s="37" t="str">
        <f>IFERROR(__xludf.DUMMYFUNCTION("""COMPUTED_VALUE"""),"研發中心")</f>
        <v>研發中心</v>
      </c>
      <c r="N29" s="37" t="str">
        <f>IFERROR(__xludf.DUMMYFUNCTION("""COMPUTED_VALUE"""),"軟體工程部")</f>
        <v>軟體工程部</v>
      </c>
      <c r="O29" s="37" t="str">
        <f>IFERROR(__xludf.DUMMYFUNCTION("""COMPUTED_VALUE"""),"IOS團隊")</f>
        <v>IOS團隊</v>
      </c>
      <c r="P29" s="47">
        <f>IFERROR(__xludf.DUMMYFUNCTION("""COMPUTED_VALUE"""),2053.0)</f>
        <v>2053</v>
      </c>
      <c r="Q29" s="47">
        <f>IFERROR(__xludf.DUMMYFUNCTION("""COMPUTED_VALUE"""),2053.0)</f>
        <v>2053</v>
      </c>
      <c r="R29" s="47">
        <f>IFERROR(__xludf.DUMMYFUNCTION("""COMPUTED_VALUE"""),2053.0)</f>
        <v>2053</v>
      </c>
      <c r="S29" s="47">
        <f>IFERROR(__xludf.DUMMYFUNCTION("""COMPUTED_VALUE"""),2053.0)</f>
        <v>2053</v>
      </c>
      <c r="T29" s="47">
        <f>IFERROR(__xludf.DUMMYFUNCTION("""COMPUTED_VALUE"""),2053.0)</f>
        <v>2053</v>
      </c>
      <c r="U29" s="47">
        <f>IFERROR(__xludf.DUMMYFUNCTION("""COMPUTED_VALUE"""),2053.0)</f>
        <v>2053</v>
      </c>
      <c r="V29" s="47">
        <f>IFERROR(__xludf.DUMMYFUNCTION("""COMPUTED_VALUE"""),2053.0)</f>
        <v>2053</v>
      </c>
      <c r="W29" s="47">
        <f>IFERROR(__xludf.DUMMYFUNCTION("""COMPUTED_VALUE"""),2053.0)</f>
        <v>2053</v>
      </c>
      <c r="X29" s="47">
        <f>IFERROR(__xludf.DUMMYFUNCTION("""COMPUTED_VALUE"""),2053.0)</f>
        <v>2053</v>
      </c>
      <c r="Y29" s="47">
        <f>IFERROR(__xludf.DUMMYFUNCTION("""COMPUTED_VALUE"""),2053.0)</f>
        <v>2053</v>
      </c>
      <c r="Z29" s="37"/>
      <c r="AA29" s="37"/>
      <c r="AB29" s="47">
        <f>IFERROR(__xludf.DUMMYFUNCTION("""COMPUTED_VALUE"""),20530.0)</f>
        <v>20530</v>
      </c>
    </row>
    <row r="30">
      <c r="B30" s="37"/>
      <c r="C30" s="37"/>
      <c r="D30" s="37"/>
      <c r="E30" s="37"/>
      <c r="F30" s="37"/>
      <c r="G30" s="37"/>
      <c r="H30" s="37"/>
      <c r="I30" s="37"/>
      <c r="J30" s="37" t="str">
        <f>IFERROR(__xludf.DUMMYFUNCTION("""COMPUTED_VALUE"""),"AICHMP02311067")</f>
        <v>AICHMP02311067</v>
      </c>
      <c r="K30" s="37" t="str">
        <f>IFERROR(__xludf.DUMMYFUNCTION("""COMPUTED_VALUE"""),"Macbook Pro	")</f>
        <v>Macbook Pro	</v>
      </c>
      <c r="L30" s="37" t="str">
        <f>IFERROR(__xludf.DUMMYFUNCTION("""COMPUTED_VALUE"""),"何明政")</f>
        <v>何明政</v>
      </c>
      <c r="M30" s="37" t="str">
        <f>IFERROR(__xludf.DUMMYFUNCTION("""COMPUTED_VALUE"""),"執行長室")</f>
        <v>執行長室</v>
      </c>
      <c r="N30" s="37" t="str">
        <f>IFERROR(__xludf.DUMMYFUNCTION("""COMPUTED_VALUE"""),"執行長室")</f>
        <v>執行長室</v>
      </c>
      <c r="O30" s="37"/>
      <c r="P30" s="47">
        <f>IFERROR(__xludf.DUMMYFUNCTION("""COMPUTED_VALUE"""),2239.0)</f>
        <v>2239</v>
      </c>
      <c r="Q30" s="47">
        <f>IFERROR(__xludf.DUMMYFUNCTION("""COMPUTED_VALUE"""),2239.0)</f>
        <v>2239</v>
      </c>
      <c r="R30" s="47">
        <f>IFERROR(__xludf.DUMMYFUNCTION("""COMPUTED_VALUE"""),2239.0)</f>
        <v>2239</v>
      </c>
      <c r="S30" s="47">
        <f>IFERROR(__xludf.DUMMYFUNCTION("""COMPUTED_VALUE"""),2239.0)</f>
        <v>2239</v>
      </c>
      <c r="T30" s="47">
        <f>IFERROR(__xludf.DUMMYFUNCTION("""COMPUTED_VALUE"""),2239.0)</f>
        <v>2239</v>
      </c>
      <c r="U30" s="47">
        <f>IFERROR(__xludf.DUMMYFUNCTION("""COMPUTED_VALUE"""),2239.0)</f>
        <v>2239</v>
      </c>
      <c r="V30" s="47">
        <f>IFERROR(__xludf.DUMMYFUNCTION("""COMPUTED_VALUE"""),2239.0)</f>
        <v>2239</v>
      </c>
      <c r="W30" s="47">
        <f>IFERROR(__xludf.DUMMYFUNCTION("""COMPUTED_VALUE"""),2239.0)</f>
        <v>2239</v>
      </c>
      <c r="X30" s="47">
        <f>IFERROR(__xludf.DUMMYFUNCTION("""COMPUTED_VALUE"""),2239.0)</f>
        <v>2239</v>
      </c>
      <c r="Y30" s="47">
        <f>IFERROR(__xludf.DUMMYFUNCTION("""COMPUTED_VALUE"""),2239.0)</f>
        <v>2239</v>
      </c>
      <c r="Z30" s="37"/>
      <c r="AA30" s="37"/>
      <c r="AB30" s="47">
        <f>IFERROR(__xludf.DUMMYFUNCTION("""COMPUTED_VALUE"""),22390.0)</f>
        <v>22390</v>
      </c>
    </row>
    <row r="31">
      <c r="B31" s="37"/>
      <c r="C31" s="37"/>
      <c r="D31" s="37"/>
      <c r="E31" s="37"/>
      <c r="F31" s="37"/>
      <c r="G31" s="37"/>
      <c r="H31" s="37"/>
      <c r="I31" s="37"/>
      <c r="J31" s="37" t="str">
        <f>IFERROR(__xludf.DUMMYFUNCTION("""COMPUTED_VALUE"""),"AICHMP02311068")</f>
        <v>AICHMP02311068</v>
      </c>
      <c r="K31" s="37" t="str">
        <f>IFERROR(__xludf.DUMMYFUNCTION("""COMPUTED_VALUE"""),"Macbook Pro	")</f>
        <v>Macbook Pro	</v>
      </c>
      <c r="L31" s="37" t="str">
        <f>IFERROR(__xludf.DUMMYFUNCTION("""COMPUTED_VALUE"""),"黃喬")</f>
        <v>黃喬</v>
      </c>
      <c r="M31" s="37" t="str">
        <f>IFERROR(__xludf.DUMMYFUNCTION("""COMPUTED_VALUE"""),"研發中心")</f>
        <v>研發中心</v>
      </c>
      <c r="N31" s="37" t="str">
        <f>IFERROR(__xludf.DUMMYFUNCTION("""COMPUTED_VALUE"""),"軟體工程部")</f>
        <v>軟體工程部</v>
      </c>
      <c r="O31" s="37" t="str">
        <f>IFERROR(__xludf.DUMMYFUNCTION("""COMPUTED_VALUE"""),"IOS團隊")</f>
        <v>IOS團隊</v>
      </c>
      <c r="P31" s="47">
        <f>IFERROR(__xludf.DUMMYFUNCTION("""COMPUTED_VALUE"""),2239.0)</f>
        <v>2239</v>
      </c>
      <c r="Q31" s="47">
        <f>IFERROR(__xludf.DUMMYFUNCTION("""COMPUTED_VALUE"""),2239.0)</f>
        <v>2239</v>
      </c>
      <c r="R31" s="47">
        <f>IFERROR(__xludf.DUMMYFUNCTION("""COMPUTED_VALUE"""),2239.0)</f>
        <v>2239</v>
      </c>
      <c r="S31" s="47">
        <f>IFERROR(__xludf.DUMMYFUNCTION("""COMPUTED_VALUE"""),2239.0)</f>
        <v>2239</v>
      </c>
      <c r="T31" s="47">
        <f>IFERROR(__xludf.DUMMYFUNCTION("""COMPUTED_VALUE"""),2239.0)</f>
        <v>2239</v>
      </c>
      <c r="U31" s="47">
        <f>IFERROR(__xludf.DUMMYFUNCTION("""COMPUTED_VALUE"""),2239.0)</f>
        <v>2239</v>
      </c>
      <c r="V31" s="47">
        <f>IFERROR(__xludf.DUMMYFUNCTION("""COMPUTED_VALUE"""),2239.0)</f>
        <v>2239</v>
      </c>
      <c r="W31" s="47">
        <f>IFERROR(__xludf.DUMMYFUNCTION("""COMPUTED_VALUE"""),2239.0)</f>
        <v>2239</v>
      </c>
      <c r="X31" s="47">
        <f>IFERROR(__xludf.DUMMYFUNCTION("""COMPUTED_VALUE"""),2239.0)</f>
        <v>2239</v>
      </c>
      <c r="Y31" s="47">
        <f>IFERROR(__xludf.DUMMYFUNCTION("""COMPUTED_VALUE"""),2239.0)</f>
        <v>2239</v>
      </c>
      <c r="Z31" s="37"/>
      <c r="AA31" s="37"/>
      <c r="AB31" s="47">
        <f>IFERROR(__xludf.DUMMYFUNCTION("""COMPUTED_VALUE"""),22390.0)</f>
        <v>22390</v>
      </c>
    </row>
    <row r="32">
      <c r="B32" s="37"/>
      <c r="C32" s="37"/>
      <c r="D32" s="37"/>
      <c r="E32" s="37"/>
      <c r="F32" s="37"/>
      <c r="G32" s="37"/>
      <c r="H32" s="37"/>
      <c r="I32" s="37"/>
      <c r="J32" s="37" t="str">
        <f>IFERROR(__xludf.DUMMYFUNCTION("""COMPUTED_VALUE"""),"AICHMP02311069")</f>
        <v>AICHMP02311069</v>
      </c>
      <c r="K32" s="37" t="str">
        <f>IFERROR(__xludf.DUMMYFUNCTION("""COMPUTED_VALUE"""),"Macbook Pro	")</f>
        <v>Macbook Pro	</v>
      </c>
      <c r="L32" s="37" t="str">
        <f>IFERROR(__xludf.DUMMYFUNCTION("""COMPUTED_VALUE"""),"吳岱蓉")</f>
        <v>吳岱蓉</v>
      </c>
      <c r="M32" s="37" t="str">
        <f>IFERROR(__xludf.DUMMYFUNCTION("""COMPUTED_VALUE"""),"研發中心")</f>
        <v>研發中心</v>
      </c>
      <c r="N32" s="37" t="str">
        <f>IFERROR(__xludf.DUMMYFUNCTION("""COMPUTED_VALUE"""),"軟體工程部")</f>
        <v>軟體工程部</v>
      </c>
      <c r="O32" s="37" t="str">
        <f>IFERROR(__xludf.DUMMYFUNCTION("""COMPUTED_VALUE"""),"後端團隊")</f>
        <v>後端團隊</v>
      </c>
      <c r="P32" s="47">
        <f>IFERROR(__xludf.DUMMYFUNCTION("""COMPUTED_VALUE"""),2755.0)</f>
        <v>2755</v>
      </c>
      <c r="Q32" s="47">
        <f>IFERROR(__xludf.DUMMYFUNCTION("""COMPUTED_VALUE"""),2755.0)</f>
        <v>2755</v>
      </c>
      <c r="R32" s="47">
        <f>IFERROR(__xludf.DUMMYFUNCTION("""COMPUTED_VALUE"""),2755.0)</f>
        <v>2755</v>
      </c>
      <c r="S32" s="47">
        <f>IFERROR(__xludf.DUMMYFUNCTION("""COMPUTED_VALUE"""),2755.0)</f>
        <v>2755</v>
      </c>
      <c r="T32" s="47">
        <f>IFERROR(__xludf.DUMMYFUNCTION("""COMPUTED_VALUE"""),2755.0)</f>
        <v>2755</v>
      </c>
      <c r="U32" s="47">
        <f>IFERROR(__xludf.DUMMYFUNCTION("""COMPUTED_VALUE"""),2755.0)</f>
        <v>2755</v>
      </c>
      <c r="V32" s="47">
        <f>IFERROR(__xludf.DUMMYFUNCTION("""COMPUTED_VALUE"""),2755.0)</f>
        <v>2755</v>
      </c>
      <c r="W32" s="47">
        <f>IFERROR(__xludf.DUMMYFUNCTION("""COMPUTED_VALUE"""),2755.0)</f>
        <v>2755</v>
      </c>
      <c r="X32" s="47">
        <f>IFERROR(__xludf.DUMMYFUNCTION("""COMPUTED_VALUE"""),2755.0)</f>
        <v>2755</v>
      </c>
      <c r="Y32" s="47">
        <f>IFERROR(__xludf.DUMMYFUNCTION("""COMPUTED_VALUE"""),2755.0)</f>
        <v>2755</v>
      </c>
      <c r="Z32" s="47">
        <f>IFERROR(__xludf.DUMMYFUNCTION("""COMPUTED_VALUE"""),2755.0)</f>
        <v>2755</v>
      </c>
      <c r="AA32" s="47">
        <f>IFERROR(__xludf.DUMMYFUNCTION("""COMPUTED_VALUE"""),2755.0)</f>
        <v>2755</v>
      </c>
      <c r="AB32" s="47">
        <f>IFERROR(__xludf.DUMMYFUNCTION("""COMPUTED_VALUE"""),33060.0)</f>
        <v>33060</v>
      </c>
    </row>
    <row r="33">
      <c r="B33" s="37"/>
      <c r="C33" s="37"/>
      <c r="D33" s="37"/>
      <c r="E33" s="37"/>
      <c r="F33" s="37"/>
      <c r="G33" s="37"/>
      <c r="H33" s="37"/>
      <c r="I33" s="37"/>
      <c r="J33" s="37" t="str">
        <f>IFERROR(__xludf.DUMMYFUNCTION("""COMPUTED_VALUE"""),"AICHMP02311070")</f>
        <v>AICHMP02311070</v>
      </c>
      <c r="K33" s="37" t="str">
        <f>IFERROR(__xludf.DUMMYFUNCTION("""COMPUTED_VALUE"""),"Macbook Pro	")</f>
        <v>Macbook Pro	</v>
      </c>
      <c r="L33" s="37" t="str">
        <f>IFERROR(__xludf.DUMMYFUNCTION("""COMPUTED_VALUE"""),"王壯為")</f>
        <v>王壯為</v>
      </c>
      <c r="M33" s="37" t="str">
        <f>IFERROR(__xludf.DUMMYFUNCTION("""COMPUTED_VALUE"""),"管理中心")</f>
        <v>管理中心</v>
      </c>
      <c r="N33" s="37" t="str">
        <f>IFERROR(__xludf.DUMMYFUNCTION("""COMPUTED_VALUE"""),"資訊部")</f>
        <v>資訊部</v>
      </c>
      <c r="O33" s="37"/>
      <c r="P33" s="47">
        <f>IFERROR(__xludf.DUMMYFUNCTION("""COMPUTED_VALUE"""),2239.0)</f>
        <v>2239</v>
      </c>
      <c r="Q33" s="47">
        <f>IFERROR(__xludf.DUMMYFUNCTION("""COMPUTED_VALUE"""),2239.0)</f>
        <v>2239</v>
      </c>
      <c r="R33" s="47">
        <f>IFERROR(__xludf.DUMMYFUNCTION("""COMPUTED_VALUE"""),2239.0)</f>
        <v>2239</v>
      </c>
      <c r="S33" s="47">
        <f>IFERROR(__xludf.DUMMYFUNCTION("""COMPUTED_VALUE"""),2239.0)</f>
        <v>2239</v>
      </c>
      <c r="T33" s="47">
        <f>IFERROR(__xludf.DUMMYFUNCTION("""COMPUTED_VALUE"""),2239.0)</f>
        <v>2239</v>
      </c>
      <c r="U33" s="47">
        <f>IFERROR(__xludf.DUMMYFUNCTION("""COMPUTED_VALUE"""),2239.0)</f>
        <v>2239</v>
      </c>
      <c r="V33" s="47">
        <f>IFERROR(__xludf.DUMMYFUNCTION("""COMPUTED_VALUE"""),2239.0)</f>
        <v>2239</v>
      </c>
      <c r="W33" s="47">
        <f>IFERROR(__xludf.DUMMYFUNCTION("""COMPUTED_VALUE"""),2239.0)</f>
        <v>2239</v>
      </c>
      <c r="X33" s="47">
        <f>IFERROR(__xludf.DUMMYFUNCTION("""COMPUTED_VALUE"""),2239.0)</f>
        <v>2239</v>
      </c>
      <c r="Y33" s="47">
        <f>IFERROR(__xludf.DUMMYFUNCTION("""COMPUTED_VALUE"""),2239.0)</f>
        <v>2239</v>
      </c>
      <c r="Z33" s="37"/>
      <c r="AA33" s="37"/>
      <c r="AB33" s="47">
        <f>IFERROR(__xludf.DUMMYFUNCTION("""COMPUTED_VALUE"""),22390.0)</f>
        <v>22390</v>
      </c>
    </row>
    <row r="34">
      <c r="B34" s="37"/>
      <c r="C34" s="37"/>
      <c r="D34" s="37"/>
      <c r="E34" s="37"/>
      <c r="F34" s="37"/>
      <c r="G34" s="37"/>
      <c r="H34" s="37"/>
      <c r="I34" s="37"/>
      <c r="J34" s="37" t="str">
        <f>IFERROR(__xludf.DUMMYFUNCTION("""COMPUTED_VALUE"""),"AICHIP02311093")</f>
        <v>AICHIP02311093</v>
      </c>
      <c r="K34" s="37" t="str">
        <f>IFERROR(__xludf.DUMMYFUNCTION("""COMPUTED_VALUE"""),"iPad Air 5")</f>
        <v>iPad Air 5</v>
      </c>
      <c r="L34" s="37" t="str">
        <f>IFERROR(__xludf.DUMMYFUNCTION("""COMPUTED_VALUE"""),"潘宛逸")</f>
        <v>潘宛逸</v>
      </c>
      <c r="M34" s="37" t="str">
        <f>IFERROR(__xludf.DUMMYFUNCTION("""COMPUTED_VALUE"""),"行銷營運中心")</f>
        <v>行銷營運中心</v>
      </c>
      <c r="N34" s="37" t="str">
        <f>IFERROR(__xludf.DUMMYFUNCTION("""COMPUTED_VALUE"""),"銷售營運部")</f>
        <v>銷售營運部</v>
      </c>
      <c r="O34" s="37" t="str">
        <f>IFERROR(__xludf.DUMMYFUNCTION("""COMPUTED_VALUE"""),"銷售顧問團隊")</f>
        <v>銷售顧問團隊</v>
      </c>
      <c r="P34" s="47">
        <f>IFERROR(__xludf.DUMMYFUNCTION("""COMPUTED_VALUE"""),490.0)</f>
        <v>490</v>
      </c>
      <c r="Q34" s="47">
        <f>IFERROR(__xludf.DUMMYFUNCTION("""COMPUTED_VALUE"""),490.0)</f>
        <v>490</v>
      </c>
      <c r="R34" s="47">
        <f>IFERROR(__xludf.DUMMYFUNCTION("""COMPUTED_VALUE"""),490.0)</f>
        <v>490</v>
      </c>
      <c r="S34" s="47">
        <f>IFERROR(__xludf.DUMMYFUNCTION("""COMPUTED_VALUE"""),490.0)</f>
        <v>490</v>
      </c>
      <c r="T34" s="47">
        <f>IFERROR(__xludf.DUMMYFUNCTION("""COMPUTED_VALUE"""),490.0)</f>
        <v>490</v>
      </c>
      <c r="U34" s="47">
        <f>IFERROR(__xludf.DUMMYFUNCTION("""COMPUTED_VALUE"""),490.0)</f>
        <v>490</v>
      </c>
      <c r="V34" s="47">
        <f>IFERROR(__xludf.DUMMYFUNCTION("""COMPUTED_VALUE"""),490.0)</f>
        <v>490</v>
      </c>
      <c r="W34" s="47">
        <f>IFERROR(__xludf.DUMMYFUNCTION("""COMPUTED_VALUE"""),490.0)</f>
        <v>490</v>
      </c>
      <c r="X34" s="47">
        <f>IFERROR(__xludf.DUMMYFUNCTION("""COMPUTED_VALUE"""),490.0)</f>
        <v>490</v>
      </c>
      <c r="Y34" s="47">
        <f>IFERROR(__xludf.DUMMYFUNCTION("""COMPUTED_VALUE"""),490.0)</f>
        <v>490</v>
      </c>
      <c r="Z34" s="37"/>
      <c r="AA34" s="37"/>
      <c r="AB34" s="47">
        <f>IFERROR(__xludf.DUMMYFUNCTION("""COMPUTED_VALUE"""),4900.0)</f>
        <v>4900</v>
      </c>
    </row>
    <row r="35">
      <c r="B35" s="37"/>
      <c r="C35" s="37"/>
      <c r="D35" s="37"/>
      <c r="E35" s="37"/>
      <c r="F35" s="37"/>
      <c r="G35" s="37"/>
      <c r="H35" s="37"/>
      <c r="I35" s="37"/>
      <c r="J35" s="37" t="str">
        <f>IFERROR(__xludf.DUMMYFUNCTION("""COMPUTED_VALUE"""),"AICHOF02311005")</f>
        <v>AICHOF02311005</v>
      </c>
      <c r="K35" s="37" t="str">
        <f>IFERROR(__xludf.DUMMYFUNCTION("""COMPUTED_VALUE"""),"投影機")</f>
        <v>投影機</v>
      </c>
      <c r="L35" s="37" t="str">
        <f>IFERROR(__xludf.DUMMYFUNCTION("""COMPUTED_VALUE"""),"陳品宏")</f>
        <v>陳品宏</v>
      </c>
      <c r="M35" s="37" t="str">
        <f>IFERROR(__xludf.DUMMYFUNCTION("""COMPUTED_VALUE"""),"行銷營運中心")</f>
        <v>行銷營運中心</v>
      </c>
      <c r="N35" s="37" t="str">
        <f>IFERROR(__xludf.DUMMYFUNCTION("""COMPUTED_VALUE"""),"社群關係部")</f>
        <v>社群關係部</v>
      </c>
      <c r="O35" s="37" t="str">
        <f>IFERROR(__xludf.DUMMYFUNCTION("""COMPUTED_VALUE"""),"餐廳社群團隊")</f>
        <v>餐廳社群團隊</v>
      </c>
      <c r="P35" s="47">
        <f>IFERROR(__xludf.DUMMYFUNCTION("""COMPUTED_VALUE"""),368.0)</f>
        <v>368</v>
      </c>
      <c r="Q35" s="47">
        <f>IFERROR(__xludf.DUMMYFUNCTION("""COMPUTED_VALUE"""),368.0)</f>
        <v>368</v>
      </c>
      <c r="R35" s="47">
        <f>IFERROR(__xludf.DUMMYFUNCTION("""COMPUTED_VALUE"""),368.0)</f>
        <v>368</v>
      </c>
      <c r="S35" s="47">
        <f>IFERROR(__xludf.DUMMYFUNCTION("""COMPUTED_VALUE"""),368.0)</f>
        <v>368</v>
      </c>
      <c r="T35" s="47">
        <f>IFERROR(__xludf.DUMMYFUNCTION("""COMPUTED_VALUE"""),368.0)</f>
        <v>368</v>
      </c>
      <c r="U35" s="47">
        <f>IFERROR(__xludf.DUMMYFUNCTION("""COMPUTED_VALUE"""),368.0)</f>
        <v>368</v>
      </c>
      <c r="V35" s="47">
        <f>IFERROR(__xludf.DUMMYFUNCTION("""COMPUTED_VALUE"""),368.0)</f>
        <v>368</v>
      </c>
      <c r="W35" s="47">
        <f>IFERROR(__xludf.DUMMYFUNCTION("""COMPUTED_VALUE"""),368.0)</f>
        <v>368</v>
      </c>
      <c r="X35" s="47">
        <f>IFERROR(__xludf.DUMMYFUNCTION("""COMPUTED_VALUE"""),368.0)</f>
        <v>368</v>
      </c>
      <c r="Y35" s="47">
        <f>IFERROR(__xludf.DUMMYFUNCTION("""COMPUTED_VALUE"""),368.0)</f>
        <v>368</v>
      </c>
      <c r="Z35" s="37"/>
      <c r="AA35" s="37"/>
      <c r="AB35" s="47">
        <f>IFERROR(__xludf.DUMMYFUNCTION("""COMPUTED_VALUE"""),3680.0)</f>
        <v>3680</v>
      </c>
    </row>
    <row r="36">
      <c r="B36" s="37"/>
      <c r="C36" s="37"/>
      <c r="D36" s="37"/>
      <c r="E36" s="37"/>
      <c r="F36" s="37"/>
      <c r="G36" s="37"/>
      <c r="H36" s="37"/>
      <c r="I36" s="37"/>
      <c r="J36" s="37" t="str">
        <f>IFERROR(__xludf.DUMMYFUNCTION("""COMPUTED_VALUE"""),"AICHIP02312094")</f>
        <v>AICHIP02312094</v>
      </c>
      <c r="K36" s="37" t="str">
        <f>IFERROR(__xludf.DUMMYFUNCTION("""COMPUTED_VALUE"""),"整新 iPad 9 / 10.2吋 64G WiFi")</f>
        <v>整新 iPad 9 / 10.2吋 64G WiFi</v>
      </c>
      <c r="L36" s="37" t="str">
        <f>IFERROR(__xludf.DUMMYFUNCTION("""COMPUTED_VALUE"""),"王壯為")</f>
        <v>王壯為</v>
      </c>
      <c r="M36" s="37" t="str">
        <f>IFERROR(__xludf.DUMMYFUNCTION("""COMPUTED_VALUE"""),"管理中心")</f>
        <v>管理中心</v>
      </c>
      <c r="N36" s="37" t="str">
        <f>IFERROR(__xludf.DUMMYFUNCTION("""COMPUTED_VALUE"""),"資訊部")</f>
        <v>資訊部</v>
      </c>
      <c r="O36" s="37"/>
      <c r="P36" s="47">
        <f>IFERROR(__xludf.DUMMYFUNCTION("""COMPUTED_VALUE"""),275.0)</f>
        <v>275</v>
      </c>
      <c r="Q36" s="47">
        <f>IFERROR(__xludf.DUMMYFUNCTION("""COMPUTED_VALUE"""),275.0)</f>
        <v>275</v>
      </c>
      <c r="R36" s="47">
        <f>IFERROR(__xludf.DUMMYFUNCTION("""COMPUTED_VALUE"""),275.0)</f>
        <v>275</v>
      </c>
      <c r="S36" s="47">
        <f>IFERROR(__xludf.DUMMYFUNCTION("""COMPUTED_VALUE"""),275.0)</f>
        <v>275</v>
      </c>
      <c r="T36" s="47">
        <f>IFERROR(__xludf.DUMMYFUNCTION("""COMPUTED_VALUE"""),275.0)</f>
        <v>275</v>
      </c>
      <c r="U36" s="47">
        <f>IFERROR(__xludf.DUMMYFUNCTION("""COMPUTED_VALUE"""),275.0)</f>
        <v>275</v>
      </c>
      <c r="V36" s="47">
        <f>IFERROR(__xludf.DUMMYFUNCTION("""COMPUTED_VALUE"""),275.0)</f>
        <v>275</v>
      </c>
      <c r="W36" s="47">
        <f>IFERROR(__xludf.DUMMYFUNCTION("""COMPUTED_VALUE"""),275.0)</f>
        <v>275</v>
      </c>
      <c r="X36" s="47">
        <f>IFERROR(__xludf.DUMMYFUNCTION("""COMPUTED_VALUE"""),275.0)</f>
        <v>275</v>
      </c>
      <c r="Y36" s="47">
        <f>IFERROR(__xludf.DUMMYFUNCTION("""COMPUTED_VALUE"""),275.0)</f>
        <v>275</v>
      </c>
      <c r="Z36" s="47">
        <f>IFERROR(__xludf.DUMMYFUNCTION("""COMPUTED_VALUE"""),275.0)</f>
        <v>275</v>
      </c>
      <c r="AA36" s="37"/>
      <c r="AB36" s="47">
        <f>IFERROR(__xludf.DUMMYFUNCTION("""COMPUTED_VALUE"""),3025.0)</f>
        <v>3025</v>
      </c>
    </row>
    <row r="37">
      <c r="B37" s="37"/>
      <c r="C37" s="37"/>
      <c r="D37" s="37"/>
      <c r="E37" s="37"/>
      <c r="F37" s="37"/>
      <c r="G37" s="37"/>
      <c r="H37" s="37"/>
      <c r="I37" s="37"/>
      <c r="J37" s="37" t="str">
        <f>IFERROR(__xludf.DUMMYFUNCTION("""COMPUTED_VALUE"""),"AICHIP02312095")</f>
        <v>AICHIP02312095</v>
      </c>
      <c r="K37" s="37" t="str">
        <f>IFERROR(__xludf.DUMMYFUNCTION("""COMPUTED_VALUE"""),"iPad 9 / 10.2吋 64G WiFi _ 無法挑色")</f>
        <v>iPad 9 / 10.2吋 64G WiFi _ 無法挑色</v>
      </c>
      <c r="L37" s="37" t="str">
        <f>IFERROR(__xludf.DUMMYFUNCTION("""COMPUTED_VALUE"""),"蔡仲惠")</f>
        <v>蔡仲惠</v>
      </c>
      <c r="M37" s="37" t="str">
        <f>IFERROR(__xludf.DUMMYFUNCTION("""COMPUTED_VALUE"""),"客戶價值中心")</f>
        <v>客戶價值中心</v>
      </c>
      <c r="N37" s="37" t="str">
        <f>IFERROR(__xludf.DUMMYFUNCTION("""COMPUTED_VALUE"""),"客戶關係管理部")</f>
        <v>客戶關係管理部</v>
      </c>
      <c r="O37" s="37" t="str">
        <f>IFERROR(__xludf.DUMMYFUNCTION("""COMPUTED_VALUE"""),"客服團隊 POS/OMO")</f>
        <v>客服團隊 POS/OMO</v>
      </c>
      <c r="P37" s="47">
        <f>IFERROR(__xludf.DUMMYFUNCTION("""COMPUTED_VALUE"""),275.0)</f>
        <v>275</v>
      </c>
      <c r="Q37" s="47">
        <f>IFERROR(__xludf.DUMMYFUNCTION("""COMPUTED_VALUE"""),275.0)</f>
        <v>275</v>
      </c>
      <c r="R37" s="47">
        <f>IFERROR(__xludf.DUMMYFUNCTION("""COMPUTED_VALUE"""),275.0)</f>
        <v>275</v>
      </c>
      <c r="S37" s="47">
        <f>IFERROR(__xludf.DUMMYFUNCTION("""COMPUTED_VALUE"""),275.0)</f>
        <v>275</v>
      </c>
      <c r="T37" s="47">
        <f>IFERROR(__xludf.DUMMYFUNCTION("""COMPUTED_VALUE"""),275.0)</f>
        <v>275</v>
      </c>
      <c r="U37" s="47">
        <f>IFERROR(__xludf.DUMMYFUNCTION("""COMPUTED_VALUE"""),275.0)</f>
        <v>275</v>
      </c>
      <c r="V37" s="47">
        <f>IFERROR(__xludf.DUMMYFUNCTION("""COMPUTED_VALUE"""),275.0)</f>
        <v>275</v>
      </c>
      <c r="W37" s="47">
        <f>IFERROR(__xludf.DUMMYFUNCTION("""COMPUTED_VALUE"""),275.0)</f>
        <v>275</v>
      </c>
      <c r="X37" s="47">
        <f>IFERROR(__xludf.DUMMYFUNCTION("""COMPUTED_VALUE"""),275.0)</f>
        <v>275</v>
      </c>
      <c r="Y37" s="47">
        <f>IFERROR(__xludf.DUMMYFUNCTION("""COMPUTED_VALUE"""),275.0)</f>
        <v>275</v>
      </c>
      <c r="Z37" s="47">
        <f>IFERROR(__xludf.DUMMYFUNCTION("""COMPUTED_VALUE"""),275.0)</f>
        <v>275</v>
      </c>
      <c r="AA37" s="37"/>
      <c r="AB37" s="47">
        <f>IFERROR(__xludf.DUMMYFUNCTION("""COMPUTED_VALUE"""),3025.0)</f>
        <v>3025</v>
      </c>
    </row>
    <row r="38">
      <c r="B38" s="37"/>
      <c r="C38" s="37"/>
      <c r="D38" s="37"/>
      <c r="E38" s="37"/>
      <c r="F38" s="37"/>
      <c r="G38" s="37"/>
      <c r="H38" s="37"/>
      <c r="I38" s="37"/>
      <c r="J38" s="37" t="str">
        <f>IFERROR(__xludf.DUMMYFUNCTION("""COMPUTED_VALUE"""),"AICHMA02311058")</f>
        <v>AICHMA02311058</v>
      </c>
      <c r="K38" s="37" t="str">
        <f>IFERROR(__xludf.DUMMYFUNCTION("""COMPUTED_VALUE"""),"Macbook Air	")</f>
        <v>Macbook Air	</v>
      </c>
      <c r="L38" s="37" t="str">
        <f>IFERROR(__xludf.DUMMYFUNCTION("""COMPUTED_VALUE"""),"吳欣庭")</f>
        <v>吳欣庭</v>
      </c>
      <c r="M38" s="37" t="str">
        <f>IFERROR(__xludf.DUMMYFUNCTION("""COMPUTED_VALUE"""),"客戶價值中心")</f>
        <v>客戶價值中心</v>
      </c>
      <c r="N38" s="37" t="str">
        <f>IFERROR(__xludf.DUMMYFUNCTION("""COMPUTED_VALUE"""),"客戶關係管理部")</f>
        <v>客戶關係管理部</v>
      </c>
      <c r="O38" s="37" t="str">
        <f>IFERROR(__xludf.DUMMYFUNCTION("""COMPUTED_VALUE"""),"客服團隊 POS/OMO")</f>
        <v>客服團隊 POS/OMO</v>
      </c>
      <c r="P38" s="47">
        <f>IFERROR(__xludf.DUMMYFUNCTION("""COMPUTED_VALUE"""),883.0)</f>
        <v>883</v>
      </c>
      <c r="Q38" s="47">
        <f>IFERROR(__xludf.DUMMYFUNCTION("""COMPUTED_VALUE"""),883.0)</f>
        <v>883</v>
      </c>
      <c r="R38" s="47">
        <f>IFERROR(__xludf.DUMMYFUNCTION("""COMPUTED_VALUE"""),883.0)</f>
        <v>883</v>
      </c>
      <c r="S38" s="47">
        <f>IFERROR(__xludf.DUMMYFUNCTION("""COMPUTED_VALUE"""),883.0)</f>
        <v>883</v>
      </c>
      <c r="T38" s="47">
        <f>IFERROR(__xludf.DUMMYFUNCTION("""COMPUTED_VALUE"""),883.0)</f>
        <v>883</v>
      </c>
      <c r="U38" s="47">
        <f>IFERROR(__xludf.DUMMYFUNCTION("""COMPUTED_VALUE"""),883.0)</f>
        <v>883</v>
      </c>
      <c r="V38" s="47">
        <f>IFERROR(__xludf.DUMMYFUNCTION("""COMPUTED_VALUE"""),883.0)</f>
        <v>883</v>
      </c>
      <c r="W38" s="47">
        <f>IFERROR(__xludf.DUMMYFUNCTION("""COMPUTED_VALUE"""),883.0)</f>
        <v>883</v>
      </c>
      <c r="X38" s="47">
        <f>IFERROR(__xludf.DUMMYFUNCTION("""COMPUTED_VALUE"""),883.0)</f>
        <v>883</v>
      </c>
      <c r="Y38" s="47">
        <f>IFERROR(__xludf.DUMMYFUNCTION("""COMPUTED_VALUE"""),883.0)</f>
        <v>883</v>
      </c>
      <c r="Z38" s="47">
        <f>IFERROR(__xludf.DUMMYFUNCTION("""COMPUTED_VALUE"""),883.0)</f>
        <v>883</v>
      </c>
      <c r="AA38" s="37"/>
      <c r="AB38" s="47">
        <f>IFERROR(__xludf.DUMMYFUNCTION("""COMPUTED_VALUE"""),9713.0)</f>
        <v>9713</v>
      </c>
    </row>
    <row r="39">
      <c r="B39" s="37"/>
      <c r="C39" s="37"/>
      <c r="D39" s="37"/>
      <c r="E39" s="37"/>
      <c r="F39" s="37"/>
      <c r="G39" s="37"/>
      <c r="H39" s="37"/>
      <c r="I39" s="37"/>
      <c r="J39" s="37" t="str">
        <f>IFERROR(__xludf.DUMMYFUNCTION("""COMPUTED_VALUE"""),"AICHIP02401096")</f>
        <v>AICHIP02401096</v>
      </c>
      <c r="K39" s="37" t="str">
        <f>IFERROR(__xludf.DUMMYFUNCTION("""COMPUTED_VALUE"""),"iPad 9 / 10.2吋 64G WiFi _ 無法挑色")</f>
        <v>iPad 9 / 10.2吋 64G WiFi _ 無法挑色</v>
      </c>
      <c r="L39" s="37" t="str">
        <f>IFERROR(__xludf.DUMMYFUNCTION("""COMPUTED_VALUE"""),"高克瑋")</f>
        <v>高克瑋</v>
      </c>
      <c r="M39" s="37" t="str">
        <f>IFERROR(__xludf.DUMMYFUNCTION("""COMPUTED_VALUE"""),"行銷營運中心")</f>
        <v>行銷營運中心</v>
      </c>
      <c r="N39" s="37" t="str">
        <f>IFERROR(__xludf.DUMMYFUNCTION("""COMPUTED_VALUE"""),"銷售營運部")</f>
        <v>銷售營運部</v>
      </c>
      <c r="O39" s="37"/>
      <c r="P39" s="47">
        <f>IFERROR(__xludf.DUMMYFUNCTION("""COMPUTED_VALUE"""),275.0)</f>
        <v>275</v>
      </c>
      <c r="Q39" s="47">
        <f>IFERROR(__xludf.DUMMYFUNCTION("""COMPUTED_VALUE"""),275.0)</f>
        <v>275</v>
      </c>
      <c r="R39" s="47">
        <f>IFERROR(__xludf.DUMMYFUNCTION("""COMPUTED_VALUE"""),275.0)</f>
        <v>275</v>
      </c>
      <c r="S39" s="47">
        <f>IFERROR(__xludf.DUMMYFUNCTION("""COMPUTED_VALUE"""),275.0)</f>
        <v>275</v>
      </c>
      <c r="T39" s="47">
        <f>IFERROR(__xludf.DUMMYFUNCTION("""COMPUTED_VALUE"""),275.0)</f>
        <v>275</v>
      </c>
      <c r="U39" s="47">
        <f>IFERROR(__xludf.DUMMYFUNCTION("""COMPUTED_VALUE"""),275.0)</f>
        <v>275</v>
      </c>
      <c r="V39" s="47">
        <f>IFERROR(__xludf.DUMMYFUNCTION("""COMPUTED_VALUE"""),275.0)</f>
        <v>275</v>
      </c>
      <c r="W39" s="47">
        <f>IFERROR(__xludf.DUMMYFUNCTION("""COMPUTED_VALUE"""),275.0)</f>
        <v>275</v>
      </c>
      <c r="X39" s="47">
        <f>IFERROR(__xludf.DUMMYFUNCTION("""COMPUTED_VALUE"""),275.0)</f>
        <v>275</v>
      </c>
      <c r="Y39" s="47">
        <f>IFERROR(__xludf.DUMMYFUNCTION("""COMPUTED_VALUE"""),275.0)</f>
        <v>275</v>
      </c>
      <c r="Z39" s="47">
        <f>IFERROR(__xludf.DUMMYFUNCTION("""COMPUTED_VALUE"""),275.0)</f>
        <v>275</v>
      </c>
      <c r="AA39" s="47">
        <f>IFERROR(__xludf.DUMMYFUNCTION("""COMPUTED_VALUE"""),275.0)</f>
        <v>275</v>
      </c>
      <c r="AB39" s="47">
        <f>IFERROR(__xludf.DUMMYFUNCTION("""COMPUTED_VALUE"""),3300.0)</f>
        <v>3300</v>
      </c>
    </row>
    <row r="40">
      <c r="B40" s="37"/>
      <c r="C40" s="37"/>
      <c r="D40" s="37"/>
      <c r="E40" s="37"/>
      <c r="F40" s="37"/>
      <c r="G40" s="37"/>
      <c r="H40" s="37"/>
      <c r="I40" s="37"/>
      <c r="J40" s="37" t="str">
        <f>IFERROR(__xludf.DUMMYFUNCTION("""COMPUTED_VALUE"""),"AICHMA02401059")</f>
        <v>AICHMA02401059</v>
      </c>
      <c r="K40" s="37" t="str">
        <f>IFERROR(__xludf.DUMMYFUNCTION("""COMPUTED_VALUE"""),"Macbook Air	")</f>
        <v>Macbook Air	</v>
      </c>
      <c r="L40" s="37" t="str">
        <f>IFERROR(__xludf.DUMMYFUNCTION("""COMPUTED_VALUE"""),"黃如蘭")</f>
        <v>黃如蘭</v>
      </c>
      <c r="M40" s="37" t="str">
        <f>IFERROR(__xludf.DUMMYFUNCTION("""COMPUTED_VALUE"""),"客戶價值中心")</f>
        <v>客戶價值中心</v>
      </c>
      <c r="N40" s="37" t="str">
        <f>IFERROR(__xludf.DUMMYFUNCTION("""COMPUTED_VALUE"""),"客戶關係管理部")</f>
        <v>客戶關係管理部</v>
      </c>
      <c r="O40" s="37" t="str">
        <f>IFERROR(__xludf.DUMMYFUNCTION("""COMPUTED_VALUE"""),"續約管理團隊")</f>
        <v>續約管理團隊</v>
      </c>
      <c r="P40" s="47">
        <f>IFERROR(__xludf.DUMMYFUNCTION("""COMPUTED_VALUE"""),760.0)</f>
        <v>760</v>
      </c>
      <c r="Q40" s="47">
        <f>IFERROR(__xludf.DUMMYFUNCTION("""COMPUTED_VALUE"""),760.0)</f>
        <v>760</v>
      </c>
      <c r="R40" s="47">
        <f>IFERROR(__xludf.DUMMYFUNCTION("""COMPUTED_VALUE"""),760.0)</f>
        <v>760</v>
      </c>
      <c r="S40" s="47">
        <f>IFERROR(__xludf.DUMMYFUNCTION("""COMPUTED_VALUE"""),760.0)</f>
        <v>760</v>
      </c>
      <c r="T40" s="47">
        <f>IFERROR(__xludf.DUMMYFUNCTION("""COMPUTED_VALUE"""),760.0)</f>
        <v>760</v>
      </c>
      <c r="U40" s="47">
        <f>IFERROR(__xludf.DUMMYFUNCTION("""COMPUTED_VALUE"""),760.0)</f>
        <v>760</v>
      </c>
      <c r="V40" s="47">
        <f>IFERROR(__xludf.DUMMYFUNCTION("""COMPUTED_VALUE"""),760.0)</f>
        <v>760</v>
      </c>
      <c r="W40" s="47">
        <f>IFERROR(__xludf.DUMMYFUNCTION("""COMPUTED_VALUE"""),760.0)</f>
        <v>760</v>
      </c>
      <c r="X40" s="47">
        <f>IFERROR(__xludf.DUMMYFUNCTION("""COMPUTED_VALUE"""),760.0)</f>
        <v>760</v>
      </c>
      <c r="Y40" s="47">
        <f>IFERROR(__xludf.DUMMYFUNCTION("""COMPUTED_VALUE"""),760.0)</f>
        <v>760</v>
      </c>
      <c r="Z40" s="47">
        <f>IFERROR(__xludf.DUMMYFUNCTION("""COMPUTED_VALUE"""),760.0)</f>
        <v>760</v>
      </c>
      <c r="AA40" s="47">
        <f>IFERROR(__xludf.DUMMYFUNCTION("""COMPUTED_VALUE"""),760.0)</f>
        <v>760</v>
      </c>
      <c r="AB40" s="47">
        <f>IFERROR(__xludf.DUMMYFUNCTION("""COMPUTED_VALUE"""),9120.0)</f>
        <v>9120</v>
      </c>
    </row>
    <row r="41">
      <c r="B41" s="37"/>
      <c r="C41" s="37"/>
      <c r="D41" s="37"/>
      <c r="E41" s="37"/>
      <c r="F41" s="37"/>
      <c r="G41" s="37"/>
      <c r="H41" s="37"/>
      <c r="I41" s="37"/>
      <c r="J41" s="37" t="str">
        <f>IFERROR(__xludf.DUMMYFUNCTION("""COMPUTED_VALUE"""),"AICHMP02402071")</f>
        <v>AICHMP02402071</v>
      </c>
      <c r="K41" s="37" t="str">
        <f>IFERROR(__xludf.DUMMYFUNCTION("""COMPUTED_VALUE"""),"Macbook Pro 14寸")</f>
        <v>Macbook Pro 14寸</v>
      </c>
      <c r="L41" s="37" t="str">
        <f>IFERROR(__xludf.DUMMYFUNCTION("""COMPUTED_VALUE"""),"陳乙山")</f>
        <v>陳乙山</v>
      </c>
      <c r="M41" s="37" t="str">
        <f>IFERROR(__xludf.DUMMYFUNCTION("""COMPUTED_VALUE"""),"研發中心")</f>
        <v>研發中心</v>
      </c>
      <c r="N41" s="37" t="str">
        <f>IFERROR(__xludf.DUMMYFUNCTION("""COMPUTED_VALUE"""),"軟體工程部")</f>
        <v>軟體工程部</v>
      </c>
      <c r="O41" s="37" t="str">
        <f>IFERROR(__xludf.DUMMYFUNCTION("""COMPUTED_VALUE"""),"前端團隊")</f>
        <v>前端團隊</v>
      </c>
      <c r="P41" s="47">
        <f>IFERROR(__xludf.DUMMYFUNCTION("""COMPUTED_VALUE"""),1719.0)</f>
        <v>1719</v>
      </c>
      <c r="Q41" s="47">
        <f>IFERROR(__xludf.DUMMYFUNCTION("""COMPUTED_VALUE"""),1719.0)</f>
        <v>1719</v>
      </c>
      <c r="R41" s="47">
        <f>IFERROR(__xludf.DUMMYFUNCTION("""COMPUTED_VALUE"""),1719.0)</f>
        <v>1719</v>
      </c>
      <c r="S41" s="47">
        <f>IFERROR(__xludf.DUMMYFUNCTION("""COMPUTED_VALUE"""),1719.0)</f>
        <v>1719</v>
      </c>
      <c r="T41" s="47">
        <f>IFERROR(__xludf.DUMMYFUNCTION("""COMPUTED_VALUE"""),1719.0)</f>
        <v>1719</v>
      </c>
      <c r="U41" s="47">
        <f>IFERROR(__xludf.DUMMYFUNCTION("""COMPUTED_VALUE"""),1719.0)</f>
        <v>1719</v>
      </c>
      <c r="V41" s="47">
        <f>IFERROR(__xludf.DUMMYFUNCTION("""COMPUTED_VALUE"""),1719.0)</f>
        <v>1719</v>
      </c>
      <c r="W41" s="47">
        <f>IFERROR(__xludf.DUMMYFUNCTION("""COMPUTED_VALUE"""),1719.0)</f>
        <v>1719</v>
      </c>
      <c r="X41" s="47">
        <f>IFERROR(__xludf.DUMMYFUNCTION("""COMPUTED_VALUE"""),1719.0)</f>
        <v>1719</v>
      </c>
      <c r="Y41" s="47">
        <f>IFERROR(__xludf.DUMMYFUNCTION("""COMPUTED_VALUE"""),1719.0)</f>
        <v>1719</v>
      </c>
      <c r="Z41" s="47">
        <f>IFERROR(__xludf.DUMMYFUNCTION("""COMPUTED_VALUE"""),1719.0)</f>
        <v>1719</v>
      </c>
      <c r="AA41" s="47">
        <f>IFERROR(__xludf.DUMMYFUNCTION("""COMPUTED_VALUE"""),1719.0)</f>
        <v>1719</v>
      </c>
      <c r="AB41" s="47">
        <f>IFERROR(__xludf.DUMMYFUNCTION("""COMPUTED_VALUE"""),20628.0)</f>
        <v>20628</v>
      </c>
    </row>
    <row r="42">
      <c r="B42" s="37"/>
      <c r="C42" s="37"/>
      <c r="D42" s="37"/>
      <c r="E42" s="37"/>
      <c r="F42" s="37"/>
      <c r="G42" s="37"/>
      <c r="H42" s="37"/>
      <c r="I42" s="37"/>
      <c r="J42" s="37" t="str">
        <f>IFERROR(__xludf.DUMMYFUNCTION("""COMPUTED_VALUE"""),"AICHIP02402097")</f>
        <v>AICHIP02402097</v>
      </c>
      <c r="K42" s="37" t="str">
        <f>IFERROR(__xludf.DUMMYFUNCTION("""COMPUTED_VALUE"""),"iPad 9 / 10.2吋 64G WiFi _ 無法挑色")</f>
        <v>iPad 9 / 10.2吋 64G WiFi _ 無法挑色</v>
      </c>
      <c r="L42" s="37" t="str">
        <f>IFERROR(__xludf.DUMMYFUNCTION("""COMPUTED_VALUE"""),"鍾志杰")</f>
        <v>鍾志杰</v>
      </c>
      <c r="M42" s="37" t="str">
        <f>IFERROR(__xludf.DUMMYFUNCTION("""COMPUTED_VALUE"""),"行銷營運中心")</f>
        <v>行銷營運中心</v>
      </c>
      <c r="N42" s="37" t="str">
        <f>IFERROR(__xludf.DUMMYFUNCTION("""COMPUTED_VALUE"""),"銷售營運部")</f>
        <v>銷售營運部</v>
      </c>
      <c r="O42" s="37" t="str">
        <f>IFERROR(__xludf.DUMMYFUNCTION("""COMPUTED_VALUE"""),"銷售顧問團隊")</f>
        <v>銷售顧問團隊</v>
      </c>
      <c r="P42" s="47">
        <f>IFERROR(__xludf.DUMMYFUNCTION("""COMPUTED_VALUE"""),274.0)</f>
        <v>274</v>
      </c>
      <c r="Q42" s="47">
        <f>IFERROR(__xludf.DUMMYFUNCTION("""COMPUTED_VALUE"""),274.0)</f>
        <v>274</v>
      </c>
      <c r="R42" s="47">
        <f>IFERROR(__xludf.DUMMYFUNCTION("""COMPUTED_VALUE"""),274.0)</f>
        <v>274</v>
      </c>
      <c r="S42" s="47">
        <f>IFERROR(__xludf.DUMMYFUNCTION("""COMPUTED_VALUE"""),274.0)</f>
        <v>274</v>
      </c>
      <c r="T42" s="47">
        <f>IFERROR(__xludf.DUMMYFUNCTION("""COMPUTED_VALUE"""),274.0)</f>
        <v>274</v>
      </c>
      <c r="U42" s="47">
        <f>IFERROR(__xludf.DUMMYFUNCTION("""COMPUTED_VALUE"""),274.0)</f>
        <v>274</v>
      </c>
      <c r="V42" s="47">
        <f>IFERROR(__xludf.DUMMYFUNCTION("""COMPUTED_VALUE"""),274.0)</f>
        <v>274</v>
      </c>
      <c r="W42" s="47">
        <f>IFERROR(__xludf.DUMMYFUNCTION("""COMPUTED_VALUE"""),274.0)</f>
        <v>274</v>
      </c>
      <c r="X42" s="47">
        <f>IFERROR(__xludf.DUMMYFUNCTION("""COMPUTED_VALUE"""),274.0)</f>
        <v>274</v>
      </c>
      <c r="Y42" s="47">
        <f>IFERROR(__xludf.DUMMYFUNCTION("""COMPUTED_VALUE"""),274.0)</f>
        <v>274</v>
      </c>
      <c r="Z42" s="47">
        <f>IFERROR(__xludf.DUMMYFUNCTION("""COMPUTED_VALUE"""),274.0)</f>
        <v>274</v>
      </c>
      <c r="AA42" s="47">
        <f>IFERROR(__xludf.DUMMYFUNCTION("""COMPUTED_VALUE"""),274.0)</f>
        <v>274</v>
      </c>
      <c r="AB42" s="47">
        <f>IFERROR(__xludf.DUMMYFUNCTION("""COMPUTED_VALUE"""),3288.0)</f>
        <v>3288</v>
      </c>
    </row>
    <row r="43">
      <c r="B43" s="37"/>
      <c r="C43" s="37"/>
      <c r="D43" s="37"/>
      <c r="E43" s="37"/>
      <c r="F43" s="37"/>
      <c r="G43" s="37"/>
      <c r="H43" s="37"/>
      <c r="I43" s="37"/>
      <c r="J43" s="37" t="str">
        <f>IFERROR(__xludf.DUMMYFUNCTION("""COMPUTED_VALUE"""),"AICHMC02402020")</f>
        <v>AICHMC02402020</v>
      </c>
      <c r="K43" s="37" t="str">
        <f>IFERROR(__xludf.DUMMYFUNCTION("""COMPUTED_VALUE"""),"Mac Mini")</f>
        <v>Mac Mini</v>
      </c>
      <c r="L43" s="37" t="str">
        <f>IFERROR(__xludf.DUMMYFUNCTION("""COMPUTED_VALUE"""),"吳德毅")</f>
        <v>吳德毅</v>
      </c>
      <c r="M43" s="37" t="str">
        <f>IFERROR(__xludf.DUMMYFUNCTION("""COMPUTED_VALUE"""),"研發中心")</f>
        <v>研發中心</v>
      </c>
      <c r="N43" s="37" t="str">
        <f>IFERROR(__xludf.DUMMYFUNCTION("""COMPUTED_VALUE"""),"軟體工程部")</f>
        <v>軟體工程部</v>
      </c>
      <c r="O43" s="37" t="str">
        <f>IFERROR(__xludf.DUMMYFUNCTION("""COMPUTED_VALUE"""),"QE團隊")</f>
        <v>QE團隊</v>
      </c>
      <c r="P43" s="47">
        <f>IFERROR(__xludf.DUMMYFUNCTION("""COMPUTED_VALUE"""),614.0)</f>
        <v>614</v>
      </c>
      <c r="Q43" s="47">
        <f>IFERROR(__xludf.DUMMYFUNCTION("""COMPUTED_VALUE"""),614.0)</f>
        <v>614</v>
      </c>
      <c r="R43" s="47">
        <f>IFERROR(__xludf.DUMMYFUNCTION("""COMPUTED_VALUE"""),614.0)</f>
        <v>614</v>
      </c>
      <c r="S43" s="47">
        <f>IFERROR(__xludf.DUMMYFUNCTION("""COMPUTED_VALUE"""),614.0)</f>
        <v>614</v>
      </c>
      <c r="T43" s="47">
        <f>IFERROR(__xludf.DUMMYFUNCTION("""COMPUTED_VALUE"""),614.0)</f>
        <v>614</v>
      </c>
      <c r="U43" s="47">
        <f>IFERROR(__xludf.DUMMYFUNCTION("""COMPUTED_VALUE"""),614.0)</f>
        <v>614</v>
      </c>
      <c r="V43" s="47">
        <f>IFERROR(__xludf.DUMMYFUNCTION("""COMPUTED_VALUE"""),614.0)</f>
        <v>614</v>
      </c>
      <c r="W43" s="47">
        <f>IFERROR(__xludf.DUMMYFUNCTION("""COMPUTED_VALUE"""),614.0)</f>
        <v>614</v>
      </c>
      <c r="X43" s="47">
        <f>IFERROR(__xludf.DUMMYFUNCTION("""COMPUTED_VALUE"""),614.0)</f>
        <v>614</v>
      </c>
      <c r="Y43" s="47">
        <f>IFERROR(__xludf.DUMMYFUNCTION("""COMPUTED_VALUE"""),614.0)</f>
        <v>614</v>
      </c>
      <c r="Z43" s="47">
        <f>IFERROR(__xludf.DUMMYFUNCTION("""COMPUTED_VALUE"""),614.0)</f>
        <v>614</v>
      </c>
      <c r="AA43" s="47">
        <f>IFERROR(__xludf.DUMMYFUNCTION("""COMPUTED_VALUE"""),614.0)</f>
        <v>614</v>
      </c>
      <c r="AB43" s="47">
        <f>IFERROR(__xludf.DUMMYFUNCTION("""COMPUTED_VALUE"""),7368.0)</f>
        <v>7368</v>
      </c>
    </row>
    <row r="44">
      <c r="B44" s="37"/>
      <c r="C44" s="37"/>
      <c r="D44" s="37"/>
      <c r="E44" s="37"/>
      <c r="F44" s="37"/>
      <c r="G44" s="37"/>
      <c r="H44" s="37"/>
      <c r="I44" s="37"/>
      <c r="J44" s="37" t="str">
        <f>IFERROR(__xludf.DUMMYFUNCTION("""COMPUTED_VALUE"""),"AICHMC02402021")</f>
        <v>AICHMC02402021</v>
      </c>
      <c r="K44" s="37" t="str">
        <f>IFERROR(__xludf.DUMMYFUNCTION("""COMPUTED_VALUE"""),"Mac Mini")</f>
        <v>Mac Mini</v>
      </c>
      <c r="L44" s="37" t="str">
        <f>IFERROR(__xludf.DUMMYFUNCTION("""COMPUTED_VALUE"""),"吳德毅")</f>
        <v>吳德毅</v>
      </c>
      <c r="M44" s="37" t="str">
        <f>IFERROR(__xludf.DUMMYFUNCTION("""COMPUTED_VALUE"""),"研發中心")</f>
        <v>研發中心</v>
      </c>
      <c r="N44" s="37" t="str">
        <f>IFERROR(__xludf.DUMMYFUNCTION("""COMPUTED_VALUE"""),"軟體工程部")</f>
        <v>軟體工程部</v>
      </c>
      <c r="O44" s="37" t="str">
        <f>IFERROR(__xludf.DUMMYFUNCTION("""COMPUTED_VALUE"""),"QE團隊")</f>
        <v>QE團隊</v>
      </c>
      <c r="P44" s="47">
        <f>IFERROR(__xludf.DUMMYFUNCTION("""COMPUTED_VALUE"""),614.0)</f>
        <v>614</v>
      </c>
      <c r="Q44" s="47">
        <f>IFERROR(__xludf.DUMMYFUNCTION("""COMPUTED_VALUE"""),614.0)</f>
        <v>614</v>
      </c>
      <c r="R44" s="47">
        <f>IFERROR(__xludf.DUMMYFUNCTION("""COMPUTED_VALUE"""),614.0)</f>
        <v>614</v>
      </c>
      <c r="S44" s="47">
        <f>IFERROR(__xludf.DUMMYFUNCTION("""COMPUTED_VALUE"""),614.0)</f>
        <v>614</v>
      </c>
      <c r="T44" s="47">
        <f>IFERROR(__xludf.DUMMYFUNCTION("""COMPUTED_VALUE"""),614.0)</f>
        <v>614</v>
      </c>
      <c r="U44" s="47">
        <f>IFERROR(__xludf.DUMMYFUNCTION("""COMPUTED_VALUE"""),614.0)</f>
        <v>614</v>
      </c>
      <c r="V44" s="47">
        <f>IFERROR(__xludf.DUMMYFUNCTION("""COMPUTED_VALUE"""),614.0)</f>
        <v>614</v>
      </c>
      <c r="W44" s="47">
        <f>IFERROR(__xludf.DUMMYFUNCTION("""COMPUTED_VALUE"""),614.0)</f>
        <v>614</v>
      </c>
      <c r="X44" s="47">
        <f>IFERROR(__xludf.DUMMYFUNCTION("""COMPUTED_VALUE"""),614.0)</f>
        <v>614</v>
      </c>
      <c r="Y44" s="47">
        <f>IFERROR(__xludf.DUMMYFUNCTION("""COMPUTED_VALUE"""),614.0)</f>
        <v>614</v>
      </c>
      <c r="Z44" s="47">
        <f>IFERROR(__xludf.DUMMYFUNCTION("""COMPUTED_VALUE"""),614.0)</f>
        <v>614</v>
      </c>
      <c r="AA44" s="47">
        <f>IFERROR(__xludf.DUMMYFUNCTION("""COMPUTED_VALUE"""),614.0)</f>
        <v>614</v>
      </c>
      <c r="AB44" s="47">
        <f>IFERROR(__xludf.DUMMYFUNCTION("""COMPUTED_VALUE"""),7368.0)</f>
        <v>7368</v>
      </c>
    </row>
    <row r="45">
      <c r="B45" s="37"/>
      <c r="C45" s="37"/>
      <c r="D45" s="37"/>
      <c r="E45" s="37"/>
      <c r="F45" s="37"/>
      <c r="G45" s="37"/>
      <c r="H45" s="37"/>
      <c r="I45" s="37"/>
      <c r="J45" s="37" t="str">
        <f>IFERROR(__xludf.DUMMYFUNCTION("""COMPUTED_VALUE"""),"AICHOF02403006")</f>
        <v>AICHOF02403006</v>
      </c>
      <c r="K45" s="37" t="str">
        <f>IFERROR(__xludf.DUMMYFUNCTION("""COMPUTED_VALUE"""),"整新 TSP100USB（不含保固及維修補助")</f>
        <v>整新 TSP100USB（不含保固及維修補助</v>
      </c>
      <c r="L45" s="37" t="str">
        <f>IFERROR(__xludf.DUMMYFUNCTION("""COMPUTED_VALUE"""),"高克瑋")</f>
        <v>高克瑋</v>
      </c>
      <c r="M45" s="37" t="str">
        <f>IFERROR(__xludf.DUMMYFUNCTION("""COMPUTED_VALUE"""),"行銷營運中心")</f>
        <v>行銷營運中心</v>
      </c>
      <c r="N45" s="37" t="str">
        <f>IFERROR(__xludf.DUMMYFUNCTION("""COMPUTED_VALUE"""),"銷售營運部")</f>
        <v>銷售營運部</v>
      </c>
      <c r="O45" s="37"/>
      <c r="P45" s="47">
        <f>IFERROR(__xludf.DUMMYFUNCTION("""COMPUTED_VALUE"""),176.0)</f>
        <v>176</v>
      </c>
      <c r="Q45" s="47">
        <f>IFERROR(__xludf.DUMMYFUNCTION("""COMPUTED_VALUE"""),176.0)</f>
        <v>176</v>
      </c>
      <c r="R45" s="47">
        <f>IFERROR(__xludf.DUMMYFUNCTION("""COMPUTED_VALUE"""),176.0)</f>
        <v>176</v>
      </c>
      <c r="S45" s="47">
        <f>IFERROR(__xludf.DUMMYFUNCTION("""COMPUTED_VALUE"""),176.0)</f>
        <v>176</v>
      </c>
      <c r="T45" s="47">
        <f>IFERROR(__xludf.DUMMYFUNCTION("""COMPUTED_VALUE"""),176.0)</f>
        <v>176</v>
      </c>
      <c r="U45" s="47">
        <f>IFERROR(__xludf.DUMMYFUNCTION("""COMPUTED_VALUE"""),176.0)</f>
        <v>176</v>
      </c>
      <c r="V45" s="47">
        <f>IFERROR(__xludf.DUMMYFUNCTION("""COMPUTED_VALUE"""),176.0)</f>
        <v>176</v>
      </c>
      <c r="W45" s="47">
        <f>IFERROR(__xludf.DUMMYFUNCTION("""COMPUTED_VALUE"""),176.0)</f>
        <v>176</v>
      </c>
      <c r="X45" s="47">
        <f>IFERROR(__xludf.DUMMYFUNCTION("""COMPUTED_VALUE"""),176.0)</f>
        <v>176</v>
      </c>
      <c r="Y45" s="47">
        <f>IFERROR(__xludf.DUMMYFUNCTION("""COMPUTED_VALUE"""),176.0)</f>
        <v>176</v>
      </c>
      <c r="Z45" s="47">
        <f>IFERROR(__xludf.DUMMYFUNCTION("""COMPUTED_VALUE"""),176.0)</f>
        <v>176</v>
      </c>
      <c r="AA45" s="47">
        <f>IFERROR(__xludf.DUMMYFUNCTION("""COMPUTED_VALUE"""),176.0)</f>
        <v>176</v>
      </c>
      <c r="AB45" s="47">
        <f>IFERROR(__xludf.DUMMYFUNCTION("""COMPUTED_VALUE"""),2112.0)</f>
        <v>2112</v>
      </c>
    </row>
    <row r="46">
      <c r="B46" s="37"/>
      <c r="C46" s="37"/>
      <c r="D46" s="37"/>
      <c r="E46" s="37"/>
      <c r="F46" s="37"/>
      <c r="G46" s="37"/>
      <c r="H46" s="37"/>
      <c r="I46" s="37"/>
      <c r="J46" s="37" t="str">
        <f>IFERROR(__xludf.DUMMYFUNCTION("""COMPUTED_VALUE"""),"AICHMA02403060")</f>
        <v>AICHMA02403060</v>
      </c>
      <c r="K46" s="37" t="str">
        <f>IFERROR(__xludf.DUMMYFUNCTION("""COMPUTED_VALUE"""),"Macbook Air")</f>
        <v>Macbook Air</v>
      </c>
      <c r="L46" s="37" t="str">
        <f>IFERROR(__xludf.DUMMYFUNCTION("""COMPUTED_VALUE"""),"蔡仲惠")</f>
        <v>蔡仲惠</v>
      </c>
      <c r="M46" s="37" t="str">
        <f>IFERROR(__xludf.DUMMYFUNCTION("""COMPUTED_VALUE"""),"客戶價值中心")</f>
        <v>客戶價值中心</v>
      </c>
      <c r="N46" s="37" t="str">
        <f>IFERROR(__xludf.DUMMYFUNCTION("""COMPUTED_VALUE"""),"客戶關係管理部")</f>
        <v>客戶關係管理部</v>
      </c>
      <c r="O46" s="37" t="str">
        <f>IFERROR(__xludf.DUMMYFUNCTION("""COMPUTED_VALUE"""),"客服團隊 POS/OMO")</f>
        <v>客服團隊 POS/OMO</v>
      </c>
      <c r="P46" s="47">
        <f>IFERROR(__xludf.DUMMYFUNCTION("""COMPUTED_VALUE"""),760.0)</f>
        <v>760</v>
      </c>
      <c r="Q46" s="47">
        <f>IFERROR(__xludf.DUMMYFUNCTION("""COMPUTED_VALUE"""),760.0)</f>
        <v>760</v>
      </c>
      <c r="R46" s="47">
        <f>IFERROR(__xludf.DUMMYFUNCTION("""COMPUTED_VALUE"""),760.0)</f>
        <v>760</v>
      </c>
      <c r="S46" s="47">
        <f>IFERROR(__xludf.DUMMYFUNCTION("""COMPUTED_VALUE"""),760.0)</f>
        <v>760</v>
      </c>
      <c r="T46" s="47">
        <f>IFERROR(__xludf.DUMMYFUNCTION("""COMPUTED_VALUE"""),760.0)</f>
        <v>760</v>
      </c>
      <c r="U46" s="47">
        <f>IFERROR(__xludf.DUMMYFUNCTION("""COMPUTED_VALUE"""),760.0)</f>
        <v>760</v>
      </c>
      <c r="V46" s="47">
        <f>IFERROR(__xludf.DUMMYFUNCTION("""COMPUTED_VALUE"""),760.0)</f>
        <v>760</v>
      </c>
      <c r="W46" s="47">
        <f>IFERROR(__xludf.DUMMYFUNCTION("""COMPUTED_VALUE"""),760.0)</f>
        <v>760</v>
      </c>
      <c r="X46" s="47">
        <f>IFERROR(__xludf.DUMMYFUNCTION("""COMPUTED_VALUE"""),760.0)</f>
        <v>760</v>
      </c>
      <c r="Y46" s="47">
        <f>IFERROR(__xludf.DUMMYFUNCTION("""COMPUTED_VALUE"""),760.0)</f>
        <v>760</v>
      </c>
      <c r="Z46" s="47">
        <f>IFERROR(__xludf.DUMMYFUNCTION("""COMPUTED_VALUE"""),760.0)</f>
        <v>760</v>
      </c>
      <c r="AA46" s="47">
        <f>IFERROR(__xludf.DUMMYFUNCTION("""COMPUTED_VALUE"""),760.0)</f>
        <v>760</v>
      </c>
      <c r="AB46" s="47">
        <f>IFERROR(__xludf.DUMMYFUNCTION("""COMPUTED_VALUE"""),9120.0)</f>
        <v>9120</v>
      </c>
    </row>
    <row r="47">
      <c r="B47" s="37"/>
      <c r="C47" s="37"/>
      <c r="D47" s="37"/>
      <c r="E47" s="37"/>
      <c r="F47" s="37"/>
      <c r="G47" s="37"/>
      <c r="H47" s="37"/>
      <c r="I47" s="37"/>
      <c r="J47" s="37" t="str">
        <f>IFERROR(__xludf.DUMMYFUNCTION("""COMPUTED_VALUE"""),"AICHMA02403061")</f>
        <v>AICHMA02403061</v>
      </c>
      <c r="K47" s="37" t="str">
        <f>IFERROR(__xludf.DUMMYFUNCTION("""COMPUTED_VALUE"""),"Macbook Air")</f>
        <v>Macbook Air</v>
      </c>
      <c r="L47" s="37" t="str">
        <f>IFERROR(__xludf.DUMMYFUNCTION("""COMPUTED_VALUE"""),"王壯為")</f>
        <v>王壯為</v>
      </c>
      <c r="M47" s="37" t="str">
        <f>IFERROR(__xludf.DUMMYFUNCTION("""COMPUTED_VALUE"""),"管理中心")</f>
        <v>管理中心</v>
      </c>
      <c r="N47" s="37" t="str">
        <f>IFERROR(__xludf.DUMMYFUNCTION("""COMPUTED_VALUE"""),"資訊部")</f>
        <v>資訊部</v>
      </c>
      <c r="O47" s="37"/>
      <c r="P47" s="47">
        <f>IFERROR(__xludf.DUMMYFUNCTION("""COMPUTED_VALUE"""),760.0)</f>
        <v>760</v>
      </c>
      <c r="Q47" s="47">
        <f>IFERROR(__xludf.DUMMYFUNCTION("""COMPUTED_VALUE"""),760.0)</f>
        <v>760</v>
      </c>
      <c r="R47" s="47">
        <f>IFERROR(__xludf.DUMMYFUNCTION("""COMPUTED_VALUE"""),760.0)</f>
        <v>760</v>
      </c>
      <c r="S47" s="47">
        <f>IFERROR(__xludf.DUMMYFUNCTION("""COMPUTED_VALUE"""),760.0)</f>
        <v>760</v>
      </c>
      <c r="T47" s="47">
        <f>IFERROR(__xludf.DUMMYFUNCTION("""COMPUTED_VALUE"""),760.0)</f>
        <v>760</v>
      </c>
      <c r="U47" s="47">
        <f>IFERROR(__xludf.DUMMYFUNCTION("""COMPUTED_VALUE"""),760.0)</f>
        <v>760</v>
      </c>
      <c r="V47" s="47">
        <f>IFERROR(__xludf.DUMMYFUNCTION("""COMPUTED_VALUE"""),760.0)</f>
        <v>760</v>
      </c>
      <c r="W47" s="47">
        <f>IFERROR(__xludf.DUMMYFUNCTION("""COMPUTED_VALUE"""),760.0)</f>
        <v>760</v>
      </c>
      <c r="X47" s="47">
        <f>IFERROR(__xludf.DUMMYFUNCTION("""COMPUTED_VALUE"""),760.0)</f>
        <v>760</v>
      </c>
      <c r="Y47" s="47">
        <f>IFERROR(__xludf.DUMMYFUNCTION("""COMPUTED_VALUE"""),760.0)</f>
        <v>760</v>
      </c>
      <c r="Z47" s="47">
        <f>IFERROR(__xludf.DUMMYFUNCTION("""COMPUTED_VALUE"""),760.0)</f>
        <v>760</v>
      </c>
      <c r="AA47" s="47">
        <f>IFERROR(__xludf.DUMMYFUNCTION("""COMPUTED_VALUE"""),760.0)</f>
        <v>760</v>
      </c>
      <c r="AB47" s="47">
        <f>IFERROR(__xludf.DUMMYFUNCTION("""COMPUTED_VALUE"""),9120.0)</f>
        <v>9120</v>
      </c>
    </row>
    <row r="48">
      <c r="B48" s="37"/>
      <c r="C48" s="37"/>
      <c r="D48" s="37"/>
      <c r="E48" s="37"/>
      <c r="F48" s="37"/>
      <c r="G48" s="37"/>
      <c r="H48" s="37"/>
      <c r="I48" s="37"/>
      <c r="J48" s="37" t="str">
        <f>IFERROR(__xludf.DUMMYFUNCTION("""COMPUTED_VALUE"""),"AICHIP02403098")</f>
        <v>AICHIP02403098</v>
      </c>
      <c r="K48" s="37" t="str">
        <f>IFERROR(__xludf.DUMMYFUNCTION("""COMPUTED_VALUE"""),"Pad 9 / 10.2吋 64G WiFi _ 無法挑色")</f>
        <v>Pad 9 / 10.2吋 64G WiFi _ 無法挑色</v>
      </c>
      <c r="L48" s="37" t="str">
        <f>IFERROR(__xludf.DUMMYFUNCTION("""COMPUTED_VALUE"""),"李珈錡")</f>
        <v>李珈錡</v>
      </c>
      <c r="M48" s="37" t="str">
        <f>IFERROR(__xludf.DUMMYFUNCTION("""COMPUTED_VALUE"""),"研發中心")</f>
        <v>研發中心</v>
      </c>
      <c r="N48" s="37" t="str">
        <f>IFERROR(__xludf.DUMMYFUNCTION("""COMPUTED_VALUE"""),"產品設計部")</f>
        <v>產品設計部</v>
      </c>
      <c r="O48" s="37" t="str">
        <f>IFERROR(__xludf.DUMMYFUNCTION("""COMPUTED_VALUE"""),"產品經理團隊")</f>
        <v>產品經理團隊</v>
      </c>
      <c r="P48" s="47">
        <f>IFERROR(__xludf.DUMMYFUNCTION("""COMPUTED_VALUE"""),275.0)</f>
        <v>275</v>
      </c>
      <c r="Q48" s="47">
        <f>IFERROR(__xludf.DUMMYFUNCTION("""COMPUTED_VALUE"""),275.0)</f>
        <v>275</v>
      </c>
      <c r="R48" s="47">
        <f>IFERROR(__xludf.DUMMYFUNCTION("""COMPUTED_VALUE"""),275.0)</f>
        <v>275</v>
      </c>
      <c r="S48" s="47">
        <f>IFERROR(__xludf.DUMMYFUNCTION("""COMPUTED_VALUE"""),275.0)</f>
        <v>275</v>
      </c>
      <c r="T48" s="47">
        <f>IFERROR(__xludf.DUMMYFUNCTION("""COMPUTED_VALUE"""),275.0)</f>
        <v>275</v>
      </c>
      <c r="U48" s="47">
        <f>IFERROR(__xludf.DUMMYFUNCTION("""COMPUTED_VALUE"""),275.0)</f>
        <v>275</v>
      </c>
      <c r="V48" s="47">
        <f>IFERROR(__xludf.DUMMYFUNCTION("""COMPUTED_VALUE"""),275.0)</f>
        <v>275</v>
      </c>
      <c r="W48" s="47">
        <f>IFERROR(__xludf.DUMMYFUNCTION("""COMPUTED_VALUE"""),275.0)</f>
        <v>275</v>
      </c>
      <c r="X48" s="47">
        <f>IFERROR(__xludf.DUMMYFUNCTION("""COMPUTED_VALUE"""),275.0)</f>
        <v>275</v>
      </c>
      <c r="Y48" s="47">
        <f>IFERROR(__xludf.DUMMYFUNCTION("""COMPUTED_VALUE"""),275.0)</f>
        <v>275</v>
      </c>
      <c r="Z48" s="47">
        <f>IFERROR(__xludf.DUMMYFUNCTION("""COMPUTED_VALUE"""),275.0)</f>
        <v>275</v>
      </c>
      <c r="AA48" s="47">
        <f>IFERROR(__xludf.DUMMYFUNCTION("""COMPUTED_VALUE"""),275.0)</f>
        <v>275</v>
      </c>
      <c r="AB48" s="47">
        <f>IFERROR(__xludf.DUMMYFUNCTION("""COMPUTED_VALUE"""),3300.0)</f>
        <v>3300</v>
      </c>
    </row>
    <row r="49">
      <c r="B49" s="37"/>
      <c r="C49" s="37"/>
      <c r="D49" s="37"/>
      <c r="E49" s="37"/>
      <c r="F49" s="37"/>
      <c r="G49" s="37"/>
      <c r="H49" s="37"/>
      <c r="I49" s="37"/>
      <c r="J49" s="37" t="str">
        <f>IFERROR(__xludf.DUMMYFUNCTION("""COMPUTED_VALUE"""),"AICHOF02406007")</f>
        <v>AICHOF02406007</v>
      </c>
      <c r="K49" s="37" t="str">
        <f>IFERROR(__xludf.DUMMYFUNCTION("""COMPUTED_VALUE"""),"MCP31L-BK 三防多功能出單機(黑色)")</f>
        <v>MCP31L-BK 三防多功能出單機(黑色)</v>
      </c>
      <c r="L49" s="37" t="str">
        <f>IFERROR(__xludf.DUMMYFUNCTION("""COMPUTED_VALUE"""),"高竹映")</f>
        <v>高竹映</v>
      </c>
      <c r="M49" s="37" t="str">
        <f>IFERROR(__xludf.DUMMYFUNCTION("""COMPUTED_VALUE"""),"行銷營運中心")</f>
        <v>行銷營運中心</v>
      </c>
      <c r="N49" s="37" t="str">
        <f>IFERROR(__xludf.DUMMYFUNCTION("""COMPUTED_VALUE"""),"銷售營運部")</f>
        <v>銷售營運部</v>
      </c>
      <c r="O49" s="37" t="str">
        <f>IFERROR(__xludf.DUMMYFUNCTION("""COMPUTED_VALUE"""),"銷售顧問團隊")</f>
        <v>銷售顧問團隊</v>
      </c>
      <c r="P49" s="47">
        <f>IFERROR(__xludf.DUMMYFUNCTION("""COMPUTED_VALUE"""),194.0)</f>
        <v>194</v>
      </c>
      <c r="Q49" s="47">
        <f>IFERROR(__xludf.DUMMYFUNCTION("""COMPUTED_VALUE"""),194.0)</f>
        <v>194</v>
      </c>
      <c r="R49" s="47">
        <f>IFERROR(__xludf.DUMMYFUNCTION("""COMPUTED_VALUE"""),194.0)</f>
        <v>194</v>
      </c>
      <c r="S49" s="47">
        <f>IFERROR(__xludf.DUMMYFUNCTION("""COMPUTED_VALUE"""),194.0)</f>
        <v>194</v>
      </c>
      <c r="T49" s="47">
        <f>IFERROR(__xludf.DUMMYFUNCTION("""COMPUTED_VALUE"""),194.0)</f>
        <v>194</v>
      </c>
      <c r="U49" s="47">
        <f>IFERROR(__xludf.DUMMYFUNCTION("""COMPUTED_VALUE"""),194.0)</f>
        <v>194</v>
      </c>
      <c r="V49" s="47">
        <f>IFERROR(__xludf.DUMMYFUNCTION("""COMPUTED_VALUE"""),194.0)</f>
        <v>194</v>
      </c>
      <c r="W49" s="47">
        <f>IFERROR(__xludf.DUMMYFUNCTION("""COMPUTED_VALUE"""),194.0)</f>
        <v>194</v>
      </c>
      <c r="X49" s="47">
        <f>IFERROR(__xludf.DUMMYFUNCTION("""COMPUTED_VALUE"""),194.0)</f>
        <v>194</v>
      </c>
      <c r="Y49" s="47">
        <f>IFERROR(__xludf.DUMMYFUNCTION("""COMPUTED_VALUE"""),194.0)</f>
        <v>194</v>
      </c>
      <c r="Z49" s="47">
        <f>IFERROR(__xludf.DUMMYFUNCTION("""COMPUTED_VALUE"""),194.0)</f>
        <v>194</v>
      </c>
      <c r="AA49" s="47">
        <f>IFERROR(__xludf.DUMMYFUNCTION("""COMPUTED_VALUE"""),194.0)</f>
        <v>194</v>
      </c>
      <c r="AB49" s="47">
        <f>IFERROR(__xludf.DUMMYFUNCTION("""COMPUTED_VALUE"""),2328.0)</f>
        <v>2328</v>
      </c>
    </row>
    <row r="50">
      <c r="B50" s="37"/>
      <c r="C50" s="37"/>
      <c r="D50" s="37"/>
      <c r="E50" s="37"/>
      <c r="F50" s="37"/>
      <c r="G50" s="37"/>
      <c r="H50" s="37"/>
      <c r="I50" s="37"/>
      <c r="J50" s="37" t="str">
        <f>IFERROR(__xludf.DUMMYFUNCTION("""COMPUTED_VALUE"""),"AICHOF02406008")</f>
        <v>AICHOF02406008</v>
      </c>
      <c r="K50" s="37" t="str">
        <f>IFERROR(__xludf.DUMMYFUNCTION("""COMPUTED_VALUE"""),"米飛一號 LTE 無線基地台")</f>
        <v>米飛一號 LTE 無線基地台</v>
      </c>
      <c r="L50" s="37" t="str">
        <f>IFERROR(__xludf.DUMMYFUNCTION("""COMPUTED_VALUE"""),"邱郁婷")</f>
        <v>邱郁婷</v>
      </c>
      <c r="M50" s="37" t="str">
        <f>IFERROR(__xludf.DUMMYFUNCTION("""COMPUTED_VALUE"""),"行銷營運中心")</f>
        <v>行銷營運中心</v>
      </c>
      <c r="N50" s="37" t="str">
        <f>IFERROR(__xludf.DUMMYFUNCTION("""COMPUTED_VALUE"""),"銷售營運部")</f>
        <v>銷售營運部</v>
      </c>
      <c r="O50" s="37" t="str">
        <f>IFERROR(__xludf.DUMMYFUNCTION("""COMPUTED_VALUE"""),"客戶導入團隊")</f>
        <v>客戶導入團隊</v>
      </c>
      <c r="P50" s="47">
        <f>IFERROR(__xludf.DUMMYFUNCTION("""COMPUTED_VALUE"""),193.0)</f>
        <v>193</v>
      </c>
      <c r="Q50" s="47">
        <f>IFERROR(__xludf.DUMMYFUNCTION("""COMPUTED_VALUE"""),193.0)</f>
        <v>193</v>
      </c>
      <c r="R50" s="47">
        <f>IFERROR(__xludf.DUMMYFUNCTION("""COMPUTED_VALUE"""),193.0)</f>
        <v>193</v>
      </c>
      <c r="S50" s="47">
        <f>IFERROR(__xludf.DUMMYFUNCTION("""COMPUTED_VALUE"""),193.0)</f>
        <v>193</v>
      </c>
      <c r="T50" s="47">
        <f>IFERROR(__xludf.DUMMYFUNCTION("""COMPUTED_VALUE"""),193.0)</f>
        <v>193</v>
      </c>
      <c r="U50" s="47">
        <f>IFERROR(__xludf.DUMMYFUNCTION("""COMPUTED_VALUE"""),193.0)</f>
        <v>193</v>
      </c>
      <c r="V50" s="47">
        <f>IFERROR(__xludf.DUMMYFUNCTION("""COMPUTED_VALUE"""),193.0)</f>
        <v>193</v>
      </c>
      <c r="W50" s="47">
        <f>IFERROR(__xludf.DUMMYFUNCTION("""COMPUTED_VALUE"""),193.0)</f>
        <v>193</v>
      </c>
      <c r="X50" s="47">
        <f>IFERROR(__xludf.DUMMYFUNCTION("""COMPUTED_VALUE"""),193.0)</f>
        <v>193</v>
      </c>
      <c r="Y50" s="47">
        <f>IFERROR(__xludf.DUMMYFUNCTION("""COMPUTED_VALUE"""),193.0)</f>
        <v>193</v>
      </c>
      <c r="Z50" s="47">
        <f>IFERROR(__xludf.DUMMYFUNCTION("""COMPUTED_VALUE"""),193.0)</f>
        <v>193</v>
      </c>
      <c r="AA50" s="47">
        <f>IFERROR(__xludf.DUMMYFUNCTION("""COMPUTED_VALUE"""),193.0)</f>
        <v>193</v>
      </c>
      <c r="AB50" s="47">
        <f>IFERROR(__xludf.DUMMYFUNCTION("""COMPUTED_VALUE"""),2316.0)</f>
        <v>2316</v>
      </c>
    </row>
    <row r="51">
      <c r="B51" s="37"/>
      <c r="C51" s="37"/>
      <c r="D51" s="37"/>
      <c r="E51" s="37"/>
      <c r="F51" s="37"/>
      <c r="G51" s="37"/>
      <c r="H51" s="37"/>
      <c r="I51" s="37"/>
      <c r="J51" s="37" t="str">
        <f>IFERROR(__xludf.DUMMYFUNCTION("""COMPUTED_VALUE"""),"AICHOF02406009")</f>
        <v>AICHOF02406009</v>
      </c>
      <c r="K51" s="37" t="str">
        <f>IFERROR(__xludf.DUMMYFUNCTION("""COMPUTED_VALUE"""),"Ledetech iPad 立架( 4-11吋平板專用 )_不挑色")</f>
        <v>Ledetech iPad 立架( 4-11吋平板專用 )_不挑色</v>
      </c>
      <c r="L51" s="37" t="str">
        <f>IFERROR(__xludf.DUMMYFUNCTION("""COMPUTED_VALUE"""),"蔡於蓉")</f>
        <v>蔡於蓉</v>
      </c>
      <c r="M51" s="37" t="str">
        <f>IFERROR(__xludf.DUMMYFUNCTION("""COMPUTED_VALUE"""),"行銷營運中心")</f>
        <v>行銷營運中心</v>
      </c>
      <c r="N51" s="37" t="str">
        <f>IFERROR(__xludf.DUMMYFUNCTION("""COMPUTED_VALUE"""),"銷售營運部")</f>
        <v>銷售營運部</v>
      </c>
      <c r="O51" s="37" t="str">
        <f>IFERROR(__xludf.DUMMYFUNCTION("""COMPUTED_VALUE"""),"線上開發團隊")</f>
        <v>線上開發團隊</v>
      </c>
      <c r="P51" s="47">
        <f>IFERROR(__xludf.DUMMYFUNCTION("""COMPUTED_VALUE"""),15.0)</f>
        <v>15</v>
      </c>
      <c r="Q51" s="47">
        <f>IFERROR(__xludf.DUMMYFUNCTION("""COMPUTED_VALUE"""),15.0)</f>
        <v>15</v>
      </c>
      <c r="R51" s="47">
        <f>IFERROR(__xludf.DUMMYFUNCTION("""COMPUTED_VALUE"""),15.0)</f>
        <v>15</v>
      </c>
      <c r="S51" s="47">
        <f>IFERROR(__xludf.DUMMYFUNCTION("""COMPUTED_VALUE"""),15.0)</f>
        <v>15</v>
      </c>
      <c r="T51" s="47">
        <f>IFERROR(__xludf.DUMMYFUNCTION("""COMPUTED_VALUE"""),15.0)</f>
        <v>15</v>
      </c>
      <c r="U51" s="47">
        <f>IFERROR(__xludf.DUMMYFUNCTION("""COMPUTED_VALUE"""),15.0)</f>
        <v>15</v>
      </c>
      <c r="V51" s="47">
        <f>IFERROR(__xludf.DUMMYFUNCTION("""COMPUTED_VALUE"""),15.0)</f>
        <v>15</v>
      </c>
      <c r="W51" s="47">
        <f>IFERROR(__xludf.DUMMYFUNCTION("""COMPUTED_VALUE"""),15.0)</f>
        <v>15</v>
      </c>
      <c r="X51" s="47">
        <f>IFERROR(__xludf.DUMMYFUNCTION("""COMPUTED_VALUE"""),15.0)</f>
        <v>15</v>
      </c>
      <c r="Y51" s="47">
        <f>IFERROR(__xludf.DUMMYFUNCTION("""COMPUTED_VALUE"""),15.0)</f>
        <v>15</v>
      </c>
      <c r="Z51" s="47">
        <f>IFERROR(__xludf.DUMMYFUNCTION("""COMPUTED_VALUE"""),15.0)</f>
        <v>15</v>
      </c>
      <c r="AA51" s="47">
        <f>IFERROR(__xludf.DUMMYFUNCTION("""COMPUTED_VALUE"""),15.0)</f>
        <v>15</v>
      </c>
      <c r="AB51" s="47">
        <f>IFERROR(__xludf.DUMMYFUNCTION("""COMPUTED_VALUE"""),180.0)</f>
        <v>180</v>
      </c>
    </row>
    <row r="52">
      <c r="B52" s="37"/>
      <c r="C52" s="37"/>
      <c r="D52" s="37"/>
      <c r="E52" s="37"/>
      <c r="F52" s="37"/>
      <c r="G52" s="37"/>
      <c r="H52" s="37"/>
      <c r="I52" s="37"/>
      <c r="J52" s="37" t="str">
        <f>IFERROR(__xludf.DUMMYFUNCTION("""COMPUTED_VALUE"""),"AICHOF02406010")</f>
        <v>AICHOF02406010</v>
      </c>
      <c r="K52" s="37" t="str">
        <f>IFERROR(__xludf.DUMMYFUNCTION("""COMPUTED_VALUE"""),"JOY iPad 10.2 吋磁吸式背蓋")</f>
        <v>JOY iPad 10.2 吋磁吸式背蓋</v>
      </c>
      <c r="L52" s="37" t="str">
        <f>IFERROR(__xludf.DUMMYFUNCTION("""COMPUTED_VALUE"""),"蔡於蓉")</f>
        <v>蔡於蓉</v>
      </c>
      <c r="M52" s="37" t="str">
        <f>IFERROR(__xludf.DUMMYFUNCTION("""COMPUTED_VALUE"""),"行銷營運中心")</f>
        <v>行銷營運中心</v>
      </c>
      <c r="N52" s="37" t="str">
        <f>IFERROR(__xludf.DUMMYFUNCTION("""COMPUTED_VALUE"""),"銷售營運部")</f>
        <v>銷售營運部</v>
      </c>
      <c r="O52" s="37" t="str">
        <f>IFERROR(__xludf.DUMMYFUNCTION("""COMPUTED_VALUE"""),"線上開發團隊")</f>
        <v>線上開發團隊</v>
      </c>
      <c r="P52" s="47">
        <f>IFERROR(__xludf.DUMMYFUNCTION("""COMPUTED_VALUE"""),12.0)</f>
        <v>12</v>
      </c>
      <c r="Q52" s="47">
        <f>IFERROR(__xludf.DUMMYFUNCTION("""COMPUTED_VALUE"""),12.0)</f>
        <v>12</v>
      </c>
      <c r="R52" s="47">
        <f>IFERROR(__xludf.DUMMYFUNCTION("""COMPUTED_VALUE"""),12.0)</f>
        <v>12</v>
      </c>
      <c r="S52" s="47">
        <f>IFERROR(__xludf.DUMMYFUNCTION("""COMPUTED_VALUE"""),12.0)</f>
        <v>12</v>
      </c>
      <c r="T52" s="47">
        <f>IFERROR(__xludf.DUMMYFUNCTION("""COMPUTED_VALUE"""),12.0)</f>
        <v>12</v>
      </c>
      <c r="U52" s="47">
        <f>IFERROR(__xludf.DUMMYFUNCTION("""COMPUTED_VALUE"""),12.0)</f>
        <v>12</v>
      </c>
      <c r="V52" s="47">
        <f>IFERROR(__xludf.DUMMYFUNCTION("""COMPUTED_VALUE"""),12.0)</f>
        <v>12</v>
      </c>
      <c r="W52" s="47">
        <f>IFERROR(__xludf.DUMMYFUNCTION("""COMPUTED_VALUE"""),12.0)</f>
        <v>12</v>
      </c>
      <c r="X52" s="47">
        <f>IFERROR(__xludf.DUMMYFUNCTION("""COMPUTED_VALUE"""),12.0)</f>
        <v>12</v>
      </c>
      <c r="Y52" s="47">
        <f>IFERROR(__xludf.DUMMYFUNCTION("""COMPUTED_VALUE"""),12.0)</f>
        <v>12</v>
      </c>
      <c r="Z52" s="47">
        <f>IFERROR(__xludf.DUMMYFUNCTION("""COMPUTED_VALUE"""),12.0)</f>
        <v>12</v>
      </c>
      <c r="AA52" s="47">
        <f>IFERROR(__xludf.DUMMYFUNCTION("""COMPUTED_VALUE"""),12.0)</f>
        <v>12</v>
      </c>
      <c r="AB52" s="47">
        <f>IFERROR(__xludf.DUMMYFUNCTION("""COMPUTED_VALUE"""),144.0)</f>
        <v>144</v>
      </c>
    </row>
    <row r="53">
      <c r="B53" s="37"/>
      <c r="C53" s="37"/>
      <c r="D53" s="37"/>
      <c r="E53" s="37"/>
      <c r="F53" s="37"/>
      <c r="G53" s="37"/>
      <c r="H53" s="37"/>
      <c r="I53" s="37"/>
      <c r="J53" s="37" t="str">
        <f>IFERROR(__xludf.DUMMYFUNCTION("""COMPUTED_VALUE"""),"AICHOF02406011")</f>
        <v>AICHOF02406011</v>
      </c>
      <c r="K53" s="37" t="str">
        <f>IFERROR(__xludf.DUMMYFUNCTION("""COMPUTED_VALUE"""),"JOY 通用型平板支架")</f>
        <v>JOY 通用型平板支架</v>
      </c>
      <c r="L53" s="37" t="str">
        <f>IFERROR(__xludf.DUMMYFUNCTION("""COMPUTED_VALUE"""),"蔡於蓉")</f>
        <v>蔡於蓉</v>
      </c>
      <c r="M53" s="37" t="str">
        <f>IFERROR(__xludf.DUMMYFUNCTION("""COMPUTED_VALUE"""),"行銷營運中心")</f>
        <v>行銷營運中心</v>
      </c>
      <c r="N53" s="37" t="str">
        <f>IFERROR(__xludf.DUMMYFUNCTION("""COMPUTED_VALUE"""),"銷售營運部")</f>
        <v>銷售營運部</v>
      </c>
      <c r="O53" s="37" t="str">
        <f>IFERROR(__xludf.DUMMYFUNCTION("""COMPUTED_VALUE"""),"線上開發團隊")</f>
        <v>線上開發團隊</v>
      </c>
      <c r="P53" s="47">
        <f>IFERROR(__xludf.DUMMYFUNCTION("""COMPUTED_VALUE"""),33.0)</f>
        <v>33</v>
      </c>
      <c r="Q53" s="47">
        <f>IFERROR(__xludf.DUMMYFUNCTION("""COMPUTED_VALUE"""),33.0)</f>
        <v>33</v>
      </c>
      <c r="R53" s="47">
        <f>IFERROR(__xludf.DUMMYFUNCTION("""COMPUTED_VALUE"""),33.0)</f>
        <v>33</v>
      </c>
      <c r="S53" s="47">
        <f>IFERROR(__xludf.DUMMYFUNCTION("""COMPUTED_VALUE"""),33.0)</f>
        <v>33</v>
      </c>
      <c r="T53" s="47">
        <f>IFERROR(__xludf.DUMMYFUNCTION("""COMPUTED_VALUE"""),33.0)</f>
        <v>33</v>
      </c>
      <c r="U53" s="47">
        <f>IFERROR(__xludf.DUMMYFUNCTION("""COMPUTED_VALUE"""),33.0)</f>
        <v>33</v>
      </c>
      <c r="V53" s="47">
        <f>IFERROR(__xludf.DUMMYFUNCTION("""COMPUTED_VALUE"""),33.0)</f>
        <v>33</v>
      </c>
      <c r="W53" s="47">
        <f>IFERROR(__xludf.DUMMYFUNCTION("""COMPUTED_VALUE"""),33.0)</f>
        <v>33</v>
      </c>
      <c r="X53" s="47">
        <f>IFERROR(__xludf.DUMMYFUNCTION("""COMPUTED_VALUE"""),33.0)</f>
        <v>33</v>
      </c>
      <c r="Y53" s="47">
        <f>IFERROR(__xludf.DUMMYFUNCTION("""COMPUTED_VALUE"""),33.0)</f>
        <v>33</v>
      </c>
      <c r="Z53" s="47">
        <f>IFERROR(__xludf.DUMMYFUNCTION("""COMPUTED_VALUE"""),33.0)</f>
        <v>33</v>
      </c>
      <c r="AA53" s="47">
        <f>IFERROR(__xludf.DUMMYFUNCTION("""COMPUTED_VALUE"""),33.0)</f>
        <v>33</v>
      </c>
      <c r="AB53" s="47">
        <f>IFERROR(__xludf.DUMMYFUNCTION("""COMPUTED_VALUE"""),396.0)</f>
        <v>396</v>
      </c>
    </row>
    <row r="54">
      <c r="B54" s="37"/>
      <c r="C54" s="37"/>
      <c r="D54" s="37"/>
      <c r="E54" s="37"/>
      <c r="F54" s="37"/>
      <c r="G54" s="37"/>
      <c r="H54" s="37"/>
      <c r="I54" s="37"/>
      <c r="J54" s="37" t="str">
        <f>IFERROR(__xludf.DUMMYFUNCTION("""COMPUTED_VALUE"""),"AICHMP02403072")</f>
        <v>AICHMP02403072</v>
      </c>
      <c r="K54" s="37" t="str">
        <f>IFERROR(__xludf.DUMMYFUNCTION("""COMPUTED_VALUE"""),"Macbook Pro 14寸")</f>
        <v>Macbook Pro 14寸</v>
      </c>
      <c r="L54" s="37" t="str">
        <f>IFERROR(__xludf.DUMMYFUNCTION("""COMPUTED_VALUE"""),"張凱評")</f>
        <v>張凱評</v>
      </c>
      <c r="M54" s="37" t="str">
        <f>IFERROR(__xludf.DUMMYFUNCTION("""COMPUTED_VALUE"""),"研發中心")</f>
        <v>研發中心</v>
      </c>
      <c r="N54" s="37" t="str">
        <f>IFERROR(__xludf.DUMMYFUNCTION("""COMPUTED_VALUE"""),"產品設計部")</f>
        <v>產品設計部</v>
      </c>
      <c r="O54" s="37" t="str">
        <f>IFERROR(__xludf.DUMMYFUNCTION("""COMPUTED_VALUE"""),"產品設計師團隊")</f>
        <v>產品設計師團隊</v>
      </c>
      <c r="P54" s="47">
        <f>IFERROR(__xludf.DUMMYFUNCTION("""COMPUTED_VALUE"""),2015.0)</f>
        <v>2015</v>
      </c>
      <c r="Q54" s="47">
        <f>IFERROR(__xludf.DUMMYFUNCTION("""COMPUTED_VALUE"""),2015.0)</f>
        <v>2015</v>
      </c>
      <c r="R54" s="47">
        <f>IFERROR(__xludf.DUMMYFUNCTION("""COMPUTED_VALUE"""),2015.0)</f>
        <v>2015</v>
      </c>
      <c r="S54" s="47">
        <f>IFERROR(__xludf.DUMMYFUNCTION("""COMPUTED_VALUE"""),2015.0)</f>
        <v>2015</v>
      </c>
      <c r="T54" s="47">
        <f>IFERROR(__xludf.DUMMYFUNCTION("""COMPUTED_VALUE"""),2015.0)</f>
        <v>2015</v>
      </c>
      <c r="U54" s="47">
        <f>IFERROR(__xludf.DUMMYFUNCTION("""COMPUTED_VALUE"""),2015.0)</f>
        <v>2015</v>
      </c>
      <c r="V54" s="47">
        <f>IFERROR(__xludf.DUMMYFUNCTION("""COMPUTED_VALUE"""),2015.0)</f>
        <v>2015</v>
      </c>
      <c r="W54" s="47">
        <f>IFERROR(__xludf.DUMMYFUNCTION("""COMPUTED_VALUE"""),2015.0)</f>
        <v>2015</v>
      </c>
      <c r="X54" s="47">
        <f>IFERROR(__xludf.DUMMYFUNCTION("""COMPUTED_VALUE"""),2015.0)</f>
        <v>2015</v>
      </c>
      <c r="Y54" s="47">
        <f>IFERROR(__xludf.DUMMYFUNCTION("""COMPUTED_VALUE"""),2015.0)</f>
        <v>2015</v>
      </c>
      <c r="Z54" s="47">
        <f>IFERROR(__xludf.DUMMYFUNCTION("""COMPUTED_VALUE"""),2015.0)</f>
        <v>2015</v>
      </c>
      <c r="AA54" s="47">
        <f>IFERROR(__xludf.DUMMYFUNCTION("""COMPUTED_VALUE"""),2015.0)</f>
        <v>2015</v>
      </c>
      <c r="AB54" s="47">
        <f>IFERROR(__xludf.DUMMYFUNCTION("""COMPUTED_VALUE"""),24180.0)</f>
        <v>24180</v>
      </c>
    </row>
    <row r="55">
      <c r="B55" s="37"/>
      <c r="C55" s="37"/>
      <c r="D55" s="37"/>
      <c r="E55" s="37"/>
      <c r="F55" s="37"/>
      <c r="G55" s="37"/>
      <c r="H55" s="37"/>
      <c r="I55" s="37"/>
      <c r="J55" s="37" t="str">
        <f>IFERROR(__xludf.DUMMYFUNCTION("""COMPUTED_VALUE"""),"AICHMP02403073")</f>
        <v>AICHMP02403073</v>
      </c>
      <c r="K55" s="37" t="str">
        <f>IFERROR(__xludf.DUMMYFUNCTION("""COMPUTED_VALUE"""),"Macbook Pro 14寸")</f>
        <v>Macbook Pro 14寸</v>
      </c>
      <c r="L55" s="37" t="str">
        <f>IFERROR(__xludf.DUMMYFUNCTION("""COMPUTED_VALUE"""),"林展甫")</f>
        <v>林展甫</v>
      </c>
      <c r="M55" s="37" t="str">
        <f>IFERROR(__xludf.DUMMYFUNCTION("""COMPUTED_VALUE"""),"客戶價值中心")</f>
        <v>客戶價值中心</v>
      </c>
      <c r="N55" s="37" t="str">
        <f>IFERROR(__xludf.DUMMYFUNCTION("""COMPUTED_VALUE"""),"客戶關係管理部")</f>
        <v>客戶關係管理部</v>
      </c>
      <c r="O55" s="37" t="str">
        <f>IFERROR(__xludf.DUMMYFUNCTION("""COMPUTED_VALUE"""),"TSE團隊")</f>
        <v>TSE團隊</v>
      </c>
      <c r="P55" s="47">
        <f>IFERROR(__xludf.DUMMYFUNCTION("""COMPUTED_VALUE"""),2163.0)</f>
        <v>2163</v>
      </c>
      <c r="Q55" s="47">
        <f>IFERROR(__xludf.DUMMYFUNCTION("""COMPUTED_VALUE"""),2163.0)</f>
        <v>2163</v>
      </c>
      <c r="R55" s="47">
        <f>IFERROR(__xludf.DUMMYFUNCTION("""COMPUTED_VALUE"""),2163.0)</f>
        <v>2163</v>
      </c>
      <c r="S55" s="47">
        <f>IFERROR(__xludf.DUMMYFUNCTION("""COMPUTED_VALUE"""),2163.0)</f>
        <v>2163</v>
      </c>
      <c r="T55" s="47">
        <f>IFERROR(__xludf.DUMMYFUNCTION("""COMPUTED_VALUE"""),2163.0)</f>
        <v>2163</v>
      </c>
      <c r="U55" s="47">
        <f>IFERROR(__xludf.DUMMYFUNCTION("""COMPUTED_VALUE"""),2163.0)</f>
        <v>2163</v>
      </c>
      <c r="V55" s="47">
        <f>IFERROR(__xludf.DUMMYFUNCTION("""COMPUTED_VALUE"""),2163.0)</f>
        <v>2163</v>
      </c>
      <c r="W55" s="47">
        <f>IFERROR(__xludf.DUMMYFUNCTION("""COMPUTED_VALUE"""),2163.0)</f>
        <v>2163</v>
      </c>
      <c r="X55" s="47">
        <f>IFERROR(__xludf.DUMMYFUNCTION("""COMPUTED_VALUE"""),2163.0)</f>
        <v>2163</v>
      </c>
      <c r="Y55" s="47">
        <f>IFERROR(__xludf.DUMMYFUNCTION("""COMPUTED_VALUE"""),2163.0)</f>
        <v>2163</v>
      </c>
      <c r="Z55" s="47">
        <f>IFERROR(__xludf.DUMMYFUNCTION("""COMPUTED_VALUE"""),2163.0)</f>
        <v>2163</v>
      </c>
      <c r="AA55" s="47">
        <f>IFERROR(__xludf.DUMMYFUNCTION("""COMPUTED_VALUE"""),2163.0)</f>
        <v>2163</v>
      </c>
      <c r="AB55" s="47">
        <f>IFERROR(__xludf.DUMMYFUNCTION("""COMPUTED_VALUE"""),25956.0)</f>
        <v>25956</v>
      </c>
    </row>
    <row r="56">
      <c r="B56" s="37"/>
      <c r="C56" s="37"/>
      <c r="D56" s="37"/>
      <c r="E56" s="37"/>
      <c r="F56" s="37"/>
      <c r="G56" s="37"/>
      <c r="H56" s="37"/>
      <c r="I56" s="37"/>
      <c r="J56" s="37" t="str">
        <f>IFERROR(__xludf.DUMMYFUNCTION("""COMPUTED_VALUE"""),"AICHMP02403074")</f>
        <v>AICHMP02403074</v>
      </c>
      <c r="K56" s="37" t="str">
        <f>IFERROR(__xludf.DUMMYFUNCTION("""COMPUTED_VALUE"""),"Macbook Pro 14寸")</f>
        <v>Macbook Pro 14寸</v>
      </c>
      <c r="L56" s="37" t="str">
        <f>IFERROR(__xludf.DUMMYFUNCTION("""COMPUTED_VALUE"""),"謝明哲")</f>
        <v>謝明哲</v>
      </c>
      <c r="M56" s="37" t="str">
        <f>IFERROR(__xludf.DUMMYFUNCTION("""COMPUTED_VALUE"""),"研發中心")</f>
        <v>研發中心</v>
      </c>
      <c r="N56" s="37" t="str">
        <f>IFERROR(__xludf.DUMMYFUNCTION("""COMPUTED_VALUE"""),"軟體工程部")</f>
        <v>軟體工程部</v>
      </c>
      <c r="O56" s="37" t="str">
        <f>IFERROR(__xludf.DUMMYFUNCTION("""COMPUTED_VALUE"""),"前端團隊")</f>
        <v>前端團隊</v>
      </c>
      <c r="P56" s="47">
        <f>IFERROR(__xludf.DUMMYFUNCTION("""COMPUTED_VALUE"""),2163.0)</f>
        <v>2163</v>
      </c>
      <c r="Q56" s="47">
        <f>IFERROR(__xludf.DUMMYFUNCTION("""COMPUTED_VALUE"""),2163.0)</f>
        <v>2163</v>
      </c>
      <c r="R56" s="47">
        <f>IFERROR(__xludf.DUMMYFUNCTION("""COMPUTED_VALUE"""),2163.0)</f>
        <v>2163</v>
      </c>
      <c r="S56" s="47">
        <f>IFERROR(__xludf.DUMMYFUNCTION("""COMPUTED_VALUE"""),2163.0)</f>
        <v>2163</v>
      </c>
      <c r="T56" s="47">
        <f>IFERROR(__xludf.DUMMYFUNCTION("""COMPUTED_VALUE"""),2163.0)</f>
        <v>2163</v>
      </c>
      <c r="U56" s="47">
        <f>IFERROR(__xludf.DUMMYFUNCTION("""COMPUTED_VALUE"""),2163.0)</f>
        <v>2163</v>
      </c>
      <c r="V56" s="47">
        <f>IFERROR(__xludf.DUMMYFUNCTION("""COMPUTED_VALUE"""),2163.0)</f>
        <v>2163</v>
      </c>
      <c r="W56" s="47">
        <f>IFERROR(__xludf.DUMMYFUNCTION("""COMPUTED_VALUE"""),2163.0)</f>
        <v>2163</v>
      </c>
      <c r="X56" s="47">
        <f>IFERROR(__xludf.DUMMYFUNCTION("""COMPUTED_VALUE"""),2163.0)</f>
        <v>2163</v>
      </c>
      <c r="Y56" s="47">
        <f>IFERROR(__xludf.DUMMYFUNCTION("""COMPUTED_VALUE"""),2163.0)</f>
        <v>2163</v>
      </c>
      <c r="Z56" s="47">
        <f>IFERROR(__xludf.DUMMYFUNCTION("""COMPUTED_VALUE"""),2163.0)</f>
        <v>2163</v>
      </c>
      <c r="AA56" s="47">
        <f>IFERROR(__xludf.DUMMYFUNCTION("""COMPUTED_VALUE"""),2163.0)</f>
        <v>2163</v>
      </c>
      <c r="AB56" s="47">
        <f>IFERROR(__xludf.DUMMYFUNCTION("""COMPUTED_VALUE"""),25956.0)</f>
        <v>25956</v>
      </c>
    </row>
    <row r="57">
      <c r="B57" s="37"/>
      <c r="C57" s="37"/>
      <c r="D57" s="37"/>
      <c r="E57" s="37"/>
      <c r="F57" s="37"/>
      <c r="G57" s="37"/>
      <c r="H57" s="37"/>
      <c r="I57" s="37"/>
      <c r="J57" s="37" t="str">
        <f>IFERROR(__xludf.DUMMYFUNCTION("""COMPUTED_VALUE"""),"AICHMA02404062")</f>
        <v>AICHMA02404062</v>
      </c>
      <c r="K57" s="37" t="str">
        <f>IFERROR(__xludf.DUMMYFUNCTION("""COMPUTED_VALUE"""),"Macbook Air")</f>
        <v>Macbook Air</v>
      </c>
      <c r="L57" s="37" t="str">
        <f>IFERROR(__xludf.DUMMYFUNCTION("""COMPUTED_VALUE"""),"周玟萱")</f>
        <v>周玟萱</v>
      </c>
      <c r="M57" s="37" t="str">
        <f>IFERROR(__xludf.DUMMYFUNCTION("""COMPUTED_VALUE"""),"客戶價值中心")</f>
        <v>客戶價值中心</v>
      </c>
      <c r="N57" s="37" t="str">
        <f>IFERROR(__xludf.DUMMYFUNCTION("""COMPUTED_VALUE"""),"客戶成功管理部")</f>
        <v>客戶成功管理部</v>
      </c>
      <c r="O57" s="37" t="str">
        <f>IFERROR(__xludf.DUMMYFUNCTION("""COMPUTED_VALUE"""),"PE團隊")</f>
        <v>PE團隊</v>
      </c>
      <c r="P57" s="47">
        <f>IFERROR(__xludf.DUMMYFUNCTION("""COMPUTED_VALUE"""),811.0)</f>
        <v>811</v>
      </c>
      <c r="Q57" s="47">
        <f>IFERROR(__xludf.DUMMYFUNCTION("""COMPUTED_VALUE"""),811.0)</f>
        <v>811</v>
      </c>
      <c r="R57" s="47">
        <f>IFERROR(__xludf.DUMMYFUNCTION("""COMPUTED_VALUE"""),811.0)</f>
        <v>811</v>
      </c>
      <c r="S57" s="47">
        <f>IFERROR(__xludf.DUMMYFUNCTION("""COMPUTED_VALUE"""),811.0)</f>
        <v>811</v>
      </c>
      <c r="T57" s="47">
        <f>IFERROR(__xludf.DUMMYFUNCTION("""COMPUTED_VALUE"""),811.0)</f>
        <v>811</v>
      </c>
      <c r="U57" s="47">
        <f>IFERROR(__xludf.DUMMYFUNCTION("""COMPUTED_VALUE"""),811.0)</f>
        <v>811</v>
      </c>
      <c r="V57" s="47">
        <f>IFERROR(__xludf.DUMMYFUNCTION("""COMPUTED_VALUE"""),811.0)</f>
        <v>811</v>
      </c>
      <c r="W57" s="47">
        <f>IFERROR(__xludf.DUMMYFUNCTION("""COMPUTED_VALUE"""),811.0)</f>
        <v>811</v>
      </c>
      <c r="X57" s="47">
        <f>IFERROR(__xludf.DUMMYFUNCTION("""COMPUTED_VALUE"""),811.0)</f>
        <v>811</v>
      </c>
      <c r="Y57" s="47">
        <f>IFERROR(__xludf.DUMMYFUNCTION("""COMPUTED_VALUE"""),811.0)</f>
        <v>811</v>
      </c>
      <c r="Z57" s="47">
        <f>IFERROR(__xludf.DUMMYFUNCTION("""COMPUTED_VALUE"""),811.0)</f>
        <v>811</v>
      </c>
      <c r="AA57" s="47">
        <f>IFERROR(__xludf.DUMMYFUNCTION("""COMPUTED_VALUE"""),811.0)</f>
        <v>811</v>
      </c>
      <c r="AB57" s="47">
        <f>IFERROR(__xludf.DUMMYFUNCTION("""COMPUTED_VALUE"""),9732.0)</f>
        <v>9732</v>
      </c>
    </row>
    <row r="58">
      <c r="B58" s="37"/>
      <c r="C58" s="37"/>
      <c r="D58" s="37"/>
      <c r="E58" s="37"/>
      <c r="F58" s="37"/>
      <c r="G58" s="37"/>
      <c r="H58" s="37"/>
      <c r="I58" s="37"/>
      <c r="J58" s="37" t="str">
        <f>IFERROR(__xludf.DUMMYFUNCTION("""COMPUTED_VALUE"""),"AICHMA02404063")</f>
        <v>AICHMA02404063</v>
      </c>
      <c r="K58" s="37" t="str">
        <f>IFERROR(__xludf.DUMMYFUNCTION("""COMPUTED_VALUE"""),"Macbook Air")</f>
        <v>Macbook Air</v>
      </c>
      <c r="L58" s="37" t="str">
        <f>IFERROR(__xludf.DUMMYFUNCTION("""COMPUTED_VALUE"""),"潘逸巧")</f>
        <v>潘逸巧</v>
      </c>
      <c r="M58" s="37" t="str">
        <f>IFERROR(__xludf.DUMMYFUNCTION("""COMPUTED_VALUE"""),"行銷營運中心")</f>
        <v>行銷營運中心</v>
      </c>
      <c r="N58" s="37" t="str">
        <f>IFERROR(__xludf.DUMMYFUNCTION("""COMPUTED_VALUE"""),"銷售營運部")</f>
        <v>銷售營運部</v>
      </c>
      <c r="O58" s="37" t="str">
        <f>IFERROR(__xludf.DUMMYFUNCTION("""COMPUTED_VALUE"""),"客戶導入團隊")</f>
        <v>客戶導入團隊</v>
      </c>
      <c r="P58" s="47">
        <f>IFERROR(__xludf.DUMMYFUNCTION("""COMPUTED_VALUE"""),811.0)</f>
        <v>811</v>
      </c>
      <c r="Q58" s="47">
        <f>IFERROR(__xludf.DUMMYFUNCTION("""COMPUTED_VALUE"""),811.0)</f>
        <v>811</v>
      </c>
      <c r="R58" s="47">
        <f>IFERROR(__xludf.DUMMYFUNCTION("""COMPUTED_VALUE"""),811.0)</f>
        <v>811</v>
      </c>
      <c r="S58" s="47">
        <f>IFERROR(__xludf.DUMMYFUNCTION("""COMPUTED_VALUE"""),811.0)</f>
        <v>811</v>
      </c>
      <c r="T58" s="47">
        <f>IFERROR(__xludf.DUMMYFUNCTION("""COMPUTED_VALUE"""),811.0)</f>
        <v>811</v>
      </c>
      <c r="U58" s="47">
        <f>IFERROR(__xludf.DUMMYFUNCTION("""COMPUTED_VALUE"""),811.0)</f>
        <v>811</v>
      </c>
      <c r="V58" s="47">
        <f>IFERROR(__xludf.DUMMYFUNCTION("""COMPUTED_VALUE"""),811.0)</f>
        <v>811</v>
      </c>
      <c r="W58" s="47">
        <f>IFERROR(__xludf.DUMMYFUNCTION("""COMPUTED_VALUE"""),811.0)</f>
        <v>811</v>
      </c>
      <c r="X58" s="47">
        <f>IFERROR(__xludf.DUMMYFUNCTION("""COMPUTED_VALUE"""),811.0)</f>
        <v>811</v>
      </c>
      <c r="Y58" s="47">
        <f>IFERROR(__xludf.DUMMYFUNCTION("""COMPUTED_VALUE"""),811.0)</f>
        <v>811</v>
      </c>
      <c r="Z58" s="47">
        <f>IFERROR(__xludf.DUMMYFUNCTION("""COMPUTED_VALUE"""),811.0)</f>
        <v>811</v>
      </c>
      <c r="AA58" s="47">
        <f>IFERROR(__xludf.DUMMYFUNCTION("""COMPUTED_VALUE"""),811.0)</f>
        <v>811</v>
      </c>
      <c r="AB58" s="47">
        <f>IFERROR(__xludf.DUMMYFUNCTION("""COMPUTED_VALUE"""),9732.0)</f>
        <v>9732</v>
      </c>
    </row>
    <row r="59">
      <c r="B59" s="37"/>
      <c r="C59" s="37"/>
      <c r="D59" s="37"/>
      <c r="E59" s="37"/>
      <c r="F59" s="37"/>
      <c r="G59" s="37"/>
      <c r="H59" s="37"/>
      <c r="I59" s="37"/>
      <c r="J59" s="37" t="str">
        <f>IFERROR(__xludf.DUMMYFUNCTION("""COMPUTED_VALUE"""),"AICHMA02404064")</f>
        <v>AICHMA02404064</v>
      </c>
      <c r="K59" s="37" t="str">
        <f>IFERROR(__xludf.DUMMYFUNCTION("""COMPUTED_VALUE"""),"Macbook Air")</f>
        <v>Macbook Air</v>
      </c>
      <c r="L59" s="37" t="str">
        <f>IFERROR(__xludf.DUMMYFUNCTION("""COMPUTED_VALUE"""),"巫喬婷")</f>
        <v>巫喬婷</v>
      </c>
      <c r="M59" s="37" t="str">
        <f>IFERROR(__xludf.DUMMYFUNCTION("""COMPUTED_VALUE"""),"行銷營運中心")</f>
        <v>行銷營運中心</v>
      </c>
      <c r="N59" s="37" t="str">
        <f>IFERROR(__xludf.DUMMYFUNCTION("""COMPUTED_VALUE"""),"銷售營運部")</f>
        <v>銷售營運部</v>
      </c>
      <c r="O59" s="37" t="str">
        <f>IFERROR(__xludf.DUMMYFUNCTION("""COMPUTED_VALUE"""),"銷售顧問團隊")</f>
        <v>銷售顧問團隊</v>
      </c>
      <c r="P59" s="47">
        <f>IFERROR(__xludf.DUMMYFUNCTION("""COMPUTED_VALUE"""),811.0)</f>
        <v>811</v>
      </c>
      <c r="Q59" s="47">
        <f>IFERROR(__xludf.DUMMYFUNCTION("""COMPUTED_VALUE"""),811.0)</f>
        <v>811</v>
      </c>
      <c r="R59" s="47">
        <f>IFERROR(__xludf.DUMMYFUNCTION("""COMPUTED_VALUE"""),811.0)</f>
        <v>811</v>
      </c>
      <c r="S59" s="47">
        <f>IFERROR(__xludf.DUMMYFUNCTION("""COMPUTED_VALUE"""),811.0)</f>
        <v>811</v>
      </c>
      <c r="T59" s="47">
        <f>IFERROR(__xludf.DUMMYFUNCTION("""COMPUTED_VALUE"""),811.0)</f>
        <v>811</v>
      </c>
      <c r="U59" s="47">
        <f>IFERROR(__xludf.DUMMYFUNCTION("""COMPUTED_VALUE"""),811.0)</f>
        <v>811</v>
      </c>
      <c r="V59" s="47">
        <f>IFERROR(__xludf.DUMMYFUNCTION("""COMPUTED_VALUE"""),811.0)</f>
        <v>811</v>
      </c>
      <c r="W59" s="47">
        <f>IFERROR(__xludf.DUMMYFUNCTION("""COMPUTED_VALUE"""),811.0)</f>
        <v>811</v>
      </c>
      <c r="X59" s="47">
        <f>IFERROR(__xludf.DUMMYFUNCTION("""COMPUTED_VALUE"""),811.0)</f>
        <v>811</v>
      </c>
      <c r="Y59" s="47">
        <f>IFERROR(__xludf.DUMMYFUNCTION("""COMPUTED_VALUE"""),811.0)</f>
        <v>811</v>
      </c>
      <c r="Z59" s="47">
        <f>IFERROR(__xludf.DUMMYFUNCTION("""COMPUTED_VALUE"""),811.0)</f>
        <v>811</v>
      </c>
      <c r="AA59" s="47">
        <f>IFERROR(__xludf.DUMMYFUNCTION("""COMPUTED_VALUE"""),811.0)</f>
        <v>811</v>
      </c>
      <c r="AB59" s="47">
        <f>IFERROR(__xludf.DUMMYFUNCTION("""COMPUTED_VALUE"""),9732.0)</f>
        <v>9732</v>
      </c>
    </row>
    <row r="60">
      <c r="B60" s="37"/>
      <c r="C60" s="37"/>
      <c r="D60" s="37"/>
      <c r="E60" s="37"/>
      <c r="F60" s="37"/>
      <c r="G60" s="37"/>
      <c r="H60" s="37"/>
      <c r="I60" s="37"/>
      <c r="J60" s="37" t="str">
        <f>IFERROR(__xludf.DUMMYFUNCTION("""COMPUTED_VALUE"""),"AICHMA02404065")</f>
        <v>AICHMA02404065</v>
      </c>
      <c r="K60" s="37" t="str">
        <f>IFERROR(__xludf.DUMMYFUNCTION("""COMPUTED_VALUE"""),"Macbook Air")</f>
        <v>Macbook Air</v>
      </c>
      <c r="L60" s="37" t="str">
        <f>IFERROR(__xludf.DUMMYFUNCTION("""COMPUTED_VALUE"""),"蔡育沛")</f>
        <v>蔡育沛</v>
      </c>
      <c r="M60" s="37" t="str">
        <f>IFERROR(__xludf.DUMMYFUNCTION("""COMPUTED_VALUE"""),"行銷營運中心")</f>
        <v>行銷營運中心</v>
      </c>
      <c r="N60" s="37" t="str">
        <f>IFERROR(__xludf.DUMMYFUNCTION("""COMPUTED_VALUE"""),"社群關係部")</f>
        <v>社群關係部</v>
      </c>
      <c r="O60" s="37" t="str">
        <f>IFERROR(__xludf.DUMMYFUNCTION("""COMPUTED_VALUE"""),"餐廳社群團隊")</f>
        <v>餐廳社群團隊</v>
      </c>
      <c r="P60" s="47">
        <f>IFERROR(__xludf.DUMMYFUNCTION("""COMPUTED_VALUE"""),811.0)</f>
        <v>811</v>
      </c>
      <c r="Q60" s="47">
        <f>IFERROR(__xludf.DUMMYFUNCTION("""COMPUTED_VALUE"""),811.0)</f>
        <v>811</v>
      </c>
      <c r="R60" s="47">
        <f>IFERROR(__xludf.DUMMYFUNCTION("""COMPUTED_VALUE"""),811.0)</f>
        <v>811</v>
      </c>
      <c r="S60" s="47">
        <f>IFERROR(__xludf.DUMMYFUNCTION("""COMPUTED_VALUE"""),811.0)</f>
        <v>811</v>
      </c>
      <c r="T60" s="47">
        <f>IFERROR(__xludf.DUMMYFUNCTION("""COMPUTED_VALUE"""),811.0)</f>
        <v>811</v>
      </c>
      <c r="U60" s="47">
        <f>IFERROR(__xludf.DUMMYFUNCTION("""COMPUTED_VALUE"""),811.0)</f>
        <v>811</v>
      </c>
      <c r="V60" s="47">
        <f>IFERROR(__xludf.DUMMYFUNCTION("""COMPUTED_VALUE"""),811.0)</f>
        <v>811</v>
      </c>
      <c r="W60" s="47">
        <f>IFERROR(__xludf.DUMMYFUNCTION("""COMPUTED_VALUE"""),811.0)</f>
        <v>811</v>
      </c>
      <c r="X60" s="47">
        <f>IFERROR(__xludf.DUMMYFUNCTION("""COMPUTED_VALUE"""),811.0)</f>
        <v>811</v>
      </c>
      <c r="Y60" s="47">
        <f>IFERROR(__xludf.DUMMYFUNCTION("""COMPUTED_VALUE"""),811.0)</f>
        <v>811</v>
      </c>
      <c r="Z60" s="47">
        <f>IFERROR(__xludf.DUMMYFUNCTION("""COMPUTED_VALUE"""),811.0)</f>
        <v>811</v>
      </c>
      <c r="AA60" s="47">
        <f>IFERROR(__xludf.DUMMYFUNCTION("""COMPUTED_VALUE"""),811.0)</f>
        <v>811</v>
      </c>
      <c r="AB60" s="47">
        <f>IFERROR(__xludf.DUMMYFUNCTION("""COMPUTED_VALUE"""),9732.0)</f>
        <v>9732</v>
      </c>
    </row>
    <row r="61">
      <c r="B61" s="37"/>
      <c r="C61" s="37"/>
      <c r="D61" s="37"/>
      <c r="E61" s="37"/>
      <c r="F61" s="37"/>
      <c r="G61" s="37"/>
      <c r="H61" s="37"/>
      <c r="I61" s="37"/>
      <c r="J61" s="37" t="str">
        <f>IFERROR(__xludf.DUMMYFUNCTION("""COMPUTED_VALUE"""),"AICHMP02404075")</f>
        <v>AICHMP02404075</v>
      </c>
      <c r="K61" s="37" t="str">
        <f>IFERROR(__xludf.DUMMYFUNCTION("""COMPUTED_VALUE"""),"Macbook Pro")</f>
        <v>Macbook Pro</v>
      </c>
      <c r="L61" s="37" t="str">
        <f>IFERROR(__xludf.DUMMYFUNCTION("""COMPUTED_VALUE"""),"陳亮穎")</f>
        <v>陳亮穎</v>
      </c>
      <c r="M61" s="37" t="str">
        <f>IFERROR(__xludf.DUMMYFUNCTION("""COMPUTED_VALUE"""),"研發中心")</f>
        <v>研發中心</v>
      </c>
      <c r="N61" s="37" t="str">
        <f>IFERROR(__xludf.DUMMYFUNCTION("""COMPUTED_VALUE"""),"軟體工程部")</f>
        <v>軟體工程部</v>
      </c>
      <c r="O61" s="37" t="str">
        <f>IFERROR(__xludf.DUMMYFUNCTION("""COMPUTED_VALUE"""),"前端團隊")</f>
        <v>前端團隊</v>
      </c>
      <c r="P61" s="47">
        <f>IFERROR(__xludf.DUMMYFUNCTION("""COMPUTED_VALUE"""),2163.0)</f>
        <v>2163</v>
      </c>
      <c r="Q61" s="47">
        <f>IFERROR(__xludf.DUMMYFUNCTION("""COMPUTED_VALUE"""),2163.0)</f>
        <v>2163</v>
      </c>
      <c r="R61" s="47">
        <f>IFERROR(__xludf.DUMMYFUNCTION("""COMPUTED_VALUE"""),2163.0)</f>
        <v>2163</v>
      </c>
      <c r="S61" s="47">
        <f>IFERROR(__xludf.DUMMYFUNCTION("""COMPUTED_VALUE"""),2163.0)</f>
        <v>2163</v>
      </c>
      <c r="T61" s="47">
        <f>IFERROR(__xludf.DUMMYFUNCTION("""COMPUTED_VALUE"""),2163.0)</f>
        <v>2163</v>
      </c>
      <c r="U61" s="47">
        <f>IFERROR(__xludf.DUMMYFUNCTION("""COMPUTED_VALUE"""),2163.0)</f>
        <v>2163</v>
      </c>
      <c r="V61" s="47">
        <f>IFERROR(__xludf.DUMMYFUNCTION("""COMPUTED_VALUE"""),2163.0)</f>
        <v>2163</v>
      </c>
      <c r="W61" s="47">
        <f>IFERROR(__xludf.DUMMYFUNCTION("""COMPUTED_VALUE"""),2163.0)</f>
        <v>2163</v>
      </c>
      <c r="X61" s="47">
        <f>IFERROR(__xludf.DUMMYFUNCTION("""COMPUTED_VALUE"""),2163.0)</f>
        <v>2163</v>
      </c>
      <c r="Y61" s="47">
        <f>IFERROR(__xludf.DUMMYFUNCTION("""COMPUTED_VALUE"""),2163.0)</f>
        <v>2163</v>
      </c>
      <c r="Z61" s="47">
        <f>IFERROR(__xludf.DUMMYFUNCTION("""COMPUTED_VALUE"""),2163.0)</f>
        <v>2163</v>
      </c>
      <c r="AA61" s="47">
        <f>IFERROR(__xludf.DUMMYFUNCTION("""COMPUTED_VALUE"""),2163.0)</f>
        <v>2163</v>
      </c>
      <c r="AB61" s="47">
        <f>IFERROR(__xludf.DUMMYFUNCTION("""COMPUTED_VALUE"""),25956.0)</f>
        <v>25956</v>
      </c>
    </row>
    <row r="62">
      <c r="B62" s="37"/>
      <c r="C62" s="37"/>
      <c r="D62" s="37"/>
      <c r="E62" s="37"/>
      <c r="F62" s="37"/>
      <c r="G62" s="37"/>
      <c r="H62" s="37"/>
      <c r="I62" s="37"/>
      <c r="J62" s="37" t="str">
        <f>IFERROR(__xludf.DUMMYFUNCTION("""COMPUTED_VALUE"""),"AICHFU02404001")</f>
        <v>AICHFU02404001</v>
      </c>
      <c r="K62" s="37" t="str">
        <f>IFERROR(__xludf.DUMMYFUNCTION("""COMPUTED_VALUE"""),"升降桌146張")</f>
        <v>升降桌146張</v>
      </c>
      <c r="L62" s="37" t="str">
        <f>IFERROR(__xludf.DUMMYFUNCTION("""COMPUTED_VALUE"""),"陳韋如")</f>
        <v>陳韋如</v>
      </c>
      <c r="M62" s="37" t="str">
        <f>IFERROR(__xludf.DUMMYFUNCTION("""COMPUTED_VALUE"""),"管理中心")</f>
        <v>管理中心</v>
      </c>
      <c r="N62" s="37" t="str">
        <f>IFERROR(__xludf.DUMMYFUNCTION("""COMPUTED_VALUE"""),"行政總務部")</f>
        <v>行政總務部</v>
      </c>
      <c r="O62" s="37"/>
      <c r="P62" s="47">
        <f>IFERROR(__xludf.DUMMYFUNCTION("""COMPUTED_VALUE"""),33942.0)</f>
        <v>33942</v>
      </c>
      <c r="Q62" s="47">
        <f>IFERROR(__xludf.DUMMYFUNCTION("""COMPUTED_VALUE"""),33942.0)</f>
        <v>33942</v>
      </c>
      <c r="R62" s="47">
        <f>IFERROR(__xludf.DUMMYFUNCTION("""COMPUTED_VALUE"""),33942.0)</f>
        <v>33942</v>
      </c>
      <c r="S62" s="47">
        <f>IFERROR(__xludf.DUMMYFUNCTION("""COMPUTED_VALUE"""),33942.0)</f>
        <v>33942</v>
      </c>
      <c r="T62" s="47">
        <f>IFERROR(__xludf.DUMMYFUNCTION("""COMPUTED_VALUE"""),33942.0)</f>
        <v>33942</v>
      </c>
      <c r="U62" s="47">
        <f>IFERROR(__xludf.DUMMYFUNCTION("""COMPUTED_VALUE"""),33942.0)</f>
        <v>33942</v>
      </c>
      <c r="V62" s="47">
        <f>IFERROR(__xludf.DUMMYFUNCTION("""COMPUTED_VALUE"""),33942.0)</f>
        <v>33942</v>
      </c>
      <c r="W62" s="47">
        <f>IFERROR(__xludf.DUMMYFUNCTION("""COMPUTED_VALUE"""),33942.0)</f>
        <v>33942</v>
      </c>
      <c r="X62" s="47">
        <f>IFERROR(__xludf.DUMMYFUNCTION("""COMPUTED_VALUE"""),33942.0)</f>
        <v>33942</v>
      </c>
      <c r="Y62" s="47">
        <f>IFERROR(__xludf.DUMMYFUNCTION("""COMPUTED_VALUE"""),33942.0)</f>
        <v>33942</v>
      </c>
      <c r="Z62" s="47">
        <f>IFERROR(__xludf.DUMMYFUNCTION("""COMPUTED_VALUE"""),33942.0)</f>
        <v>33942</v>
      </c>
      <c r="AA62" s="47">
        <f>IFERROR(__xludf.DUMMYFUNCTION("""COMPUTED_VALUE"""),33942.0)</f>
        <v>33942</v>
      </c>
      <c r="AB62" s="47">
        <f>IFERROR(__xludf.DUMMYFUNCTION("""COMPUTED_VALUE"""),407304.0)</f>
        <v>407304</v>
      </c>
    </row>
    <row r="63">
      <c r="B63" s="37"/>
      <c r="C63" s="37"/>
      <c r="D63" s="37"/>
      <c r="E63" s="37"/>
      <c r="F63" s="37"/>
      <c r="G63" s="37"/>
      <c r="H63" s="37"/>
      <c r="I63" s="37"/>
      <c r="J63" s="37" t="str">
        <f>IFERROR(__xludf.DUMMYFUNCTION("""COMPUTED_VALUE"""),"AICHFU02404002")</f>
        <v>AICHFU02404002</v>
      </c>
      <c r="K63" s="37" t="str">
        <f>IFERROR(__xludf.DUMMYFUNCTION("""COMPUTED_VALUE"""),"辦公桌椅 110張")</f>
        <v>辦公桌椅 110張</v>
      </c>
      <c r="L63" s="37" t="str">
        <f>IFERROR(__xludf.DUMMYFUNCTION("""COMPUTED_VALUE"""),"陳韋如")</f>
        <v>陳韋如</v>
      </c>
      <c r="M63" s="37" t="str">
        <f>IFERROR(__xludf.DUMMYFUNCTION("""COMPUTED_VALUE"""),"管理中心")</f>
        <v>管理中心</v>
      </c>
      <c r="N63" s="37" t="str">
        <f>IFERROR(__xludf.DUMMYFUNCTION("""COMPUTED_VALUE"""),"行政總務部")</f>
        <v>行政總務部</v>
      </c>
      <c r="O63" s="37"/>
      <c r="P63" s="47">
        <f>IFERROR(__xludf.DUMMYFUNCTION("""COMPUTED_VALUE"""),6195.0)</f>
        <v>6195</v>
      </c>
      <c r="Q63" s="47">
        <f>IFERROR(__xludf.DUMMYFUNCTION("""COMPUTED_VALUE"""),6195.0)</f>
        <v>6195</v>
      </c>
      <c r="R63" s="47">
        <f>IFERROR(__xludf.DUMMYFUNCTION("""COMPUTED_VALUE"""),6195.0)</f>
        <v>6195</v>
      </c>
      <c r="S63" s="47">
        <f>IFERROR(__xludf.DUMMYFUNCTION("""COMPUTED_VALUE"""),6195.0)</f>
        <v>6195</v>
      </c>
      <c r="T63" s="47">
        <f>IFERROR(__xludf.DUMMYFUNCTION("""COMPUTED_VALUE"""),6195.0)</f>
        <v>6195</v>
      </c>
      <c r="U63" s="47">
        <f>IFERROR(__xludf.DUMMYFUNCTION("""COMPUTED_VALUE"""),6195.0)</f>
        <v>6195</v>
      </c>
      <c r="V63" s="47">
        <f>IFERROR(__xludf.DUMMYFUNCTION("""COMPUTED_VALUE"""),6195.0)</f>
        <v>6195</v>
      </c>
      <c r="W63" s="47">
        <f>IFERROR(__xludf.DUMMYFUNCTION("""COMPUTED_VALUE"""),6195.0)</f>
        <v>6195</v>
      </c>
      <c r="X63" s="47">
        <f>IFERROR(__xludf.DUMMYFUNCTION("""COMPUTED_VALUE"""),6195.0)</f>
        <v>6195</v>
      </c>
      <c r="Y63" s="47">
        <f>IFERROR(__xludf.DUMMYFUNCTION("""COMPUTED_VALUE"""),6195.0)</f>
        <v>6195</v>
      </c>
      <c r="Z63" s="47">
        <f>IFERROR(__xludf.DUMMYFUNCTION("""COMPUTED_VALUE"""),6195.0)</f>
        <v>6195</v>
      </c>
      <c r="AA63" s="47">
        <f>IFERROR(__xludf.DUMMYFUNCTION("""COMPUTED_VALUE"""),6195.0)</f>
        <v>6195</v>
      </c>
      <c r="AB63" s="47">
        <f>IFERROR(__xludf.DUMMYFUNCTION("""COMPUTED_VALUE"""),74340.0)</f>
        <v>74340</v>
      </c>
    </row>
    <row r="64">
      <c r="B64" s="37"/>
      <c r="C64" s="37"/>
      <c r="D64" s="37"/>
      <c r="E64" s="37"/>
      <c r="F64" s="37"/>
      <c r="G64" s="37"/>
      <c r="H64" s="37"/>
      <c r="I64" s="37"/>
      <c r="J64" s="37" t="str">
        <f>IFERROR(__xludf.DUMMYFUNCTION("""COMPUTED_VALUE"""),"AICHIP02404099")</f>
        <v>AICHIP02404099</v>
      </c>
      <c r="K64" s="37" t="str">
        <f>IFERROR(__xludf.DUMMYFUNCTION("""COMPUTED_VALUE"""),"1 台 iPad")</f>
        <v>1 台 iPad</v>
      </c>
      <c r="L64" s="37" t="str">
        <f>IFERROR(__xludf.DUMMYFUNCTION("""COMPUTED_VALUE"""),"王壯為")</f>
        <v>王壯為</v>
      </c>
      <c r="M64" s="37" t="str">
        <f>IFERROR(__xludf.DUMMYFUNCTION("""COMPUTED_VALUE"""),"管理中心")</f>
        <v>管理中心</v>
      </c>
      <c r="N64" s="37" t="str">
        <f>IFERROR(__xludf.DUMMYFUNCTION("""COMPUTED_VALUE"""),"資訊部")</f>
        <v>資訊部</v>
      </c>
      <c r="O64" s="37"/>
      <c r="P64" s="47">
        <f>IFERROR(__xludf.DUMMYFUNCTION("""COMPUTED_VALUE"""),275.0)</f>
        <v>275</v>
      </c>
      <c r="Q64" s="47">
        <f>IFERROR(__xludf.DUMMYFUNCTION("""COMPUTED_VALUE"""),275.0)</f>
        <v>275</v>
      </c>
      <c r="R64" s="47">
        <f>IFERROR(__xludf.DUMMYFUNCTION("""COMPUTED_VALUE"""),275.0)</f>
        <v>275</v>
      </c>
      <c r="S64" s="47">
        <f>IFERROR(__xludf.DUMMYFUNCTION("""COMPUTED_VALUE"""),275.0)</f>
        <v>275</v>
      </c>
      <c r="T64" s="47">
        <f>IFERROR(__xludf.DUMMYFUNCTION("""COMPUTED_VALUE"""),275.0)</f>
        <v>275</v>
      </c>
      <c r="U64" s="47">
        <f>IFERROR(__xludf.DUMMYFUNCTION("""COMPUTED_VALUE"""),275.0)</f>
        <v>275</v>
      </c>
      <c r="V64" s="47">
        <f>IFERROR(__xludf.DUMMYFUNCTION("""COMPUTED_VALUE"""),275.0)</f>
        <v>275</v>
      </c>
      <c r="W64" s="47">
        <f>IFERROR(__xludf.DUMMYFUNCTION("""COMPUTED_VALUE"""),275.0)</f>
        <v>275</v>
      </c>
      <c r="X64" s="47">
        <f>IFERROR(__xludf.DUMMYFUNCTION("""COMPUTED_VALUE"""),275.0)</f>
        <v>275</v>
      </c>
      <c r="Y64" s="47">
        <f>IFERROR(__xludf.DUMMYFUNCTION("""COMPUTED_VALUE"""),275.0)</f>
        <v>275</v>
      </c>
      <c r="Z64" s="47">
        <f>IFERROR(__xludf.DUMMYFUNCTION("""COMPUTED_VALUE"""),275.0)</f>
        <v>275</v>
      </c>
      <c r="AA64" s="47">
        <f>IFERROR(__xludf.DUMMYFUNCTION("""COMPUTED_VALUE"""),275.0)</f>
        <v>275</v>
      </c>
      <c r="AB64" s="47">
        <f>IFERROR(__xludf.DUMMYFUNCTION("""COMPUTED_VALUE"""),3300.0)</f>
        <v>3300</v>
      </c>
    </row>
    <row r="65">
      <c r="B65" s="37"/>
      <c r="C65" s="37"/>
      <c r="D65" s="37"/>
      <c r="E65" s="37"/>
      <c r="F65" s="37"/>
      <c r="G65" s="37"/>
      <c r="H65" s="37"/>
      <c r="I65" s="37"/>
      <c r="J65" s="37" t="str">
        <f>IFERROR(__xludf.DUMMYFUNCTION("""COMPUTED_VALUE"""),"AICHIP02404100")</f>
        <v>AICHIP02404100</v>
      </c>
      <c r="K65" s="37" t="str">
        <f>IFERROR(__xludf.DUMMYFUNCTION("""COMPUTED_VALUE"""),"1 台 iPad")</f>
        <v>1 台 iPad</v>
      </c>
      <c r="L65" s="37" t="str">
        <f>IFERROR(__xludf.DUMMYFUNCTION("""COMPUTED_VALUE"""),"劉貞妘")</f>
        <v>劉貞妘</v>
      </c>
      <c r="M65" s="37" t="str">
        <f>IFERROR(__xludf.DUMMYFUNCTION("""COMPUTED_VALUE"""),"行銷營運中心")</f>
        <v>行銷營運中心</v>
      </c>
      <c r="N65" s="37" t="str">
        <f>IFERROR(__xludf.DUMMYFUNCTION("""COMPUTED_VALUE"""),"銷售營運部")</f>
        <v>銷售營運部</v>
      </c>
      <c r="O65" s="37" t="str">
        <f>IFERROR(__xludf.DUMMYFUNCTION("""COMPUTED_VALUE"""),"銷售顧問團隊")</f>
        <v>銷售顧問團隊</v>
      </c>
      <c r="P65" s="47">
        <f>IFERROR(__xludf.DUMMYFUNCTION("""COMPUTED_VALUE"""),275.0)</f>
        <v>275</v>
      </c>
      <c r="Q65" s="47">
        <f>IFERROR(__xludf.DUMMYFUNCTION("""COMPUTED_VALUE"""),275.0)</f>
        <v>275</v>
      </c>
      <c r="R65" s="47">
        <f>IFERROR(__xludf.DUMMYFUNCTION("""COMPUTED_VALUE"""),275.0)</f>
        <v>275</v>
      </c>
      <c r="S65" s="47">
        <f>IFERROR(__xludf.DUMMYFUNCTION("""COMPUTED_VALUE"""),275.0)</f>
        <v>275</v>
      </c>
      <c r="T65" s="47">
        <f>IFERROR(__xludf.DUMMYFUNCTION("""COMPUTED_VALUE"""),275.0)</f>
        <v>275</v>
      </c>
      <c r="U65" s="47">
        <f>IFERROR(__xludf.DUMMYFUNCTION("""COMPUTED_VALUE"""),275.0)</f>
        <v>275</v>
      </c>
      <c r="V65" s="47">
        <f>IFERROR(__xludf.DUMMYFUNCTION("""COMPUTED_VALUE"""),275.0)</f>
        <v>275</v>
      </c>
      <c r="W65" s="47">
        <f>IFERROR(__xludf.DUMMYFUNCTION("""COMPUTED_VALUE"""),275.0)</f>
        <v>275</v>
      </c>
      <c r="X65" s="47">
        <f>IFERROR(__xludf.DUMMYFUNCTION("""COMPUTED_VALUE"""),275.0)</f>
        <v>275</v>
      </c>
      <c r="Y65" s="47">
        <f>IFERROR(__xludf.DUMMYFUNCTION("""COMPUTED_VALUE"""),275.0)</f>
        <v>275</v>
      </c>
      <c r="Z65" s="47">
        <f>IFERROR(__xludf.DUMMYFUNCTION("""COMPUTED_VALUE"""),275.0)</f>
        <v>275</v>
      </c>
      <c r="AA65" s="47">
        <f>IFERROR(__xludf.DUMMYFUNCTION("""COMPUTED_VALUE"""),275.0)</f>
        <v>275</v>
      </c>
      <c r="AB65" s="47">
        <f>IFERROR(__xludf.DUMMYFUNCTION("""COMPUTED_VALUE"""),3300.0)</f>
        <v>3300</v>
      </c>
    </row>
    <row r="66">
      <c r="B66" s="37"/>
      <c r="C66" s="37"/>
      <c r="D66" s="37"/>
      <c r="E66" s="37"/>
      <c r="F66" s="37"/>
      <c r="G66" s="37"/>
      <c r="H66" s="37"/>
      <c r="I66" s="37"/>
      <c r="J66" s="37" t="str">
        <f>IFERROR(__xludf.DUMMYFUNCTION("""COMPUTED_VALUE"""),"AICHIP02404101")</f>
        <v>AICHIP02404101</v>
      </c>
      <c r="K66" s="37" t="str">
        <f>IFERROR(__xludf.DUMMYFUNCTION("""COMPUTED_VALUE"""),"1 台 iPad")</f>
        <v>1 台 iPad</v>
      </c>
      <c r="L66" s="37" t="str">
        <f>IFERROR(__xludf.DUMMYFUNCTION("""COMPUTED_VALUE"""),"韓庚祐")</f>
        <v>韓庚祐</v>
      </c>
      <c r="M66" s="37" t="str">
        <f>IFERROR(__xludf.DUMMYFUNCTION("""COMPUTED_VALUE"""),"行銷營運中心")</f>
        <v>行銷營運中心</v>
      </c>
      <c r="N66" s="37" t="str">
        <f>IFERROR(__xludf.DUMMYFUNCTION("""COMPUTED_VALUE"""),"銷售營運部")</f>
        <v>銷售營運部</v>
      </c>
      <c r="O66" s="37" t="str">
        <f>IFERROR(__xludf.DUMMYFUNCTION("""COMPUTED_VALUE"""),"客戶導入團隊")</f>
        <v>客戶導入團隊</v>
      </c>
      <c r="P66" s="47">
        <f>IFERROR(__xludf.DUMMYFUNCTION("""COMPUTED_VALUE"""),275.0)</f>
        <v>275</v>
      </c>
      <c r="Q66" s="47">
        <f>IFERROR(__xludf.DUMMYFUNCTION("""COMPUTED_VALUE"""),275.0)</f>
        <v>275</v>
      </c>
      <c r="R66" s="47">
        <f>IFERROR(__xludf.DUMMYFUNCTION("""COMPUTED_VALUE"""),275.0)</f>
        <v>275</v>
      </c>
      <c r="S66" s="47">
        <f>IFERROR(__xludf.DUMMYFUNCTION("""COMPUTED_VALUE"""),275.0)</f>
        <v>275</v>
      </c>
      <c r="T66" s="47">
        <f>IFERROR(__xludf.DUMMYFUNCTION("""COMPUTED_VALUE"""),275.0)</f>
        <v>275</v>
      </c>
      <c r="U66" s="47">
        <f>IFERROR(__xludf.DUMMYFUNCTION("""COMPUTED_VALUE"""),275.0)</f>
        <v>275</v>
      </c>
      <c r="V66" s="47">
        <f>IFERROR(__xludf.DUMMYFUNCTION("""COMPUTED_VALUE"""),275.0)</f>
        <v>275</v>
      </c>
      <c r="W66" s="47">
        <f>IFERROR(__xludf.DUMMYFUNCTION("""COMPUTED_VALUE"""),275.0)</f>
        <v>275</v>
      </c>
      <c r="X66" s="47">
        <f>IFERROR(__xludf.DUMMYFUNCTION("""COMPUTED_VALUE"""),275.0)</f>
        <v>275</v>
      </c>
      <c r="Y66" s="47">
        <f>IFERROR(__xludf.DUMMYFUNCTION("""COMPUTED_VALUE"""),275.0)</f>
        <v>275</v>
      </c>
      <c r="Z66" s="47">
        <f>IFERROR(__xludf.DUMMYFUNCTION("""COMPUTED_VALUE"""),275.0)</f>
        <v>275</v>
      </c>
      <c r="AA66" s="47">
        <f>IFERROR(__xludf.DUMMYFUNCTION("""COMPUTED_VALUE"""),275.0)</f>
        <v>275</v>
      </c>
      <c r="AB66" s="47">
        <f>IFERROR(__xludf.DUMMYFUNCTION("""COMPUTED_VALUE"""),3300.0)</f>
        <v>3300</v>
      </c>
    </row>
    <row r="67">
      <c r="B67" s="37"/>
      <c r="C67" s="37"/>
      <c r="D67" s="37"/>
      <c r="E67" s="37"/>
      <c r="F67" s="37"/>
      <c r="G67" s="37"/>
      <c r="H67" s="37"/>
      <c r="I67" s="37"/>
      <c r="J67" s="37" t="str">
        <f>IFERROR(__xludf.DUMMYFUNCTION("""COMPUTED_VALUE"""),"AICHMA02405068")</f>
        <v>AICHMA02405068</v>
      </c>
      <c r="K67" s="37" t="str">
        <f>IFERROR(__xludf.DUMMYFUNCTION("""COMPUTED_VALUE"""),"Macbook Air 15""")</f>
        <v>Macbook Air 15"</v>
      </c>
      <c r="L67" s="37" t="str">
        <f>IFERROR(__xludf.DUMMYFUNCTION("""COMPUTED_VALUE"""),"簡士鈞")</f>
        <v>簡士鈞</v>
      </c>
      <c r="M67" s="37" t="str">
        <f>IFERROR(__xludf.DUMMYFUNCTION("""COMPUTED_VALUE"""),"管理中心")</f>
        <v>管理中心</v>
      </c>
      <c r="N67" s="37" t="str">
        <f>IFERROR(__xludf.DUMMYFUNCTION("""COMPUTED_VALUE"""),"人資部")</f>
        <v>人資部</v>
      </c>
      <c r="O67" s="37" t="str">
        <f>IFERROR(__xludf.DUMMYFUNCTION("""COMPUTED_VALUE"""),"人資團隊")</f>
        <v>人資團隊</v>
      </c>
      <c r="P67" s="47">
        <f>IFERROR(__xludf.DUMMYFUNCTION("""COMPUTED_VALUE"""),1206.0)</f>
        <v>1206</v>
      </c>
      <c r="Q67" s="47">
        <f>IFERROR(__xludf.DUMMYFUNCTION("""COMPUTED_VALUE"""),1206.0)</f>
        <v>1206</v>
      </c>
      <c r="R67" s="47">
        <f>IFERROR(__xludf.DUMMYFUNCTION("""COMPUTED_VALUE"""),1206.0)</f>
        <v>1206</v>
      </c>
      <c r="S67" s="47">
        <f>IFERROR(__xludf.DUMMYFUNCTION("""COMPUTED_VALUE"""),1206.0)</f>
        <v>1206</v>
      </c>
      <c r="T67" s="47">
        <f>IFERROR(__xludf.DUMMYFUNCTION("""COMPUTED_VALUE"""),1206.0)</f>
        <v>1206</v>
      </c>
      <c r="U67" s="47">
        <f>IFERROR(__xludf.DUMMYFUNCTION("""COMPUTED_VALUE"""),1206.0)</f>
        <v>1206</v>
      </c>
      <c r="V67" s="47">
        <f>IFERROR(__xludf.DUMMYFUNCTION("""COMPUTED_VALUE"""),1206.0)</f>
        <v>1206</v>
      </c>
      <c r="W67" s="47">
        <f>IFERROR(__xludf.DUMMYFUNCTION("""COMPUTED_VALUE"""),1206.0)</f>
        <v>1206</v>
      </c>
      <c r="X67" s="47">
        <f>IFERROR(__xludf.DUMMYFUNCTION("""COMPUTED_VALUE"""),1206.0)</f>
        <v>1206</v>
      </c>
      <c r="Y67" s="47">
        <f>IFERROR(__xludf.DUMMYFUNCTION("""COMPUTED_VALUE"""),1206.0)</f>
        <v>1206</v>
      </c>
      <c r="Z67" s="47">
        <f>IFERROR(__xludf.DUMMYFUNCTION("""COMPUTED_VALUE"""),1206.0)</f>
        <v>1206</v>
      </c>
      <c r="AA67" s="47">
        <f>IFERROR(__xludf.DUMMYFUNCTION("""COMPUTED_VALUE"""),1206.0)</f>
        <v>1206</v>
      </c>
      <c r="AB67" s="47">
        <f>IFERROR(__xludf.DUMMYFUNCTION("""COMPUTED_VALUE"""),14472.0)</f>
        <v>14472</v>
      </c>
    </row>
    <row r="68">
      <c r="B68" s="37"/>
      <c r="C68" s="37"/>
      <c r="D68" s="37"/>
      <c r="E68" s="37"/>
      <c r="F68" s="37"/>
      <c r="G68" s="37"/>
      <c r="H68" s="37"/>
      <c r="I68" s="37"/>
      <c r="J68" s="37" t="str">
        <f>IFERROR(__xludf.DUMMYFUNCTION("""COMPUTED_VALUE"""),"AICHMA02405069")</f>
        <v>AICHMA02405069</v>
      </c>
      <c r="K68" s="37" t="str">
        <f>IFERROR(__xludf.DUMMYFUNCTION("""COMPUTED_VALUE"""),"Macbook Air")</f>
        <v>Macbook Air</v>
      </c>
      <c r="L68" s="37" t="str">
        <f>IFERROR(__xludf.DUMMYFUNCTION("""COMPUTED_VALUE"""),"許裴宸")</f>
        <v>許裴宸</v>
      </c>
      <c r="M68" s="37" t="str">
        <f>IFERROR(__xludf.DUMMYFUNCTION("""COMPUTED_VALUE"""),"客戶價值中心")</f>
        <v>客戶價值中心</v>
      </c>
      <c r="N68" s="37" t="str">
        <f>IFERROR(__xludf.DUMMYFUNCTION("""COMPUTED_VALUE"""),"客戶關係管理部")</f>
        <v>客戶關係管理部</v>
      </c>
      <c r="O68" s="37" t="str">
        <f>IFERROR(__xludf.DUMMYFUNCTION("""COMPUTED_VALUE"""),"續約管理團隊")</f>
        <v>續約管理團隊</v>
      </c>
      <c r="P68" s="47">
        <f>IFERROR(__xludf.DUMMYFUNCTION("""COMPUTED_VALUE"""),1031.0)</f>
        <v>1031</v>
      </c>
      <c r="Q68" s="47">
        <f>IFERROR(__xludf.DUMMYFUNCTION("""COMPUTED_VALUE"""),1031.0)</f>
        <v>1031</v>
      </c>
      <c r="R68" s="47">
        <f>IFERROR(__xludf.DUMMYFUNCTION("""COMPUTED_VALUE"""),1031.0)</f>
        <v>1031</v>
      </c>
      <c r="S68" s="47">
        <f>IFERROR(__xludf.DUMMYFUNCTION("""COMPUTED_VALUE"""),1031.0)</f>
        <v>1031</v>
      </c>
      <c r="T68" s="47">
        <f>IFERROR(__xludf.DUMMYFUNCTION("""COMPUTED_VALUE"""),1031.0)</f>
        <v>1031</v>
      </c>
      <c r="U68" s="47">
        <f>IFERROR(__xludf.DUMMYFUNCTION("""COMPUTED_VALUE"""),1031.0)</f>
        <v>1031</v>
      </c>
      <c r="V68" s="47">
        <f>IFERROR(__xludf.DUMMYFUNCTION("""COMPUTED_VALUE"""),1031.0)</f>
        <v>1031</v>
      </c>
      <c r="W68" s="47">
        <f>IFERROR(__xludf.DUMMYFUNCTION("""COMPUTED_VALUE"""),1031.0)</f>
        <v>1031</v>
      </c>
      <c r="X68" s="47">
        <f>IFERROR(__xludf.DUMMYFUNCTION("""COMPUTED_VALUE"""),1031.0)</f>
        <v>1031</v>
      </c>
      <c r="Y68" s="47">
        <f>IFERROR(__xludf.DUMMYFUNCTION("""COMPUTED_VALUE"""),1031.0)</f>
        <v>1031</v>
      </c>
      <c r="Z68" s="47">
        <f>IFERROR(__xludf.DUMMYFUNCTION("""COMPUTED_VALUE"""),1031.0)</f>
        <v>1031</v>
      </c>
      <c r="AA68" s="47">
        <f>IFERROR(__xludf.DUMMYFUNCTION("""COMPUTED_VALUE"""),1031.0)</f>
        <v>1031</v>
      </c>
      <c r="AB68" s="47">
        <f>IFERROR(__xludf.DUMMYFUNCTION("""COMPUTED_VALUE"""),12372.0)</f>
        <v>12372</v>
      </c>
    </row>
    <row r="69">
      <c r="B69" s="37"/>
      <c r="C69" s="37"/>
      <c r="D69" s="37"/>
      <c r="E69" s="37"/>
      <c r="F69" s="37"/>
      <c r="G69" s="37"/>
      <c r="H69" s="37"/>
      <c r="I69" s="37"/>
      <c r="J69" s="37" t="str">
        <f>IFERROR(__xludf.DUMMYFUNCTION("""COMPUTED_VALUE"""),"AICHMA02405070")</f>
        <v>AICHMA02405070</v>
      </c>
      <c r="K69" s="37" t="str">
        <f>IFERROR(__xludf.DUMMYFUNCTION("""COMPUTED_VALUE"""),"Macbook Air")</f>
        <v>Macbook Air</v>
      </c>
      <c r="L69" s="37" t="str">
        <f>IFERROR(__xludf.DUMMYFUNCTION("""COMPUTED_VALUE"""),"楊為方")</f>
        <v>楊為方</v>
      </c>
      <c r="M69" s="37" t="str">
        <f>IFERROR(__xludf.DUMMYFUNCTION("""COMPUTED_VALUE"""),"行銷營運中心")</f>
        <v>行銷營運中心</v>
      </c>
      <c r="N69" s="37" t="str">
        <f>IFERROR(__xludf.DUMMYFUNCTION("""COMPUTED_VALUE"""),"產品行銷部")</f>
        <v>產品行銷部</v>
      </c>
      <c r="O69" s="37" t="str">
        <f>IFERROR(__xludf.DUMMYFUNCTION("""COMPUTED_VALUE"""),"產品品牌團隊")</f>
        <v>產品品牌團隊</v>
      </c>
      <c r="P69" s="47">
        <f>IFERROR(__xludf.DUMMYFUNCTION("""COMPUTED_VALUE"""),1033.0)</f>
        <v>1033</v>
      </c>
      <c r="Q69" s="47">
        <f>IFERROR(__xludf.DUMMYFUNCTION("""COMPUTED_VALUE"""),1033.0)</f>
        <v>1033</v>
      </c>
      <c r="R69" s="47">
        <f>IFERROR(__xludf.DUMMYFUNCTION("""COMPUTED_VALUE"""),1033.0)</f>
        <v>1033</v>
      </c>
      <c r="S69" s="47">
        <f>IFERROR(__xludf.DUMMYFUNCTION("""COMPUTED_VALUE"""),1033.0)</f>
        <v>1033</v>
      </c>
      <c r="T69" s="47">
        <f>IFERROR(__xludf.DUMMYFUNCTION("""COMPUTED_VALUE"""),1033.0)</f>
        <v>1033</v>
      </c>
      <c r="U69" s="47">
        <f>IFERROR(__xludf.DUMMYFUNCTION("""COMPUTED_VALUE"""),1033.0)</f>
        <v>1033</v>
      </c>
      <c r="V69" s="47">
        <f>IFERROR(__xludf.DUMMYFUNCTION("""COMPUTED_VALUE"""),1033.0)</f>
        <v>1033</v>
      </c>
      <c r="W69" s="47">
        <f>IFERROR(__xludf.DUMMYFUNCTION("""COMPUTED_VALUE"""),1033.0)</f>
        <v>1033</v>
      </c>
      <c r="X69" s="47">
        <f>IFERROR(__xludf.DUMMYFUNCTION("""COMPUTED_VALUE"""),1033.0)</f>
        <v>1033</v>
      </c>
      <c r="Y69" s="47">
        <f>IFERROR(__xludf.DUMMYFUNCTION("""COMPUTED_VALUE"""),1033.0)</f>
        <v>1033</v>
      </c>
      <c r="Z69" s="47">
        <f>IFERROR(__xludf.DUMMYFUNCTION("""COMPUTED_VALUE"""),1033.0)</f>
        <v>1033</v>
      </c>
      <c r="AA69" s="47">
        <f>IFERROR(__xludf.DUMMYFUNCTION("""COMPUTED_VALUE"""),1033.0)</f>
        <v>1033</v>
      </c>
      <c r="AB69" s="47">
        <f>IFERROR(__xludf.DUMMYFUNCTION("""COMPUTED_VALUE"""),12396.0)</f>
        <v>12396</v>
      </c>
    </row>
    <row r="70">
      <c r="B70" s="37"/>
      <c r="C70" s="37"/>
      <c r="D70" s="37"/>
      <c r="E70" s="37"/>
      <c r="F70" s="37"/>
      <c r="G70" s="37"/>
      <c r="H70" s="37"/>
      <c r="I70" s="37"/>
      <c r="J70" s="37" t="str">
        <f>IFERROR(__xludf.DUMMYFUNCTION("""COMPUTED_VALUE"""),"AICHMA02405071")</f>
        <v>AICHMA02405071</v>
      </c>
      <c r="K70" s="37" t="str">
        <f>IFERROR(__xludf.DUMMYFUNCTION("""COMPUTED_VALUE"""),"Macbook Air")</f>
        <v>Macbook Air</v>
      </c>
      <c r="L70" s="37" t="str">
        <f>IFERROR(__xludf.DUMMYFUNCTION("""COMPUTED_VALUE"""),"黃詩婷")</f>
        <v>黃詩婷</v>
      </c>
      <c r="M70" s="37" t="str">
        <f>IFERROR(__xludf.DUMMYFUNCTION("""COMPUTED_VALUE"""),"管理中心")</f>
        <v>管理中心</v>
      </c>
      <c r="N70" s="37" t="str">
        <f>IFERROR(__xludf.DUMMYFUNCTION("""COMPUTED_VALUE"""),"法務部")</f>
        <v>法務部</v>
      </c>
      <c r="O70" s="37" t="str">
        <f>IFERROR(__xludf.DUMMYFUNCTION("""COMPUTED_VALUE"""),"法務團隊")</f>
        <v>法務團隊</v>
      </c>
      <c r="P70" s="47">
        <f>IFERROR(__xludf.DUMMYFUNCTION("""COMPUTED_VALUE"""),811.0)</f>
        <v>811</v>
      </c>
      <c r="Q70" s="47">
        <f>IFERROR(__xludf.DUMMYFUNCTION("""COMPUTED_VALUE"""),811.0)</f>
        <v>811</v>
      </c>
      <c r="R70" s="47">
        <f>IFERROR(__xludf.DUMMYFUNCTION("""COMPUTED_VALUE"""),811.0)</f>
        <v>811</v>
      </c>
      <c r="S70" s="47">
        <f>IFERROR(__xludf.DUMMYFUNCTION("""COMPUTED_VALUE"""),811.0)</f>
        <v>811</v>
      </c>
      <c r="T70" s="47">
        <f>IFERROR(__xludf.DUMMYFUNCTION("""COMPUTED_VALUE"""),811.0)</f>
        <v>811</v>
      </c>
      <c r="U70" s="47">
        <f>IFERROR(__xludf.DUMMYFUNCTION("""COMPUTED_VALUE"""),811.0)</f>
        <v>811</v>
      </c>
      <c r="V70" s="47">
        <f>IFERROR(__xludf.DUMMYFUNCTION("""COMPUTED_VALUE"""),811.0)</f>
        <v>811</v>
      </c>
      <c r="W70" s="47">
        <f>IFERROR(__xludf.DUMMYFUNCTION("""COMPUTED_VALUE"""),811.0)</f>
        <v>811</v>
      </c>
      <c r="X70" s="47">
        <f>IFERROR(__xludf.DUMMYFUNCTION("""COMPUTED_VALUE"""),811.0)</f>
        <v>811</v>
      </c>
      <c r="Y70" s="47">
        <f>IFERROR(__xludf.DUMMYFUNCTION("""COMPUTED_VALUE"""),811.0)</f>
        <v>811</v>
      </c>
      <c r="Z70" s="47">
        <f>IFERROR(__xludf.DUMMYFUNCTION("""COMPUTED_VALUE"""),811.0)</f>
        <v>811</v>
      </c>
      <c r="AA70" s="47">
        <f>IFERROR(__xludf.DUMMYFUNCTION("""COMPUTED_VALUE"""),811.0)</f>
        <v>811</v>
      </c>
      <c r="AB70" s="47">
        <f>IFERROR(__xludf.DUMMYFUNCTION("""COMPUTED_VALUE"""),9732.0)</f>
        <v>9732</v>
      </c>
    </row>
    <row r="71">
      <c r="B71" s="37"/>
      <c r="C71" s="37"/>
      <c r="D71" s="37"/>
      <c r="E71" s="37"/>
      <c r="F71" s="37"/>
      <c r="G71" s="37"/>
      <c r="H71" s="37"/>
      <c r="I71" s="37"/>
      <c r="J71" s="37" t="str">
        <f>IFERROR(__xludf.DUMMYFUNCTION("""COMPUTED_VALUE"""),"AICHMA02405072")</f>
        <v>AICHMA02405072</v>
      </c>
      <c r="K71" s="37" t="str">
        <f>IFERROR(__xludf.DUMMYFUNCTION("""COMPUTED_VALUE"""),"Macbook Air")</f>
        <v>Macbook Air</v>
      </c>
      <c r="L71" s="37" t="str">
        <f>IFERROR(__xludf.DUMMYFUNCTION("""COMPUTED_VALUE"""),"李艾凌")</f>
        <v>李艾凌</v>
      </c>
      <c r="M71" s="37" t="str">
        <f>IFERROR(__xludf.DUMMYFUNCTION("""COMPUTED_VALUE"""),"行銷營運中心")</f>
        <v>行銷營運中心</v>
      </c>
      <c r="N71" s="37" t="str">
        <f>IFERROR(__xludf.DUMMYFUNCTION("""COMPUTED_VALUE"""),"銷售營運部")</f>
        <v>銷售營運部</v>
      </c>
      <c r="O71" s="37" t="str">
        <f>IFERROR(__xludf.DUMMYFUNCTION("""COMPUTED_VALUE"""),"銷售顧問團隊")</f>
        <v>銷售顧問團隊</v>
      </c>
      <c r="P71" s="47">
        <f>IFERROR(__xludf.DUMMYFUNCTION("""COMPUTED_VALUE"""),811.0)</f>
        <v>811</v>
      </c>
      <c r="Q71" s="47">
        <f>IFERROR(__xludf.DUMMYFUNCTION("""COMPUTED_VALUE"""),811.0)</f>
        <v>811</v>
      </c>
      <c r="R71" s="47">
        <f>IFERROR(__xludf.DUMMYFUNCTION("""COMPUTED_VALUE"""),811.0)</f>
        <v>811</v>
      </c>
      <c r="S71" s="47">
        <f>IFERROR(__xludf.DUMMYFUNCTION("""COMPUTED_VALUE"""),811.0)</f>
        <v>811</v>
      </c>
      <c r="T71" s="47">
        <f>IFERROR(__xludf.DUMMYFUNCTION("""COMPUTED_VALUE"""),811.0)</f>
        <v>811</v>
      </c>
      <c r="U71" s="47">
        <f>IFERROR(__xludf.DUMMYFUNCTION("""COMPUTED_VALUE"""),811.0)</f>
        <v>811</v>
      </c>
      <c r="V71" s="47">
        <f>IFERROR(__xludf.DUMMYFUNCTION("""COMPUTED_VALUE"""),811.0)</f>
        <v>811</v>
      </c>
      <c r="W71" s="47">
        <f>IFERROR(__xludf.DUMMYFUNCTION("""COMPUTED_VALUE"""),811.0)</f>
        <v>811</v>
      </c>
      <c r="X71" s="47">
        <f>IFERROR(__xludf.DUMMYFUNCTION("""COMPUTED_VALUE"""),811.0)</f>
        <v>811</v>
      </c>
      <c r="Y71" s="47">
        <f>IFERROR(__xludf.DUMMYFUNCTION("""COMPUTED_VALUE"""),811.0)</f>
        <v>811</v>
      </c>
      <c r="Z71" s="47">
        <f>IFERROR(__xludf.DUMMYFUNCTION("""COMPUTED_VALUE"""),811.0)</f>
        <v>811</v>
      </c>
      <c r="AA71" s="47">
        <f>IFERROR(__xludf.DUMMYFUNCTION("""COMPUTED_VALUE"""),811.0)</f>
        <v>811</v>
      </c>
      <c r="AB71" s="47">
        <f>IFERROR(__xludf.DUMMYFUNCTION("""COMPUTED_VALUE"""),9732.0)</f>
        <v>9732</v>
      </c>
    </row>
    <row r="72">
      <c r="B72" s="37"/>
      <c r="C72" s="37"/>
      <c r="D72" s="37"/>
      <c r="E72" s="37"/>
      <c r="F72" s="37"/>
      <c r="G72" s="37"/>
      <c r="H72" s="37"/>
      <c r="I72" s="37"/>
      <c r="J72" s="37" t="str">
        <f>IFERROR(__xludf.DUMMYFUNCTION("""COMPUTED_VALUE"""),"AICHMA02405073")</f>
        <v>AICHMA02405073</v>
      </c>
      <c r="K72" s="37" t="str">
        <f>IFERROR(__xludf.DUMMYFUNCTION("""COMPUTED_VALUE"""),"Macbook Air")</f>
        <v>Macbook Air</v>
      </c>
      <c r="L72" s="37" t="str">
        <f>IFERROR(__xludf.DUMMYFUNCTION("""COMPUTED_VALUE"""),"韓庚祐")</f>
        <v>韓庚祐</v>
      </c>
      <c r="M72" s="37" t="str">
        <f>IFERROR(__xludf.DUMMYFUNCTION("""COMPUTED_VALUE"""),"行銷營運中心")</f>
        <v>行銷營運中心</v>
      </c>
      <c r="N72" s="37" t="str">
        <f>IFERROR(__xludf.DUMMYFUNCTION("""COMPUTED_VALUE"""),"銷售營運部")</f>
        <v>銷售營運部</v>
      </c>
      <c r="O72" s="37" t="str">
        <f>IFERROR(__xludf.DUMMYFUNCTION("""COMPUTED_VALUE"""),"客戶導入團隊")</f>
        <v>客戶導入團隊</v>
      </c>
      <c r="P72" s="47">
        <f>IFERROR(__xludf.DUMMYFUNCTION("""COMPUTED_VALUE"""),811.0)</f>
        <v>811</v>
      </c>
      <c r="Q72" s="47">
        <f>IFERROR(__xludf.DUMMYFUNCTION("""COMPUTED_VALUE"""),811.0)</f>
        <v>811</v>
      </c>
      <c r="R72" s="47">
        <f>IFERROR(__xludf.DUMMYFUNCTION("""COMPUTED_VALUE"""),811.0)</f>
        <v>811</v>
      </c>
      <c r="S72" s="47">
        <f>IFERROR(__xludf.DUMMYFUNCTION("""COMPUTED_VALUE"""),811.0)</f>
        <v>811</v>
      </c>
      <c r="T72" s="47">
        <f>IFERROR(__xludf.DUMMYFUNCTION("""COMPUTED_VALUE"""),811.0)</f>
        <v>811</v>
      </c>
      <c r="U72" s="47">
        <f>IFERROR(__xludf.DUMMYFUNCTION("""COMPUTED_VALUE"""),811.0)</f>
        <v>811</v>
      </c>
      <c r="V72" s="47">
        <f>IFERROR(__xludf.DUMMYFUNCTION("""COMPUTED_VALUE"""),811.0)</f>
        <v>811</v>
      </c>
      <c r="W72" s="47">
        <f>IFERROR(__xludf.DUMMYFUNCTION("""COMPUTED_VALUE"""),811.0)</f>
        <v>811</v>
      </c>
      <c r="X72" s="47">
        <f>IFERROR(__xludf.DUMMYFUNCTION("""COMPUTED_VALUE"""),811.0)</f>
        <v>811</v>
      </c>
      <c r="Y72" s="47">
        <f>IFERROR(__xludf.DUMMYFUNCTION("""COMPUTED_VALUE"""),811.0)</f>
        <v>811</v>
      </c>
      <c r="Z72" s="47">
        <f>IFERROR(__xludf.DUMMYFUNCTION("""COMPUTED_VALUE"""),811.0)</f>
        <v>811</v>
      </c>
      <c r="AA72" s="47">
        <f>IFERROR(__xludf.DUMMYFUNCTION("""COMPUTED_VALUE"""),811.0)</f>
        <v>811</v>
      </c>
      <c r="AB72" s="47">
        <f>IFERROR(__xludf.DUMMYFUNCTION("""COMPUTED_VALUE"""),9732.0)</f>
        <v>9732</v>
      </c>
    </row>
    <row r="73">
      <c r="B73" s="37"/>
      <c r="C73" s="37"/>
      <c r="D73" s="37"/>
      <c r="E73" s="37"/>
      <c r="F73" s="37"/>
      <c r="G73" s="37"/>
      <c r="H73" s="37"/>
      <c r="I73" s="37"/>
      <c r="J73" s="37" t="str">
        <f>IFERROR(__xludf.DUMMYFUNCTION("""COMPUTED_VALUE"""),"AICHMA02405074")</f>
        <v>AICHMA02405074</v>
      </c>
      <c r="K73" s="37" t="str">
        <f>IFERROR(__xludf.DUMMYFUNCTION("""COMPUTED_VALUE"""),"Macbook Air")</f>
        <v>Macbook Air</v>
      </c>
      <c r="L73" s="37" t="str">
        <f>IFERROR(__xludf.DUMMYFUNCTION("""COMPUTED_VALUE"""),"劉貞妘")</f>
        <v>劉貞妘</v>
      </c>
      <c r="M73" s="37" t="str">
        <f>IFERROR(__xludf.DUMMYFUNCTION("""COMPUTED_VALUE"""),"行銷營運中心")</f>
        <v>行銷營運中心</v>
      </c>
      <c r="N73" s="37" t="str">
        <f>IFERROR(__xludf.DUMMYFUNCTION("""COMPUTED_VALUE"""),"銷售營運部")</f>
        <v>銷售營運部</v>
      </c>
      <c r="O73" s="37" t="str">
        <f>IFERROR(__xludf.DUMMYFUNCTION("""COMPUTED_VALUE"""),"銷售顧問團隊")</f>
        <v>銷售顧問團隊</v>
      </c>
      <c r="P73" s="47">
        <f>IFERROR(__xludf.DUMMYFUNCTION("""COMPUTED_VALUE"""),811.0)</f>
        <v>811</v>
      </c>
      <c r="Q73" s="47">
        <f>IFERROR(__xludf.DUMMYFUNCTION("""COMPUTED_VALUE"""),811.0)</f>
        <v>811</v>
      </c>
      <c r="R73" s="47">
        <f>IFERROR(__xludf.DUMMYFUNCTION("""COMPUTED_VALUE"""),811.0)</f>
        <v>811</v>
      </c>
      <c r="S73" s="47">
        <f>IFERROR(__xludf.DUMMYFUNCTION("""COMPUTED_VALUE"""),811.0)</f>
        <v>811</v>
      </c>
      <c r="T73" s="47">
        <f>IFERROR(__xludf.DUMMYFUNCTION("""COMPUTED_VALUE"""),811.0)</f>
        <v>811</v>
      </c>
      <c r="U73" s="47">
        <f>IFERROR(__xludf.DUMMYFUNCTION("""COMPUTED_VALUE"""),811.0)</f>
        <v>811</v>
      </c>
      <c r="V73" s="47">
        <f>IFERROR(__xludf.DUMMYFUNCTION("""COMPUTED_VALUE"""),811.0)</f>
        <v>811</v>
      </c>
      <c r="W73" s="47">
        <f>IFERROR(__xludf.DUMMYFUNCTION("""COMPUTED_VALUE"""),811.0)</f>
        <v>811</v>
      </c>
      <c r="X73" s="47">
        <f>IFERROR(__xludf.DUMMYFUNCTION("""COMPUTED_VALUE"""),811.0)</f>
        <v>811</v>
      </c>
      <c r="Y73" s="47">
        <f>IFERROR(__xludf.DUMMYFUNCTION("""COMPUTED_VALUE"""),811.0)</f>
        <v>811</v>
      </c>
      <c r="Z73" s="47">
        <f>IFERROR(__xludf.DUMMYFUNCTION("""COMPUTED_VALUE"""),811.0)</f>
        <v>811</v>
      </c>
      <c r="AA73" s="47">
        <f>IFERROR(__xludf.DUMMYFUNCTION("""COMPUTED_VALUE"""),811.0)</f>
        <v>811</v>
      </c>
      <c r="AB73" s="47">
        <f>IFERROR(__xludf.DUMMYFUNCTION("""COMPUTED_VALUE"""),9732.0)</f>
        <v>9732</v>
      </c>
    </row>
    <row r="74">
      <c r="B74" s="37"/>
      <c r="C74" s="37"/>
      <c r="D74" s="37"/>
      <c r="E74" s="37"/>
      <c r="F74" s="37"/>
      <c r="G74" s="37"/>
      <c r="H74" s="37"/>
      <c r="I74" s="37"/>
      <c r="J74" s="37" t="str">
        <f>IFERROR(__xludf.DUMMYFUNCTION("""COMPUTED_VALUE"""),"AICHIP02406102")</f>
        <v>AICHIP02406102</v>
      </c>
      <c r="K74" s="37" t="str">
        <f>IFERROR(__xludf.DUMMYFUNCTION("""COMPUTED_VALUE"""),"APPLE MPQ03TA/A 10.9-inch iPad Wi-Fi 64G")</f>
        <v>APPLE MPQ03TA/A 10.9-inch iPad Wi-Fi 64G</v>
      </c>
      <c r="L74" s="37" t="str">
        <f>IFERROR(__xludf.DUMMYFUNCTION("""COMPUTED_VALUE"""),"李菩綾")</f>
        <v>李菩綾</v>
      </c>
      <c r="M74" s="37" t="str">
        <f>IFERROR(__xludf.DUMMYFUNCTION("""COMPUTED_VALUE"""),"客戶價值中心")</f>
        <v>客戶價值中心</v>
      </c>
      <c r="N74" s="37" t="str">
        <f>IFERROR(__xludf.DUMMYFUNCTION("""COMPUTED_VALUE"""),"客戶關係管理部")</f>
        <v>客戶關係管理部</v>
      </c>
      <c r="O74" s="37" t="str">
        <f>IFERROR(__xludf.DUMMYFUNCTION("""COMPUTED_VALUE"""),"客服團隊  客立樂顧問/Oversea")</f>
        <v>客服團隊  客立樂顧問/Oversea</v>
      </c>
      <c r="P74" s="47">
        <f>IFERROR(__xludf.DUMMYFUNCTION("""COMPUTED_VALUE"""),294.0)</f>
        <v>294</v>
      </c>
      <c r="Q74" s="47">
        <f>IFERROR(__xludf.DUMMYFUNCTION("""COMPUTED_VALUE"""),294.0)</f>
        <v>294</v>
      </c>
      <c r="R74" s="47">
        <f>IFERROR(__xludf.DUMMYFUNCTION("""COMPUTED_VALUE"""),294.0)</f>
        <v>294</v>
      </c>
      <c r="S74" s="47">
        <f>IFERROR(__xludf.DUMMYFUNCTION("""COMPUTED_VALUE"""),294.0)</f>
        <v>294</v>
      </c>
      <c r="T74" s="47">
        <f>IFERROR(__xludf.DUMMYFUNCTION("""COMPUTED_VALUE"""),294.0)</f>
        <v>294</v>
      </c>
      <c r="U74" s="47">
        <f>IFERROR(__xludf.DUMMYFUNCTION("""COMPUTED_VALUE"""),294.0)</f>
        <v>294</v>
      </c>
      <c r="V74" s="47">
        <f>IFERROR(__xludf.DUMMYFUNCTION("""COMPUTED_VALUE"""),294.0)</f>
        <v>294</v>
      </c>
      <c r="W74" s="47">
        <f>IFERROR(__xludf.DUMMYFUNCTION("""COMPUTED_VALUE"""),294.0)</f>
        <v>294</v>
      </c>
      <c r="X74" s="47">
        <f>IFERROR(__xludf.DUMMYFUNCTION("""COMPUTED_VALUE"""),294.0)</f>
        <v>294</v>
      </c>
      <c r="Y74" s="47">
        <f>IFERROR(__xludf.DUMMYFUNCTION("""COMPUTED_VALUE"""),294.0)</f>
        <v>294</v>
      </c>
      <c r="Z74" s="47">
        <f>IFERROR(__xludf.DUMMYFUNCTION("""COMPUTED_VALUE"""),294.0)</f>
        <v>294</v>
      </c>
      <c r="AA74" s="47">
        <f>IFERROR(__xludf.DUMMYFUNCTION("""COMPUTED_VALUE"""),294.0)</f>
        <v>294</v>
      </c>
      <c r="AB74" s="47">
        <f>IFERROR(__xludf.DUMMYFUNCTION("""COMPUTED_VALUE"""),3528.0)</f>
        <v>3528</v>
      </c>
    </row>
    <row r="75">
      <c r="B75" s="37"/>
      <c r="C75" s="37"/>
      <c r="D75" s="37"/>
      <c r="E75" s="37"/>
      <c r="F75" s="37"/>
      <c r="G75" s="37"/>
      <c r="H75" s="37"/>
      <c r="I75" s="37"/>
      <c r="J75" s="37" t="str">
        <f>IFERROR(__xludf.DUMMYFUNCTION("""COMPUTED_VALUE"""),"AICHIP02406103")</f>
        <v>AICHIP02406103</v>
      </c>
      <c r="K75" s="37" t="str">
        <f>IFERROR(__xludf.DUMMYFUNCTION("""COMPUTED_VALUE"""),"APPLE MPQ03TA/A 10.9-inch iPad Wi-Fi 64G")</f>
        <v>APPLE MPQ03TA/A 10.9-inch iPad Wi-Fi 64G</v>
      </c>
      <c r="L75" s="37" t="str">
        <f>IFERROR(__xludf.DUMMYFUNCTION("""COMPUTED_VALUE"""),"吳芯儀")</f>
        <v>吳芯儀</v>
      </c>
      <c r="M75" s="37" t="str">
        <f>IFERROR(__xludf.DUMMYFUNCTION("""COMPUTED_VALUE"""),"客戶價值中心")</f>
        <v>客戶價值中心</v>
      </c>
      <c r="N75" s="37" t="str">
        <f>IFERROR(__xludf.DUMMYFUNCTION("""COMPUTED_VALUE"""),"客戶關係管理部")</f>
        <v>客戶關係管理部</v>
      </c>
      <c r="O75" s="37" t="str">
        <f>IFERROR(__xludf.DUMMYFUNCTION("""COMPUTED_VALUE"""),"客服團隊 POS/OMO")</f>
        <v>客服團隊 POS/OMO</v>
      </c>
      <c r="P75" s="47">
        <f>IFERROR(__xludf.DUMMYFUNCTION("""COMPUTED_VALUE"""),294.0)</f>
        <v>294</v>
      </c>
      <c r="Q75" s="47">
        <f>IFERROR(__xludf.DUMMYFUNCTION("""COMPUTED_VALUE"""),294.0)</f>
        <v>294</v>
      </c>
      <c r="R75" s="47">
        <f>IFERROR(__xludf.DUMMYFUNCTION("""COMPUTED_VALUE"""),294.0)</f>
        <v>294</v>
      </c>
      <c r="S75" s="47">
        <f>IFERROR(__xludf.DUMMYFUNCTION("""COMPUTED_VALUE"""),294.0)</f>
        <v>294</v>
      </c>
      <c r="T75" s="47">
        <f>IFERROR(__xludf.DUMMYFUNCTION("""COMPUTED_VALUE"""),294.0)</f>
        <v>294</v>
      </c>
      <c r="U75" s="47">
        <f>IFERROR(__xludf.DUMMYFUNCTION("""COMPUTED_VALUE"""),294.0)</f>
        <v>294</v>
      </c>
      <c r="V75" s="47">
        <f>IFERROR(__xludf.DUMMYFUNCTION("""COMPUTED_VALUE"""),294.0)</f>
        <v>294</v>
      </c>
      <c r="W75" s="47">
        <f>IFERROR(__xludf.DUMMYFUNCTION("""COMPUTED_VALUE"""),294.0)</f>
        <v>294</v>
      </c>
      <c r="X75" s="47">
        <f>IFERROR(__xludf.DUMMYFUNCTION("""COMPUTED_VALUE"""),294.0)</f>
        <v>294</v>
      </c>
      <c r="Y75" s="47">
        <f>IFERROR(__xludf.DUMMYFUNCTION("""COMPUTED_VALUE"""),294.0)</f>
        <v>294</v>
      </c>
      <c r="Z75" s="47">
        <f>IFERROR(__xludf.DUMMYFUNCTION("""COMPUTED_VALUE"""),294.0)</f>
        <v>294</v>
      </c>
      <c r="AA75" s="47">
        <f>IFERROR(__xludf.DUMMYFUNCTION("""COMPUTED_VALUE"""),294.0)</f>
        <v>294</v>
      </c>
      <c r="AB75" s="47">
        <f>IFERROR(__xludf.DUMMYFUNCTION("""COMPUTED_VALUE"""),3528.0)</f>
        <v>3528</v>
      </c>
    </row>
    <row r="76">
      <c r="B76" s="37"/>
      <c r="C76" s="37"/>
      <c r="D76" s="37"/>
      <c r="E76" s="37"/>
      <c r="F76" s="37"/>
      <c r="G76" s="37"/>
      <c r="H76" s="37"/>
      <c r="I76" s="37"/>
      <c r="J76" s="37" t="str">
        <f>IFERROR(__xludf.DUMMYFUNCTION("""COMPUTED_VALUE"""),"AICHMA02405066")</f>
        <v>AICHMA02405066</v>
      </c>
      <c r="K76" s="37" t="str">
        <f>IFERROR(__xludf.DUMMYFUNCTION("""COMPUTED_VALUE"""),"Macbook Air")</f>
        <v>Macbook Air</v>
      </c>
      <c r="L76" s="37" t="str">
        <f>IFERROR(__xludf.DUMMYFUNCTION("""COMPUTED_VALUE"""),"莊媁晨")</f>
        <v>莊媁晨</v>
      </c>
      <c r="M76" s="37" t="str">
        <f>IFERROR(__xludf.DUMMYFUNCTION("""COMPUTED_VALUE"""),"客戶價值中心")</f>
        <v>客戶價值中心</v>
      </c>
      <c r="N76" s="37" t="str">
        <f>IFERROR(__xludf.DUMMYFUNCTION("""COMPUTED_VALUE"""),"客戶關係管理部")</f>
        <v>客戶關係管理部</v>
      </c>
      <c r="O76" s="37" t="str">
        <f>IFERROR(__xludf.DUMMYFUNCTION("""COMPUTED_VALUE"""),"續約管理團隊")</f>
        <v>續約管理團隊</v>
      </c>
      <c r="P76" s="47">
        <f>IFERROR(__xludf.DUMMYFUNCTION("""COMPUTED_VALUE"""),883.0)</f>
        <v>883</v>
      </c>
      <c r="Q76" s="47">
        <f>IFERROR(__xludf.DUMMYFUNCTION("""COMPUTED_VALUE"""),883.0)</f>
        <v>883</v>
      </c>
      <c r="R76" s="47">
        <f>IFERROR(__xludf.DUMMYFUNCTION("""COMPUTED_VALUE"""),883.0)</f>
        <v>883</v>
      </c>
      <c r="S76" s="47">
        <f>IFERROR(__xludf.DUMMYFUNCTION("""COMPUTED_VALUE"""),883.0)</f>
        <v>883</v>
      </c>
      <c r="T76" s="47">
        <f>IFERROR(__xludf.DUMMYFUNCTION("""COMPUTED_VALUE"""),883.0)</f>
        <v>883</v>
      </c>
      <c r="U76" s="47">
        <f>IFERROR(__xludf.DUMMYFUNCTION("""COMPUTED_VALUE"""),883.0)</f>
        <v>883</v>
      </c>
      <c r="V76" s="47">
        <f>IFERROR(__xludf.DUMMYFUNCTION("""COMPUTED_VALUE"""),883.0)</f>
        <v>883</v>
      </c>
      <c r="W76" s="47">
        <f>IFERROR(__xludf.DUMMYFUNCTION("""COMPUTED_VALUE"""),883.0)</f>
        <v>883</v>
      </c>
      <c r="X76" s="47">
        <f>IFERROR(__xludf.DUMMYFUNCTION("""COMPUTED_VALUE"""),883.0)</f>
        <v>883</v>
      </c>
      <c r="Y76" s="47">
        <f>IFERROR(__xludf.DUMMYFUNCTION("""COMPUTED_VALUE"""),883.0)</f>
        <v>883</v>
      </c>
      <c r="Z76" s="47">
        <f>IFERROR(__xludf.DUMMYFUNCTION("""COMPUTED_VALUE"""),883.0)</f>
        <v>883</v>
      </c>
      <c r="AA76" s="47">
        <f>IFERROR(__xludf.DUMMYFUNCTION("""COMPUTED_VALUE"""),883.0)</f>
        <v>883</v>
      </c>
      <c r="AB76" s="47">
        <f>IFERROR(__xludf.DUMMYFUNCTION("""COMPUTED_VALUE"""),10596.0)</f>
        <v>10596</v>
      </c>
    </row>
    <row r="77">
      <c r="B77" s="37"/>
      <c r="C77" s="37"/>
      <c r="D77" s="37"/>
      <c r="E77" s="37"/>
      <c r="F77" s="37"/>
      <c r="G77" s="37"/>
      <c r="H77" s="37"/>
      <c r="I77" s="37"/>
      <c r="J77" s="37" t="str">
        <f>IFERROR(__xludf.DUMMYFUNCTION("""COMPUTED_VALUE"""),"AICHMA02405067")</f>
        <v>AICHMA02405067</v>
      </c>
      <c r="K77" s="37" t="str">
        <f>IFERROR(__xludf.DUMMYFUNCTION("""COMPUTED_VALUE"""),"Macbook Air")</f>
        <v>Macbook Air</v>
      </c>
      <c r="L77" s="37" t="str">
        <f>IFERROR(__xludf.DUMMYFUNCTION("""COMPUTED_VALUE"""),"朱肇平")</f>
        <v>朱肇平</v>
      </c>
      <c r="M77" s="37" t="str">
        <f>IFERROR(__xludf.DUMMYFUNCTION("""COMPUTED_VALUE"""),"客戶價值中心")</f>
        <v>客戶價值中心</v>
      </c>
      <c r="N77" s="37" t="str">
        <f>IFERROR(__xludf.DUMMYFUNCTION("""COMPUTED_VALUE"""),"客戶成功管理部")</f>
        <v>客戶成功管理部</v>
      </c>
      <c r="O77" s="37" t="str">
        <f>IFERROR(__xludf.DUMMYFUNCTION("""COMPUTED_VALUE"""),"PE團隊")</f>
        <v>PE團隊</v>
      </c>
      <c r="P77" s="47">
        <f>IFERROR(__xludf.DUMMYFUNCTION("""COMPUTED_VALUE"""),883.0)</f>
        <v>883</v>
      </c>
      <c r="Q77" s="47">
        <f>IFERROR(__xludf.DUMMYFUNCTION("""COMPUTED_VALUE"""),883.0)</f>
        <v>883</v>
      </c>
      <c r="R77" s="47">
        <f>IFERROR(__xludf.DUMMYFUNCTION("""COMPUTED_VALUE"""),883.0)</f>
        <v>883</v>
      </c>
      <c r="S77" s="47">
        <f>IFERROR(__xludf.DUMMYFUNCTION("""COMPUTED_VALUE"""),883.0)</f>
        <v>883</v>
      </c>
      <c r="T77" s="47">
        <f>IFERROR(__xludf.DUMMYFUNCTION("""COMPUTED_VALUE"""),883.0)</f>
        <v>883</v>
      </c>
      <c r="U77" s="47">
        <f>IFERROR(__xludf.DUMMYFUNCTION("""COMPUTED_VALUE"""),883.0)</f>
        <v>883</v>
      </c>
      <c r="V77" s="47">
        <f>IFERROR(__xludf.DUMMYFUNCTION("""COMPUTED_VALUE"""),883.0)</f>
        <v>883</v>
      </c>
      <c r="W77" s="47">
        <f>IFERROR(__xludf.DUMMYFUNCTION("""COMPUTED_VALUE"""),883.0)</f>
        <v>883</v>
      </c>
      <c r="X77" s="47">
        <f>IFERROR(__xludf.DUMMYFUNCTION("""COMPUTED_VALUE"""),883.0)</f>
        <v>883</v>
      </c>
      <c r="Y77" s="47">
        <f>IFERROR(__xludf.DUMMYFUNCTION("""COMPUTED_VALUE"""),883.0)</f>
        <v>883</v>
      </c>
      <c r="Z77" s="47">
        <f>IFERROR(__xludf.DUMMYFUNCTION("""COMPUTED_VALUE"""),883.0)</f>
        <v>883</v>
      </c>
      <c r="AA77" s="47">
        <f>IFERROR(__xludf.DUMMYFUNCTION("""COMPUTED_VALUE"""),883.0)</f>
        <v>883</v>
      </c>
      <c r="AB77" s="47">
        <f>IFERROR(__xludf.DUMMYFUNCTION("""COMPUTED_VALUE"""),10596.0)</f>
        <v>10596</v>
      </c>
    </row>
    <row r="78">
      <c r="B78" s="37"/>
      <c r="C78" s="37"/>
      <c r="D78" s="37"/>
      <c r="E78" s="37"/>
      <c r="F78" s="37"/>
      <c r="G78" s="37"/>
      <c r="H78" s="37"/>
      <c r="I78" s="37"/>
      <c r="J78" s="37" t="str">
        <f>IFERROR(__xludf.DUMMYFUNCTION("""COMPUTED_VALUE"""),"AICHMA02407077")</f>
        <v>AICHMA02407077</v>
      </c>
      <c r="K78" s="37" t="str">
        <f>IFERROR(__xludf.DUMMYFUNCTION("""COMPUTED_VALUE"""),"Macbook Air")</f>
        <v>Macbook Air</v>
      </c>
      <c r="L78" s="37" t="str">
        <f>IFERROR(__xludf.DUMMYFUNCTION("""COMPUTED_VALUE"""),"王壯為")</f>
        <v>王壯為</v>
      </c>
      <c r="M78" s="37" t="str">
        <f>IFERROR(__xludf.DUMMYFUNCTION("""COMPUTED_VALUE"""),"管理中心")</f>
        <v>管理中心</v>
      </c>
      <c r="N78" s="37" t="str">
        <f>IFERROR(__xludf.DUMMYFUNCTION("""COMPUTED_VALUE"""),"資訊部")</f>
        <v>資訊部</v>
      </c>
      <c r="O78" s="37"/>
      <c r="P78" s="47">
        <f>IFERROR(__xludf.DUMMYFUNCTION("""COMPUTED_VALUE"""),883.0)</f>
        <v>883</v>
      </c>
      <c r="Q78" s="47">
        <f>IFERROR(__xludf.DUMMYFUNCTION("""COMPUTED_VALUE"""),883.0)</f>
        <v>883</v>
      </c>
      <c r="R78" s="47">
        <f>IFERROR(__xludf.DUMMYFUNCTION("""COMPUTED_VALUE"""),883.0)</f>
        <v>883</v>
      </c>
      <c r="S78" s="47">
        <f>IFERROR(__xludf.DUMMYFUNCTION("""COMPUTED_VALUE"""),883.0)</f>
        <v>883</v>
      </c>
      <c r="T78" s="47">
        <f>IFERROR(__xludf.DUMMYFUNCTION("""COMPUTED_VALUE"""),883.0)</f>
        <v>883</v>
      </c>
      <c r="U78" s="47">
        <f>IFERROR(__xludf.DUMMYFUNCTION("""COMPUTED_VALUE"""),883.0)</f>
        <v>883</v>
      </c>
      <c r="V78" s="47">
        <f>IFERROR(__xludf.DUMMYFUNCTION("""COMPUTED_VALUE"""),883.0)</f>
        <v>883</v>
      </c>
      <c r="W78" s="47">
        <f>IFERROR(__xludf.DUMMYFUNCTION("""COMPUTED_VALUE"""),883.0)</f>
        <v>883</v>
      </c>
      <c r="X78" s="47">
        <f>IFERROR(__xludf.DUMMYFUNCTION("""COMPUTED_VALUE"""),883.0)</f>
        <v>883</v>
      </c>
      <c r="Y78" s="47">
        <f>IFERROR(__xludf.DUMMYFUNCTION("""COMPUTED_VALUE"""),883.0)</f>
        <v>883</v>
      </c>
      <c r="Z78" s="47">
        <f>IFERROR(__xludf.DUMMYFUNCTION("""COMPUTED_VALUE"""),883.0)</f>
        <v>883</v>
      </c>
      <c r="AA78" s="47">
        <f>IFERROR(__xludf.DUMMYFUNCTION("""COMPUTED_VALUE"""),883.0)</f>
        <v>883</v>
      </c>
      <c r="AB78" s="47">
        <f>IFERROR(__xludf.DUMMYFUNCTION("""COMPUTED_VALUE"""),10596.0)</f>
        <v>10596</v>
      </c>
    </row>
    <row r="79">
      <c r="B79" s="37"/>
      <c r="C79" s="37"/>
      <c r="D79" s="37"/>
      <c r="E79" s="37"/>
      <c r="F79" s="37"/>
      <c r="G79" s="37"/>
      <c r="H79" s="37"/>
      <c r="I79" s="37"/>
      <c r="J79" s="37" t="str">
        <f>IFERROR(__xludf.DUMMYFUNCTION("""COMPUTED_VALUE"""),"AICHMP02407076")</f>
        <v>AICHMP02407076</v>
      </c>
      <c r="K79" s="37" t="str">
        <f>IFERROR(__xludf.DUMMYFUNCTION("""COMPUTED_VALUE"""),"Macbook Pro")</f>
        <v>Macbook Pro</v>
      </c>
      <c r="L79" s="37" t="str">
        <f>IFERROR(__xludf.DUMMYFUNCTION("""COMPUTED_VALUE"""),"鄭敏弘")</f>
        <v>鄭敏弘</v>
      </c>
      <c r="M79" s="37" t="str">
        <f>IFERROR(__xludf.DUMMYFUNCTION("""COMPUTED_VALUE"""),"研發中心")</f>
        <v>研發中心</v>
      </c>
      <c r="N79" s="37" t="str">
        <f>IFERROR(__xludf.DUMMYFUNCTION("""COMPUTED_VALUE"""),"產品設計部")</f>
        <v>產品設計部</v>
      </c>
      <c r="O79" s="37" t="str">
        <f>IFERROR(__xludf.DUMMYFUNCTION("""COMPUTED_VALUE"""),"數據分析團隊")</f>
        <v>數據分析團隊</v>
      </c>
      <c r="P79" s="47">
        <f>IFERROR(__xludf.DUMMYFUNCTION("""COMPUTED_VALUE"""),1794.0)</f>
        <v>1794</v>
      </c>
      <c r="Q79" s="47">
        <f>IFERROR(__xludf.DUMMYFUNCTION("""COMPUTED_VALUE"""),1794.0)</f>
        <v>1794</v>
      </c>
      <c r="R79" s="47">
        <f>IFERROR(__xludf.DUMMYFUNCTION("""COMPUTED_VALUE"""),1794.0)</f>
        <v>1794</v>
      </c>
      <c r="S79" s="47">
        <f>IFERROR(__xludf.DUMMYFUNCTION("""COMPUTED_VALUE"""),1794.0)</f>
        <v>1794</v>
      </c>
      <c r="T79" s="47">
        <f>IFERROR(__xludf.DUMMYFUNCTION("""COMPUTED_VALUE"""),1794.0)</f>
        <v>1794</v>
      </c>
      <c r="U79" s="47">
        <f>IFERROR(__xludf.DUMMYFUNCTION("""COMPUTED_VALUE"""),1794.0)</f>
        <v>1794</v>
      </c>
      <c r="V79" s="47">
        <f>IFERROR(__xludf.DUMMYFUNCTION("""COMPUTED_VALUE"""),1794.0)</f>
        <v>1794</v>
      </c>
      <c r="W79" s="47">
        <f>IFERROR(__xludf.DUMMYFUNCTION("""COMPUTED_VALUE"""),1794.0)</f>
        <v>1794</v>
      </c>
      <c r="X79" s="47">
        <f>IFERROR(__xludf.DUMMYFUNCTION("""COMPUTED_VALUE"""),1794.0)</f>
        <v>1794</v>
      </c>
      <c r="Y79" s="47">
        <f>IFERROR(__xludf.DUMMYFUNCTION("""COMPUTED_VALUE"""),1794.0)</f>
        <v>1794</v>
      </c>
      <c r="Z79" s="47">
        <f>IFERROR(__xludf.DUMMYFUNCTION("""COMPUTED_VALUE"""),1794.0)</f>
        <v>1794</v>
      </c>
      <c r="AA79" s="47">
        <f>IFERROR(__xludf.DUMMYFUNCTION("""COMPUTED_VALUE"""),1794.0)</f>
        <v>1794</v>
      </c>
      <c r="AB79" s="47">
        <f>IFERROR(__xludf.DUMMYFUNCTION("""COMPUTED_VALUE"""),21528.0)</f>
        <v>21528</v>
      </c>
    </row>
    <row r="80">
      <c r="B80" s="37"/>
      <c r="C80" s="37"/>
      <c r="D80" s="37"/>
      <c r="E80" s="37"/>
      <c r="F80" s="37"/>
      <c r="G80" s="37"/>
      <c r="H80" s="37"/>
      <c r="I80" s="37"/>
      <c r="J80" s="37" t="str">
        <f>IFERROR(__xludf.DUMMYFUNCTION("""COMPUTED_VALUE"""),"AICHNB02407003")</f>
        <v>AICHNB02407003</v>
      </c>
      <c r="K80" s="37" t="str">
        <f>IFERROR(__xludf.DUMMYFUNCTION("""COMPUTED_VALUE"""),"Windows NB")</f>
        <v>Windows NB</v>
      </c>
      <c r="L80" s="37" t="str">
        <f>IFERROR(__xludf.DUMMYFUNCTION("""COMPUTED_VALUE"""),"黃馨慧")</f>
        <v>黃馨慧</v>
      </c>
      <c r="M80" s="37" t="str">
        <f>IFERROR(__xludf.DUMMYFUNCTION("""COMPUTED_VALUE"""),"財務中心")</f>
        <v>財務中心</v>
      </c>
      <c r="N80" s="37" t="str">
        <f>IFERROR(__xludf.DUMMYFUNCTION("""COMPUTED_VALUE"""),"財務中心")</f>
        <v>財務中心</v>
      </c>
      <c r="O80" s="37"/>
      <c r="P80" s="47">
        <f>IFERROR(__xludf.DUMMYFUNCTION("""COMPUTED_VALUE"""),1320.0)</f>
        <v>1320</v>
      </c>
      <c r="Q80" s="47">
        <f>IFERROR(__xludf.DUMMYFUNCTION("""COMPUTED_VALUE"""),1320.0)</f>
        <v>1320</v>
      </c>
      <c r="R80" s="47">
        <f>IFERROR(__xludf.DUMMYFUNCTION("""COMPUTED_VALUE"""),1320.0)</f>
        <v>1320</v>
      </c>
      <c r="S80" s="47">
        <f>IFERROR(__xludf.DUMMYFUNCTION("""COMPUTED_VALUE"""),1320.0)</f>
        <v>1320</v>
      </c>
      <c r="T80" s="47">
        <f>IFERROR(__xludf.DUMMYFUNCTION("""COMPUTED_VALUE"""),1320.0)</f>
        <v>1320</v>
      </c>
      <c r="U80" s="47">
        <f>IFERROR(__xludf.DUMMYFUNCTION("""COMPUTED_VALUE"""),1320.0)</f>
        <v>1320</v>
      </c>
      <c r="V80" s="47">
        <f>IFERROR(__xludf.DUMMYFUNCTION("""COMPUTED_VALUE"""),1320.0)</f>
        <v>1320</v>
      </c>
      <c r="W80" s="47">
        <f>IFERROR(__xludf.DUMMYFUNCTION("""COMPUTED_VALUE"""),1320.0)</f>
        <v>1320</v>
      </c>
      <c r="X80" s="47">
        <f>IFERROR(__xludf.DUMMYFUNCTION("""COMPUTED_VALUE"""),1320.0)</f>
        <v>1320</v>
      </c>
      <c r="Y80" s="47">
        <f>IFERROR(__xludf.DUMMYFUNCTION("""COMPUTED_VALUE"""),1320.0)</f>
        <v>1320</v>
      </c>
      <c r="Z80" s="47">
        <f>IFERROR(__xludf.DUMMYFUNCTION("""COMPUTED_VALUE"""),1320.0)</f>
        <v>1320</v>
      </c>
      <c r="AA80" s="47">
        <f>IFERROR(__xludf.DUMMYFUNCTION("""COMPUTED_VALUE"""),1320.0)</f>
        <v>1320</v>
      </c>
      <c r="AB80" s="47">
        <f>IFERROR(__xludf.DUMMYFUNCTION("""COMPUTED_VALUE"""),15840.0)</f>
        <v>15840</v>
      </c>
    </row>
    <row r="81">
      <c r="B81" s="37"/>
      <c r="C81" s="37"/>
      <c r="D81" s="37"/>
      <c r="E81" s="37"/>
      <c r="F81" s="37"/>
      <c r="G81" s="37"/>
      <c r="H81" s="37"/>
      <c r="I81" s="37"/>
      <c r="J81" s="37" t="str">
        <f>IFERROR(__xludf.DUMMYFUNCTION("""COMPUTED_VALUE"""),"AICHMC02409022")</f>
        <v>AICHMC02409022</v>
      </c>
      <c r="K81" s="37" t="str">
        <f>IFERROR(__xludf.DUMMYFUNCTION("""COMPUTED_VALUE"""),"iMac")</f>
        <v>iMac</v>
      </c>
      <c r="L81" s="37" t="str">
        <f>IFERROR(__xludf.DUMMYFUNCTION("""COMPUTED_VALUE"""),"張惠鈞")</f>
        <v>張惠鈞</v>
      </c>
      <c r="M81" s="37" t="str">
        <f>IFERROR(__xludf.DUMMYFUNCTION("""COMPUTED_VALUE"""),"行銷營運中心")</f>
        <v>行銷營運中心</v>
      </c>
      <c r="N81" s="37" t="str">
        <f>IFERROR(__xludf.DUMMYFUNCTION("""COMPUTED_VALUE"""),"社群關係部")</f>
        <v>社群關係部</v>
      </c>
      <c r="O81" s="37" t="str">
        <f>IFERROR(__xludf.DUMMYFUNCTION("""COMPUTED_VALUE"""),"餐廳社群團隊")</f>
        <v>餐廳社群團隊</v>
      </c>
      <c r="P81" s="47">
        <f>IFERROR(__xludf.DUMMYFUNCTION("""COMPUTED_VALUE"""),1844.0)</f>
        <v>1844</v>
      </c>
      <c r="Q81" s="47">
        <f>IFERROR(__xludf.DUMMYFUNCTION("""COMPUTED_VALUE"""),1844.0)</f>
        <v>1844</v>
      </c>
      <c r="R81" s="47">
        <f>IFERROR(__xludf.DUMMYFUNCTION("""COMPUTED_VALUE"""),1844.0)</f>
        <v>1844</v>
      </c>
      <c r="S81" s="47">
        <f>IFERROR(__xludf.DUMMYFUNCTION("""COMPUTED_VALUE"""),1844.0)</f>
        <v>1844</v>
      </c>
      <c r="T81" s="47">
        <f>IFERROR(__xludf.DUMMYFUNCTION("""COMPUTED_VALUE"""),1844.0)</f>
        <v>1844</v>
      </c>
      <c r="U81" s="47">
        <f>IFERROR(__xludf.DUMMYFUNCTION("""COMPUTED_VALUE"""),1844.0)</f>
        <v>1844</v>
      </c>
      <c r="V81" s="47">
        <f>IFERROR(__xludf.DUMMYFUNCTION("""COMPUTED_VALUE"""),1844.0)</f>
        <v>1844</v>
      </c>
      <c r="W81" s="47">
        <f>IFERROR(__xludf.DUMMYFUNCTION("""COMPUTED_VALUE"""),1844.0)</f>
        <v>1844</v>
      </c>
      <c r="X81" s="47">
        <f>IFERROR(__xludf.DUMMYFUNCTION("""COMPUTED_VALUE"""),1844.0)</f>
        <v>1844</v>
      </c>
      <c r="Y81" s="47">
        <f>IFERROR(__xludf.DUMMYFUNCTION("""COMPUTED_VALUE"""),1844.0)</f>
        <v>1844</v>
      </c>
      <c r="Z81" s="47">
        <f>IFERROR(__xludf.DUMMYFUNCTION("""COMPUTED_VALUE"""),1844.0)</f>
        <v>1844</v>
      </c>
      <c r="AA81" s="47">
        <f>IFERROR(__xludf.DUMMYFUNCTION("""COMPUTED_VALUE"""),1844.0)</f>
        <v>1844</v>
      </c>
      <c r="AB81" s="47">
        <f>IFERROR(__xludf.DUMMYFUNCTION("""COMPUTED_VALUE"""),22128.0)</f>
        <v>22128</v>
      </c>
    </row>
    <row r="82">
      <c r="B82" s="37"/>
      <c r="C82" s="37"/>
      <c r="D82" s="37"/>
      <c r="E82" s="37"/>
      <c r="F82" s="37"/>
      <c r="G82" s="37"/>
      <c r="H82" s="37"/>
      <c r="I82" s="37"/>
      <c r="J82" s="37" t="str">
        <f>IFERROR(__xludf.DUMMYFUNCTION("""COMPUTED_VALUE"""),"AICHFU02505006")</f>
        <v>AICHFU02505006</v>
      </c>
      <c r="K82" s="37" t="str">
        <f>IFERROR(__xludf.DUMMYFUNCTION("""COMPUTED_VALUE"""),"Panasonic國際牌無邊框鋼板650公升雙⾨冰箱NR-B651TV-K(晶漾⿊)")</f>
        <v>Panasonic國際牌無邊框鋼板650公升雙⾨冰箱NR-B651TV-K(晶漾⿊)</v>
      </c>
      <c r="L82" s="37" t="str">
        <f>IFERROR(__xludf.DUMMYFUNCTION("""COMPUTED_VALUE"""),"行政備用")</f>
        <v>行政備用</v>
      </c>
      <c r="M82" s="37" t="str">
        <f>IFERROR(__xludf.DUMMYFUNCTION("""COMPUTED_VALUE"""),"管理中心")</f>
        <v>管理中心</v>
      </c>
      <c r="N82" s="37"/>
      <c r="O82" s="37"/>
      <c r="P82" s="47">
        <f>IFERROR(__xludf.DUMMYFUNCTION("""COMPUTED_VALUE"""),742.0)</f>
        <v>742</v>
      </c>
      <c r="Q82" s="47">
        <f>IFERROR(__xludf.DUMMYFUNCTION("""COMPUTED_VALUE"""),742.0)</f>
        <v>742</v>
      </c>
      <c r="R82" s="47">
        <f>IFERROR(__xludf.DUMMYFUNCTION("""COMPUTED_VALUE"""),742.0)</f>
        <v>742</v>
      </c>
      <c r="S82" s="47">
        <f>IFERROR(__xludf.DUMMYFUNCTION("""COMPUTED_VALUE"""),742.0)</f>
        <v>742</v>
      </c>
      <c r="T82" s="47">
        <f>IFERROR(__xludf.DUMMYFUNCTION("""COMPUTED_VALUE"""),742.0)</f>
        <v>742</v>
      </c>
      <c r="U82" s="47">
        <f>IFERROR(__xludf.DUMMYFUNCTION("""COMPUTED_VALUE"""),742.0)</f>
        <v>742</v>
      </c>
      <c r="V82" s="47">
        <f>IFERROR(__xludf.DUMMYFUNCTION("""COMPUTED_VALUE"""),742.0)</f>
        <v>742</v>
      </c>
      <c r="W82" s="47">
        <f>IFERROR(__xludf.DUMMYFUNCTION("""COMPUTED_VALUE"""),742.0)</f>
        <v>742</v>
      </c>
      <c r="X82" s="47">
        <f>IFERROR(__xludf.DUMMYFUNCTION("""COMPUTED_VALUE"""),742.0)</f>
        <v>742</v>
      </c>
      <c r="Y82" s="47">
        <f>IFERROR(__xludf.DUMMYFUNCTION("""COMPUTED_VALUE"""),742.0)</f>
        <v>742</v>
      </c>
      <c r="Z82" s="47">
        <f>IFERROR(__xludf.DUMMYFUNCTION("""COMPUTED_VALUE"""),742.0)</f>
        <v>742</v>
      </c>
      <c r="AA82" s="47">
        <f>IFERROR(__xludf.DUMMYFUNCTION("""COMPUTED_VALUE"""),742.0)</f>
        <v>742</v>
      </c>
      <c r="AB82" s="47">
        <f>IFERROR(__xludf.DUMMYFUNCTION("""COMPUTED_VALUE"""),8904.0)</f>
        <v>8904</v>
      </c>
    </row>
    <row r="83">
      <c r="B83" s="37"/>
      <c r="C83" s="37"/>
      <c r="D83" s="37"/>
      <c r="E83" s="37"/>
      <c r="F83" s="37"/>
      <c r="G83" s="37"/>
      <c r="H83" s="37"/>
      <c r="I83" s="37"/>
      <c r="J83" s="37" t="str">
        <f>IFERROR(__xludf.DUMMYFUNCTION("""COMPUTED_VALUE"""),"AICHMA02408082")</f>
        <v>AICHMA02408082</v>
      </c>
      <c r="K83" s="37" t="str">
        <f>IFERROR(__xludf.DUMMYFUNCTION("""COMPUTED_VALUE"""),"Macbook Air")</f>
        <v>Macbook Air</v>
      </c>
      <c r="L83" s="37" t="str">
        <f>IFERROR(__xludf.DUMMYFUNCTION("""COMPUTED_VALUE"""),"王壯為")</f>
        <v>王壯為</v>
      </c>
      <c r="M83" s="37" t="str">
        <f>IFERROR(__xludf.DUMMYFUNCTION("""COMPUTED_VALUE"""),"管理中心")</f>
        <v>管理中心</v>
      </c>
      <c r="N83" s="37" t="str">
        <f>IFERROR(__xludf.DUMMYFUNCTION("""COMPUTED_VALUE"""),"資訊部")</f>
        <v>資訊部</v>
      </c>
      <c r="O83" s="37"/>
      <c r="P83" s="47">
        <f>IFERROR(__xludf.DUMMYFUNCTION("""COMPUTED_VALUE"""),1181.0)</f>
        <v>1181</v>
      </c>
      <c r="Q83" s="47">
        <f>IFERROR(__xludf.DUMMYFUNCTION("""COMPUTED_VALUE"""),1181.0)</f>
        <v>1181</v>
      </c>
      <c r="R83" s="47">
        <f>IFERROR(__xludf.DUMMYFUNCTION("""COMPUTED_VALUE"""),1181.0)</f>
        <v>1181</v>
      </c>
      <c r="S83" s="47">
        <f>IFERROR(__xludf.DUMMYFUNCTION("""COMPUTED_VALUE"""),1181.0)</f>
        <v>1181</v>
      </c>
      <c r="T83" s="47">
        <f>IFERROR(__xludf.DUMMYFUNCTION("""COMPUTED_VALUE"""),1181.0)</f>
        <v>1181</v>
      </c>
      <c r="U83" s="47">
        <f>IFERROR(__xludf.DUMMYFUNCTION("""COMPUTED_VALUE"""),1181.0)</f>
        <v>1181</v>
      </c>
      <c r="V83" s="47">
        <f>IFERROR(__xludf.DUMMYFUNCTION("""COMPUTED_VALUE"""),1181.0)</f>
        <v>1181</v>
      </c>
      <c r="W83" s="47">
        <f>IFERROR(__xludf.DUMMYFUNCTION("""COMPUTED_VALUE"""),1181.0)</f>
        <v>1181</v>
      </c>
      <c r="X83" s="47">
        <f>IFERROR(__xludf.DUMMYFUNCTION("""COMPUTED_VALUE"""),1181.0)</f>
        <v>1181</v>
      </c>
      <c r="Y83" s="47">
        <f>IFERROR(__xludf.DUMMYFUNCTION("""COMPUTED_VALUE"""),1181.0)</f>
        <v>1181</v>
      </c>
      <c r="Z83" s="47">
        <f>IFERROR(__xludf.DUMMYFUNCTION("""COMPUTED_VALUE"""),1181.0)</f>
        <v>1181</v>
      </c>
      <c r="AA83" s="47">
        <f>IFERROR(__xludf.DUMMYFUNCTION("""COMPUTED_VALUE"""),1181.0)</f>
        <v>1181</v>
      </c>
      <c r="AB83" s="47">
        <f>IFERROR(__xludf.DUMMYFUNCTION("""COMPUTED_VALUE"""),14172.0)</f>
        <v>14172</v>
      </c>
    </row>
    <row r="84">
      <c r="B84" s="37"/>
      <c r="C84" s="37"/>
      <c r="D84" s="37"/>
      <c r="E84" s="37"/>
      <c r="F84" s="37"/>
      <c r="G84" s="37"/>
      <c r="H84" s="37"/>
      <c r="I84" s="37"/>
      <c r="J84" s="37" t="str">
        <f>IFERROR(__xludf.DUMMYFUNCTION("""COMPUTED_VALUE"""),"AICHOF02408022")</f>
        <v>AICHOF02408022</v>
      </c>
      <c r="K84" s="37" t="str">
        <f>IFERROR(__xludf.DUMMYFUNCTION("""COMPUTED_VALUE"""),"LG 43吋螢幕")</f>
        <v>LG 43吋螢幕</v>
      </c>
      <c r="L84" s="37" t="str">
        <f>IFERROR(__xludf.DUMMYFUNCTION("""COMPUTED_VALUE"""),"行政備用")</f>
        <v>行政備用</v>
      </c>
      <c r="M84" s="37" t="str">
        <f>IFERROR(__xludf.DUMMYFUNCTION("""COMPUTED_VALUE"""),"管理中心")</f>
        <v>管理中心</v>
      </c>
      <c r="N84" s="37"/>
      <c r="O84" s="37"/>
      <c r="P84" s="47">
        <f>IFERROR(__xludf.DUMMYFUNCTION("""COMPUTED_VALUE"""),611.0)</f>
        <v>611</v>
      </c>
      <c r="Q84" s="47">
        <f>IFERROR(__xludf.DUMMYFUNCTION("""COMPUTED_VALUE"""),611.0)</f>
        <v>611</v>
      </c>
      <c r="R84" s="47">
        <f>IFERROR(__xludf.DUMMYFUNCTION("""COMPUTED_VALUE"""),611.0)</f>
        <v>611</v>
      </c>
      <c r="S84" s="47">
        <f>IFERROR(__xludf.DUMMYFUNCTION("""COMPUTED_VALUE"""),611.0)</f>
        <v>611</v>
      </c>
      <c r="T84" s="47">
        <f>IFERROR(__xludf.DUMMYFUNCTION("""COMPUTED_VALUE"""),611.0)</f>
        <v>611</v>
      </c>
      <c r="U84" s="47">
        <f>IFERROR(__xludf.DUMMYFUNCTION("""COMPUTED_VALUE"""),611.0)</f>
        <v>611</v>
      </c>
      <c r="V84" s="47">
        <f>IFERROR(__xludf.DUMMYFUNCTION("""COMPUTED_VALUE"""),611.0)</f>
        <v>611</v>
      </c>
      <c r="W84" s="47">
        <f>IFERROR(__xludf.DUMMYFUNCTION("""COMPUTED_VALUE"""),611.0)</f>
        <v>611</v>
      </c>
      <c r="X84" s="47">
        <f>IFERROR(__xludf.DUMMYFUNCTION("""COMPUTED_VALUE"""),611.0)</f>
        <v>611</v>
      </c>
      <c r="Y84" s="47">
        <f>IFERROR(__xludf.DUMMYFUNCTION("""COMPUTED_VALUE"""),611.0)</f>
        <v>611</v>
      </c>
      <c r="Z84" s="47">
        <f>IFERROR(__xludf.DUMMYFUNCTION("""COMPUTED_VALUE"""),611.0)</f>
        <v>611</v>
      </c>
      <c r="AA84" s="47">
        <f>IFERROR(__xludf.DUMMYFUNCTION("""COMPUTED_VALUE"""),611.0)</f>
        <v>611</v>
      </c>
      <c r="AB84" s="47">
        <f>IFERROR(__xludf.DUMMYFUNCTION("""COMPUTED_VALUE"""),7332.0)</f>
        <v>7332</v>
      </c>
    </row>
    <row r="85">
      <c r="B85" s="37"/>
      <c r="C85" s="37"/>
      <c r="D85" s="37"/>
      <c r="E85" s="37"/>
      <c r="F85" s="37"/>
      <c r="G85" s="37"/>
      <c r="H85" s="37"/>
      <c r="I85" s="37"/>
      <c r="J85" s="37" t="str">
        <f>IFERROR(__xludf.DUMMYFUNCTION("""COMPUTED_VALUE"""),"AICHMA02407075")</f>
        <v>AICHMA02407075</v>
      </c>
      <c r="K85" s="37" t="str">
        <f>IFERROR(__xludf.DUMMYFUNCTION("""COMPUTED_VALUE"""),"Macbook Air")</f>
        <v>Macbook Air</v>
      </c>
      <c r="L85" s="37" t="str">
        <f>IFERROR(__xludf.DUMMYFUNCTION("""COMPUTED_VALUE"""),"曾詩芸")</f>
        <v>曾詩芸</v>
      </c>
      <c r="M85" s="37" t="str">
        <f>IFERROR(__xludf.DUMMYFUNCTION("""COMPUTED_VALUE"""),"管理中心")</f>
        <v>管理中心</v>
      </c>
      <c r="N85" s="37" t="str">
        <f>IFERROR(__xludf.DUMMYFUNCTION("""COMPUTED_VALUE"""),"人資部")</f>
        <v>人資部</v>
      </c>
      <c r="O85" s="37" t="str">
        <f>IFERROR(__xludf.DUMMYFUNCTION("""COMPUTED_VALUE"""),"人資團隊")</f>
        <v>人資團隊</v>
      </c>
      <c r="P85" s="47">
        <f>IFERROR(__xludf.DUMMYFUNCTION("""COMPUTED_VALUE"""),883.0)</f>
        <v>883</v>
      </c>
      <c r="Q85" s="47">
        <f>IFERROR(__xludf.DUMMYFUNCTION("""COMPUTED_VALUE"""),883.0)</f>
        <v>883</v>
      </c>
      <c r="R85" s="47">
        <f>IFERROR(__xludf.DUMMYFUNCTION("""COMPUTED_VALUE"""),883.0)</f>
        <v>883</v>
      </c>
      <c r="S85" s="47">
        <f>IFERROR(__xludf.DUMMYFUNCTION("""COMPUTED_VALUE"""),883.0)</f>
        <v>883</v>
      </c>
      <c r="T85" s="47">
        <f>IFERROR(__xludf.DUMMYFUNCTION("""COMPUTED_VALUE"""),883.0)</f>
        <v>883</v>
      </c>
      <c r="U85" s="47">
        <f>IFERROR(__xludf.DUMMYFUNCTION("""COMPUTED_VALUE"""),883.0)</f>
        <v>883</v>
      </c>
      <c r="V85" s="47">
        <f>IFERROR(__xludf.DUMMYFUNCTION("""COMPUTED_VALUE"""),883.0)</f>
        <v>883</v>
      </c>
      <c r="W85" s="47">
        <f>IFERROR(__xludf.DUMMYFUNCTION("""COMPUTED_VALUE"""),883.0)</f>
        <v>883</v>
      </c>
      <c r="X85" s="47">
        <f>IFERROR(__xludf.DUMMYFUNCTION("""COMPUTED_VALUE"""),883.0)</f>
        <v>883</v>
      </c>
      <c r="Y85" s="47">
        <f>IFERROR(__xludf.DUMMYFUNCTION("""COMPUTED_VALUE"""),883.0)</f>
        <v>883</v>
      </c>
      <c r="Z85" s="47">
        <f>IFERROR(__xludf.DUMMYFUNCTION("""COMPUTED_VALUE"""),883.0)</f>
        <v>883</v>
      </c>
      <c r="AA85" s="47">
        <f>IFERROR(__xludf.DUMMYFUNCTION("""COMPUTED_VALUE"""),883.0)</f>
        <v>883</v>
      </c>
      <c r="AB85" s="47">
        <f>IFERROR(__xludf.DUMMYFUNCTION("""COMPUTED_VALUE"""),10596.0)</f>
        <v>10596</v>
      </c>
    </row>
    <row r="86">
      <c r="B86" s="37"/>
      <c r="C86" s="37"/>
      <c r="D86" s="37"/>
      <c r="E86" s="37"/>
      <c r="F86" s="37"/>
      <c r="G86" s="37"/>
      <c r="H86" s="37"/>
      <c r="I86" s="37"/>
      <c r="J86" s="37" t="str">
        <f>IFERROR(__xludf.DUMMYFUNCTION("""COMPUTED_VALUE"""),"AICHMA02407076")</f>
        <v>AICHMA02407076</v>
      </c>
      <c r="K86" s="37" t="str">
        <f>IFERROR(__xludf.DUMMYFUNCTION("""COMPUTED_VALUE"""),"Macbook Air")</f>
        <v>Macbook Air</v>
      </c>
      <c r="L86" s="37" t="str">
        <f>IFERROR(__xludf.DUMMYFUNCTION("""COMPUTED_VALUE"""),"徐唯宸")</f>
        <v>徐唯宸</v>
      </c>
      <c r="M86" s="37" t="str">
        <f>IFERROR(__xludf.DUMMYFUNCTION("""COMPUTED_VALUE"""),"行銷營運中心")</f>
        <v>行銷營運中心</v>
      </c>
      <c r="N86" s="37" t="str">
        <f>IFERROR(__xludf.DUMMYFUNCTION("""COMPUTED_VALUE"""),"社群關係部")</f>
        <v>社群關係部</v>
      </c>
      <c r="O86" s="37" t="str">
        <f>IFERROR(__xludf.DUMMYFUNCTION("""COMPUTED_VALUE"""),"餐廳社群團隊")</f>
        <v>餐廳社群團隊</v>
      </c>
      <c r="P86" s="47">
        <f>IFERROR(__xludf.DUMMYFUNCTION("""COMPUTED_VALUE"""),956.0)</f>
        <v>956</v>
      </c>
      <c r="Q86" s="47">
        <f>IFERROR(__xludf.DUMMYFUNCTION("""COMPUTED_VALUE"""),956.0)</f>
        <v>956</v>
      </c>
      <c r="R86" s="47">
        <f>IFERROR(__xludf.DUMMYFUNCTION("""COMPUTED_VALUE"""),956.0)</f>
        <v>956</v>
      </c>
      <c r="S86" s="47">
        <f>IFERROR(__xludf.DUMMYFUNCTION("""COMPUTED_VALUE"""),956.0)</f>
        <v>956</v>
      </c>
      <c r="T86" s="47">
        <f>IFERROR(__xludf.DUMMYFUNCTION("""COMPUTED_VALUE"""),956.0)</f>
        <v>956</v>
      </c>
      <c r="U86" s="47">
        <f>IFERROR(__xludf.DUMMYFUNCTION("""COMPUTED_VALUE"""),956.0)</f>
        <v>956</v>
      </c>
      <c r="V86" s="47">
        <f>IFERROR(__xludf.DUMMYFUNCTION("""COMPUTED_VALUE"""),956.0)</f>
        <v>956</v>
      </c>
      <c r="W86" s="47">
        <f>IFERROR(__xludf.DUMMYFUNCTION("""COMPUTED_VALUE"""),956.0)</f>
        <v>956</v>
      </c>
      <c r="X86" s="47">
        <f>IFERROR(__xludf.DUMMYFUNCTION("""COMPUTED_VALUE"""),956.0)</f>
        <v>956</v>
      </c>
      <c r="Y86" s="47">
        <f>IFERROR(__xludf.DUMMYFUNCTION("""COMPUTED_VALUE"""),956.0)</f>
        <v>956</v>
      </c>
      <c r="Z86" s="47">
        <f>IFERROR(__xludf.DUMMYFUNCTION("""COMPUTED_VALUE"""),956.0)</f>
        <v>956</v>
      </c>
      <c r="AA86" s="47">
        <f>IFERROR(__xludf.DUMMYFUNCTION("""COMPUTED_VALUE"""),956.0)</f>
        <v>956</v>
      </c>
      <c r="AB86" s="47">
        <f>IFERROR(__xludf.DUMMYFUNCTION("""COMPUTED_VALUE"""),11472.0)</f>
        <v>11472</v>
      </c>
    </row>
    <row r="87">
      <c r="B87" s="37"/>
      <c r="C87" s="37"/>
      <c r="D87" s="37"/>
      <c r="E87" s="37"/>
      <c r="F87" s="37"/>
      <c r="G87" s="37"/>
      <c r="H87" s="37"/>
      <c r="I87" s="37"/>
      <c r="J87" s="37" t="str">
        <f>IFERROR(__xludf.DUMMYFUNCTION("""COMPUTED_VALUE"""),"AICHMA02407078")</f>
        <v>AICHMA02407078</v>
      </c>
      <c r="K87" s="37" t="str">
        <f>IFERROR(__xludf.DUMMYFUNCTION("""COMPUTED_VALUE"""),"Macbook Air")</f>
        <v>Macbook Air</v>
      </c>
      <c r="L87" s="37" t="str">
        <f>IFERROR(__xludf.DUMMYFUNCTION("""COMPUTED_VALUE"""),"陳可諠")</f>
        <v>陳可諠</v>
      </c>
      <c r="M87" s="37" t="str">
        <f>IFERROR(__xludf.DUMMYFUNCTION("""COMPUTED_VALUE"""),"行銷營運中心")</f>
        <v>行銷營運中心</v>
      </c>
      <c r="N87" s="37" t="str">
        <f>IFERROR(__xludf.DUMMYFUNCTION("""COMPUTED_VALUE"""),"銷售營運部")</f>
        <v>銷售營運部</v>
      </c>
      <c r="O87" s="37" t="str">
        <f>IFERROR(__xludf.DUMMYFUNCTION("""COMPUTED_VALUE"""),"銷售顧問團隊")</f>
        <v>銷售顧問團隊</v>
      </c>
      <c r="P87" s="47">
        <f>IFERROR(__xludf.DUMMYFUNCTION("""COMPUTED_VALUE"""),883.0)</f>
        <v>883</v>
      </c>
      <c r="Q87" s="47">
        <f>IFERROR(__xludf.DUMMYFUNCTION("""COMPUTED_VALUE"""),883.0)</f>
        <v>883</v>
      </c>
      <c r="R87" s="47">
        <f>IFERROR(__xludf.DUMMYFUNCTION("""COMPUTED_VALUE"""),883.0)</f>
        <v>883</v>
      </c>
      <c r="S87" s="47">
        <f>IFERROR(__xludf.DUMMYFUNCTION("""COMPUTED_VALUE"""),883.0)</f>
        <v>883</v>
      </c>
      <c r="T87" s="47">
        <f>IFERROR(__xludf.DUMMYFUNCTION("""COMPUTED_VALUE"""),883.0)</f>
        <v>883</v>
      </c>
      <c r="U87" s="47">
        <f>IFERROR(__xludf.DUMMYFUNCTION("""COMPUTED_VALUE"""),883.0)</f>
        <v>883</v>
      </c>
      <c r="V87" s="47">
        <f>IFERROR(__xludf.DUMMYFUNCTION("""COMPUTED_VALUE"""),883.0)</f>
        <v>883</v>
      </c>
      <c r="W87" s="47">
        <f>IFERROR(__xludf.DUMMYFUNCTION("""COMPUTED_VALUE"""),883.0)</f>
        <v>883</v>
      </c>
      <c r="X87" s="47">
        <f>IFERROR(__xludf.DUMMYFUNCTION("""COMPUTED_VALUE"""),883.0)</f>
        <v>883</v>
      </c>
      <c r="Y87" s="47">
        <f>IFERROR(__xludf.DUMMYFUNCTION("""COMPUTED_VALUE"""),883.0)</f>
        <v>883</v>
      </c>
      <c r="Z87" s="47">
        <f>IFERROR(__xludf.DUMMYFUNCTION("""COMPUTED_VALUE"""),883.0)</f>
        <v>883</v>
      </c>
      <c r="AA87" s="47">
        <f>IFERROR(__xludf.DUMMYFUNCTION("""COMPUTED_VALUE"""),883.0)</f>
        <v>883</v>
      </c>
      <c r="AB87" s="47">
        <f>IFERROR(__xludf.DUMMYFUNCTION("""COMPUTED_VALUE"""),10596.0)</f>
        <v>10596</v>
      </c>
    </row>
    <row r="88">
      <c r="B88" s="37"/>
      <c r="C88" s="37"/>
      <c r="D88" s="37"/>
      <c r="E88" s="37"/>
      <c r="F88" s="37"/>
      <c r="G88" s="37"/>
      <c r="H88" s="37"/>
      <c r="I88" s="37"/>
      <c r="J88" s="37" t="str">
        <f>IFERROR(__xludf.DUMMYFUNCTION("""COMPUTED_VALUE"""),"AICHMA02407079")</f>
        <v>AICHMA02407079</v>
      </c>
      <c r="K88" s="37" t="str">
        <f>IFERROR(__xludf.DUMMYFUNCTION("""COMPUTED_VALUE"""),"Macbook Air")</f>
        <v>Macbook Air</v>
      </c>
      <c r="L88" s="37" t="str">
        <f>IFERROR(__xludf.DUMMYFUNCTION("""COMPUTED_VALUE"""),"李珈錡")</f>
        <v>李珈錡</v>
      </c>
      <c r="M88" s="37" t="str">
        <f>IFERROR(__xludf.DUMMYFUNCTION("""COMPUTED_VALUE"""),"研發中心")</f>
        <v>研發中心</v>
      </c>
      <c r="N88" s="37" t="str">
        <f>IFERROR(__xludf.DUMMYFUNCTION("""COMPUTED_VALUE"""),"產品設計部")</f>
        <v>產品設計部</v>
      </c>
      <c r="O88" s="37" t="str">
        <f>IFERROR(__xludf.DUMMYFUNCTION("""COMPUTED_VALUE"""),"產品經理團隊")</f>
        <v>產品經理團隊</v>
      </c>
      <c r="P88" s="47">
        <f>IFERROR(__xludf.DUMMYFUNCTION("""COMPUTED_VALUE"""),1475.0)</f>
        <v>1475</v>
      </c>
      <c r="Q88" s="47">
        <f>IFERROR(__xludf.DUMMYFUNCTION("""COMPUTED_VALUE"""),1475.0)</f>
        <v>1475</v>
      </c>
      <c r="R88" s="47">
        <f>IFERROR(__xludf.DUMMYFUNCTION("""COMPUTED_VALUE"""),1475.0)</f>
        <v>1475</v>
      </c>
      <c r="S88" s="47">
        <f>IFERROR(__xludf.DUMMYFUNCTION("""COMPUTED_VALUE"""),1475.0)</f>
        <v>1475</v>
      </c>
      <c r="T88" s="47">
        <f>IFERROR(__xludf.DUMMYFUNCTION("""COMPUTED_VALUE"""),1475.0)</f>
        <v>1475</v>
      </c>
      <c r="U88" s="47">
        <f>IFERROR(__xludf.DUMMYFUNCTION("""COMPUTED_VALUE"""),1475.0)</f>
        <v>1475</v>
      </c>
      <c r="V88" s="47">
        <f>IFERROR(__xludf.DUMMYFUNCTION("""COMPUTED_VALUE"""),1475.0)</f>
        <v>1475</v>
      </c>
      <c r="W88" s="47">
        <f>IFERROR(__xludf.DUMMYFUNCTION("""COMPUTED_VALUE"""),1475.0)</f>
        <v>1475</v>
      </c>
      <c r="X88" s="47">
        <f>IFERROR(__xludf.DUMMYFUNCTION("""COMPUTED_VALUE"""),1475.0)</f>
        <v>1475</v>
      </c>
      <c r="Y88" s="47">
        <f>IFERROR(__xludf.DUMMYFUNCTION("""COMPUTED_VALUE"""),1475.0)</f>
        <v>1475</v>
      </c>
      <c r="Z88" s="47">
        <f>IFERROR(__xludf.DUMMYFUNCTION("""COMPUTED_VALUE"""),1475.0)</f>
        <v>1475</v>
      </c>
      <c r="AA88" s="47">
        <f>IFERROR(__xludf.DUMMYFUNCTION("""COMPUTED_VALUE"""),1475.0)</f>
        <v>1475</v>
      </c>
      <c r="AB88" s="47">
        <f>IFERROR(__xludf.DUMMYFUNCTION("""COMPUTED_VALUE"""),17700.0)</f>
        <v>17700</v>
      </c>
    </row>
    <row r="89">
      <c r="B89" s="37"/>
      <c r="C89" s="37"/>
      <c r="D89" s="37"/>
      <c r="E89" s="37"/>
      <c r="F89" s="37"/>
      <c r="G89" s="37"/>
      <c r="H89" s="37"/>
      <c r="I89" s="37"/>
      <c r="J89" s="37" t="str">
        <f>IFERROR(__xludf.DUMMYFUNCTION("""COMPUTED_VALUE"""),"AICHMA02408080")</f>
        <v>AICHMA02408080</v>
      </c>
      <c r="K89" s="37" t="str">
        <f>IFERROR(__xludf.DUMMYFUNCTION("""COMPUTED_VALUE"""),"Macbook Air")</f>
        <v>Macbook Air</v>
      </c>
      <c r="L89" s="37" t="str">
        <f>IFERROR(__xludf.DUMMYFUNCTION("""COMPUTED_VALUE"""),"楊雅雯")</f>
        <v>楊雅雯</v>
      </c>
      <c r="M89" s="37" t="str">
        <f>IFERROR(__xludf.DUMMYFUNCTION("""COMPUTED_VALUE"""),"行銷營運中心")</f>
        <v>行銷營運中心</v>
      </c>
      <c r="N89" s="37" t="str">
        <f>IFERROR(__xludf.DUMMYFUNCTION("""COMPUTED_VALUE"""),"銷售營運部")</f>
        <v>銷售營運部</v>
      </c>
      <c r="O89" s="37" t="str">
        <f>IFERROR(__xludf.DUMMYFUNCTION("""COMPUTED_VALUE"""),"銷售顧問團隊")</f>
        <v>銷售顧問團隊</v>
      </c>
      <c r="P89" s="47">
        <f>IFERROR(__xludf.DUMMYFUNCTION("""COMPUTED_VALUE"""),883.0)</f>
        <v>883</v>
      </c>
      <c r="Q89" s="47">
        <f>IFERROR(__xludf.DUMMYFUNCTION("""COMPUTED_VALUE"""),883.0)</f>
        <v>883</v>
      </c>
      <c r="R89" s="47">
        <f>IFERROR(__xludf.DUMMYFUNCTION("""COMPUTED_VALUE"""),883.0)</f>
        <v>883</v>
      </c>
      <c r="S89" s="47">
        <f>IFERROR(__xludf.DUMMYFUNCTION("""COMPUTED_VALUE"""),883.0)</f>
        <v>883</v>
      </c>
      <c r="T89" s="47">
        <f>IFERROR(__xludf.DUMMYFUNCTION("""COMPUTED_VALUE"""),883.0)</f>
        <v>883</v>
      </c>
      <c r="U89" s="47">
        <f>IFERROR(__xludf.DUMMYFUNCTION("""COMPUTED_VALUE"""),883.0)</f>
        <v>883</v>
      </c>
      <c r="V89" s="47">
        <f>IFERROR(__xludf.DUMMYFUNCTION("""COMPUTED_VALUE"""),883.0)</f>
        <v>883</v>
      </c>
      <c r="W89" s="47">
        <f>IFERROR(__xludf.DUMMYFUNCTION("""COMPUTED_VALUE"""),883.0)</f>
        <v>883</v>
      </c>
      <c r="X89" s="47">
        <f>IFERROR(__xludf.DUMMYFUNCTION("""COMPUTED_VALUE"""),883.0)</f>
        <v>883</v>
      </c>
      <c r="Y89" s="47">
        <f>IFERROR(__xludf.DUMMYFUNCTION("""COMPUTED_VALUE"""),883.0)</f>
        <v>883</v>
      </c>
      <c r="Z89" s="47">
        <f>IFERROR(__xludf.DUMMYFUNCTION("""COMPUTED_VALUE"""),883.0)</f>
        <v>883</v>
      </c>
      <c r="AA89" s="47">
        <f>IFERROR(__xludf.DUMMYFUNCTION("""COMPUTED_VALUE"""),883.0)</f>
        <v>883</v>
      </c>
      <c r="AB89" s="47">
        <f>IFERROR(__xludf.DUMMYFUNCTION("""COMPUTED_VALUE"""),10596.0)</f>
        <v>10596</v>
      </c>
    </row>
    <row r="90">
      <c r="B90" s="37"/>
      <c r="C90" s="37"/>
      <c r="D90" s="37"/>
      <c r="E90" s="37"/>
      <c r="F90" s="37"/>
      <c r="G90" s="37"/>
      <c r="H90" s="37"/>
      <c r="I90" s="37"/>
      <c r="J90" s="37" t="str">
        <f>IFERROR(__xludf.DUMMYFUNCTION("""COMPUTED_VALUE"""),"AICHMA02408081")</f>
        <v>AICHMA02408081</v>
      </c>
      <c r="K90" s="37" t="str">
        <f>IFERROR(__xludf.DUMMYFUNCTION("""COMPUTED_VALUE"""),"Macbook Air")</f>
        <v>Macbook Air</v>
      </c>
      <c r="L90" s="37" t="str">
        <f>IFERROR(__xludf.DUMMYFUNCTION("""COMPUTED_VALUE"""),"王壯為")</f>
        <v>王壯為</v>
      </c>
      <c r="M90" s="37" t="str">
        <f>IFERROR(__xludf.DUMMYFUNCTION("""COMPUTED_VALUE"""),"管理中心")</f>
        <v>管理中心</v>
      </c>
      <c r="N90" s="37" t="str">
        <f>IFERROR(__xludf.DUMMYFUNCTION("""COMPUTED_VALUE"""),"資訊部")</f>
        <v>資訊部</v>
      </c>
      <c r="O90" s="37"/>
      <c r="P90" s="47">
        <f>IFERROR(__xludf.DUMMYFUNCTION("""COMPUTED_VALUE"""),883.0)</f>
        <v>883</v>
      </c>
      <c r="Q90" s="47">
        <f>IFERROR(__xludf.DUMMYFUNCTION("""COMPUTED_VALUE"""),883.0)</f>
        <v>883</v>
      </c>
      <c r="R90" s="47">
        <f>IFERROR(__xludf.DUMMYFUNCTION("""COMPUTED_VALUE"""),883.0)</f>
        <v>883</v>
      </c>
      <c r="S90" s="47">
        <f>IFERROR(__xludf.DUMMYFUNCTION("""COMPUTED_VALUE"""),883.0)</f>
        <v>883</v>
      </c>
      <c r="T90" s="47">
        <f>IFERROR(__xludf.DUMMYFUNCTION("""COMPUTED_VALUE"""),883.0)</f>
        <v>883</v>
      </c>
      <c r="U90" s="47">
        <f>IFERROR(__xludf.DUMMYFUNCTION("""COMPUTED_VALUE"""),883.0)</f>
        <v>883</v>
      </c>
      <c r="V90" s="47">
        <f>IFERROR(__xludf.DUMMYFUNCTION("""COMPUTED_VALUE"""),883.0)</f>
        <v>883</v>
      </c>
      <c r="W90" s="47">
        <f>IFERROR(__xludf.DUMMYFUNCTION("""COMPUTED_VALUE"""),883.0)</f>
        <v>883</v>
      </c>
      <c r="X90" s="47">
        <f>IFERROR(__xludf.DUMMYFUNCTION("""COMPUTED_VALUE"""),883.0)</f>
        <v>883</v>
      </c>
      <c r="Y90" s="47">
        <f>IFERROR(__xludf.DUMMYFUNCTION("""COMPUTED_VALUE"""),883.0)</f>
        <v>883</v>
      </c>
      <c r="Z90" s="47">
        <f>IFERROR(__xludf.DUMMYFUNCTION("""COMPUTED_VALUE"""),883.0)</f>
        <v>883</v>
      </c>
      <c r="AA90" s="47">
        <f>IFERROR(__xludf.DUMMYFUNCTION("""COMPUTED_VALUE"""),883.0)</f>
        <v>883</v>
      </c>
      <c r="AB90" s="47">
        <f>IFERROR(__xludf.DUMMYFUNCTION("""COMPUTED_VALUE"""),10596.0)</f>
        <v>10596</v>
      </c>
    </row>
    <row r="91">
      <c r="B91" s="37"/>
      <c r="C91" s="37"/>
      <c r="D91" s="37"/>
      <c r="E91" s="37"/>
      <c r="F91" s="37"/>
      <c r="G91" s="37"/>
      <c r="H91" s="37"/>
      <c r="I91" s="37"/>
      <c r="J91" s="37" t="str">
        <f>IFERROR(__xludf.DUMMYFUNCTION("""COMPUTED_VALUE"""),"AICHIP02408104")</f>
        <v>AICHIP02408104</v>
      </c>
      <c r="K91" s="37" t="str">
        <f>IFERROR(__xludf.DUMMYFUNCTION("""COMPUTED_VALUE"""),"iPad 10")</f>
        <v>iPad 10</v>
      </c>
      <c r="L91" s="37" t="str">
        <f>IFERROR(__xludf.DUMMYFUNCTION("""COMPUTED_VALUE"""),"楊雅雯")</f>
        <v>楊雅雯</v>
      </c>
      <c r="M91" s="37" t="str">
        <f>IFERROR(__xludf.DUMMYFUNCTION("""COMPUTED_VALUE"""),"行銷營運中心")</f>
        <v>行銷營運中心</v>
      </c>
      <c r="N91" s="37" t="str">
        <f>IFERROR(__xludf.DUMMYFUNCTION("""COMPUTED_VALUE"""),"銷售營運部")</f>
        <v>銷售營運部</v>
      </c>
      <c r="O91" s="37" t="str">
        <f>IFERROR(__xludf.DUMMYFUNCTION("""COMPUTED_VALUE"""),"銷售顧問團隊")</f>
        <v>銷售顧問團隊</v>
      </c>
      <c r="P91" s="47">
        <f>IFERROR(__xludf.DUMMYFUNCTION("""COMPUTED_VALUE"""),294.0)</f>
        <v>294</v>
      </c>
      <c r="Q91" s="47">
        <f>IFERROR(__xludf.DUMMYFUNCTION("""COMPUTED_VALUE"""),294.0)</f>
        <v>294</v>
      </c>
      <c r="R91" s="47">
        <f>IFERROR(__xludf.DUMMYFUNCTION("""COMPUTED_VALUE"""),294.0)</f>
        <v>294</v>
      </c>
      <c r="S91" s="47">
        <f>IFERROR(__xludf.DUMMYFUNCTION("""COMPUTED_VALUE"""),294.0)</f>
        <v>294</v>
      </c>
      <c r="T91" s="47">
        <f>IFERROR(__xludf.DUMMYFUNCTION("""COMPUTED_VALUE"""),294.0)</f>
        <v>294</v>
      </c>
      <c r="U91" s="47">
        <f>IFERROR(__xludf.DUMMYFUNCTION("""COMPUTED_VALUE"""),294.0)</f>
        <v>294</v>
      </c>
      <c r="V91" s="47">
        <f>IFERROR(__xludf.DUMMYFUNCTION("""COMPUTED_VALUE"""),294.0)</f>
        <v>294</v>
      </c>
      <c r="W91" s="47">
        <f>IFERROR(__xludf.DUMMYFUNCTION("""COMPUTED_VALUE"""),294.0)</f>
        <v>294</v>
      </c>
      <c r="X91" s="47">
        <f>IFERROR(__xludf.DUMMYFUNCTION("""COMPUTED_VALUE"""),294.0)</f>
        <v>294</v>
      </c>
      <c r="Y91" s="47">
        <f>IFERROR(__xludf.DUMMYFUNCTION("""COMPUTED_VALUE"""),294.0)</f>
        <v>294</v>
      </c>
      <c r="Z91" s="47">
        <f>IFERROR(__xludf.DUMMYFUNCTION("""COMPUTED_VALUE"""),294.0)</f>
        <v>294</v>
      </c>
      <c r="AA91" s="47">
        <f>IFERROR(__xludf.DUMMYFUNCTION("""COMPUTED_VALUE"""),294.0)</f>
        <v>294</v>
      </c>
      <c r="AB91" s="47">
        <f>IFERROR(__xludf.DUMMYFUNCTION("""COMPUTED_VALUE"""),3528.0)</f>
        <v>3528</v>
      </c>
    </row>
    <row r="92">
      <c r="B92" s="37"/>
      <c r="C92" s="37"/>
      <c r="D92" s="37"/>
      <c r="E92" s="37"/>
      <c r="F92" s="37"/>
      <c r="G92" s="37"/>
      <c r="H92" s="37"/>
      <c r="I92" s="37"/>
      <c r="J92" s="37" t="str">
        <f>IFERROR(__xludf.DUMMYFUNCTION("""COMPUTED_VALUE"""),"AICHIP02408105")</f>
        <v>AICHIP02408105</v>
      </c>
      <c r="K92" s="37" t="str">
        <f>IFERROR(__xludf.DUMMYFUNCTION("""COMPUTED_VALUE"""),"iPad 10")</f>
        <v>iPad 10</v>
      </c>
      <c r="L92" s="37" t="str">
        <f>IFERROR(__xludf.DUMMYFUNCTION("""COMPUTED_VALUE"""),"王壯為")</f>
        <v>王壯為</v>
      </c>
      <c r="M92" s="37" t="str">
        <f>IFERROR(__xludf.DUMMYFUNCTION("""COMPUTED_VALUE"""),"管理中心")</f>
        <v>管理中心</v>
      </c>
      <c r="N92" s="37" t="str">
        <f>IFERROR(__xludf.DUMMYFUNCTION("""COMPUTED_VALUE"""),"資訊部")</f>
        <v>資訊部</v>
      </c>
      <c r="O92" s="37"/>
      <c r="P92" s="47">
        <f>IFERROR(__xludf.DUMMYFUNCTION("""COMPUTED_VALUE"""),294.0)</f>
        <v>294</v>
      </c>
      <c r="Q92" s="47">
        <f>IFERROR(__xludf.DUMMYFUNCTION("""COMPUTED_VALUE"""),294.0)</f>
        <v>294</v>
      </c>
      <c r="R92" s="47">
        <f>IFERROR(__xludf.DUMMYFUNCTION("""COMPUTED_VALUE"""),294.0)</f>
        <v>294</v>
      </c>
      <c r="S92" s="47">
        <f>IFERROR(__xludf.DUMMYFUNCTION("""COMPUTED_VALUE"""),294.0)</f>
        <v>294</v>
      </c>
      <c r="T92" s="47">
        <f>IFERROR(__xludf.DUMMYFUNCTION("""COMPUTED_VALUE"""),294.0)</f>
        <v>294</v>
      </c>
      <c r="U92" s="47">
        <f>IFERROR(__xludf.DUMMYFUNCTION("""COMPUTED_VALUE"""),294.0)</f>
        <v>294</v>
      </c>
      <c r="V92" s="47">
        <f>IFERROR(__xludf.DUMMYFUNCTION("""COMPUTED_VALUE"""),294.0)</f>
        <v>294</v>
      </c>
      <c r="W92" s="47">
        <f>IFERROR(__xludf.DUMMYFUNCTION("""COMPUTED_VALUE"""),294.0)</f>
        <v>294</v>
      </c>
      <c r="X92" s="47">
        <f>IFERROR(__xludf.DUMMYFUNCTION("""COMPUTED_VALUE"""),294.0)</f>
        <v>294</v>
      </c>
      <c r="Y92" s="47">
        <f>IFERROR(__xludf.DUMMYFUNCTION("""COMPUTED_VALUE"""),294.0)</f>
        <v>294</v>
      </c>
      <c r="Z92" s="47">
        <f>IFERROR(__xludf.DUMMYFUNCTION("""COMPUTED_VALUE"""),294.0)</f>
        <v>294</v>
      </c>
      <c r="AA92" s="47">
        <f>IFERROR(__xludf.DUMMYFUNCTION("""COMPUTED_VALUE"""),294.0)</f>
        <v>294</v>
      </c>
      <c r="AB92" s="47">
        <f>IFERROR(__xludf.DUMMYFUNCTION("""COMPUTED_VALUE"""),3528.0)</f>
        <v>3528</v>
      </c>
    </row>
    <row r="93">
      <c r="B93" s="37"/>
      <c r="C93" s="37"/>
      <c r="D93" s="37"/>
      <c r="E93" s="37"/>
      <c r="F93" s="37"/>
      <c r="G93" s="37"/>
      <c r="H93" s="37"/>
      <c r="I93" s="37"/>
      <c r="J93" s="37" t="str">
        <f>IFERROR(__xludf.DUMMYFUNCTION("""COMPUTED_VALUE"""),"AICHMN02408145")</f>
        <v>AICHMN02408145</v>
      </c>
      <c r="K93" s="37" t="str">
        <f>IFERROR(__xludf.DUMMYFUNCTION("""COMPUTED_VALUE"""),"螢幕")</f>
        <v>螢幕</v>
      </c>
      <c r="L93" s="37" t="str">
        <f>IFERROR(__xludf.DUMMYFUNCTION("""COMPUTED_VALUE"""),"王壯為")</f>
        <v>王壯為</v>
      </c>
      <c r="M93" s="37" t="str">
        <f>IFERROR(__xludf.DUMMYFUNCTION("""COMPUTED_VALUE"""),"管理中心")</f>
        <v>管理中心</v>
      </c>
      <c r="N93" s="37" t="str">
        <f>IFERROR(__xludf.DUMMYFUNCTION("""COMPUTED_VALUE"""),"資訊部")</f>
        <v>資訊部</v>
      </c>
      <c r="O93" s="37"/>
      <c r="P93" s="47">
        <f>IFERROR(__xludf.DUMMYFUNCTION("""COMPUTED_VALUE"""),1647.0)</f>
        <v>1647</v>
      </c>
      <c r="Q93" s="47">
        <f>IFERROR(__xludf.DUMMYFUNCTION("""COMPUTED_VALUE"""),1647.0)</f>
        <v>1647</v>
      </c>
      <c r="R93" s="47">
        <f>IFERROR(__xludf.DUMMYFUNCTION("""COMPUTED_VALUE"""),1647.0)</f>
        <v>1647</v>
      </c>
      <c r="S93" s="47">
        <f>IFERROR(__xludf.DUMMYFUNCTION("""COMPUTED_VALUE"""),1647.0)</f>
        <v>1647</v>
      </c>
      <c r="T93" s="47">
        <f>IFERROR(__xludf.DUMMYFUNCTION("""COMPUTED_VALUE"""),1647.0)</f>
        <v>1647</v>
      </c>
      <c r="U93" s="47">
        <f>IFERROR(__xludf.DUMMYFUNCTION("""COMPUTED_VALUE"""),1647.0)</f>
        <v>1647</v>
      </c>
      <c r="V93" s="47">
        <f>IFERROR(__xludf.DUMMYFUNCTION("""COMPUTED_VALUE"""),1647.0)</f>
        <v>1647</v>
      </c>
      <c r="W93" s="47">
        <f>IFERROR(__xludf.DUMMYFUNCTION("""COMPUTED_VALUE"""),1647.0)</f>
        <v>1647</v>
      </c>
      <c r="X93" s="47">
        <f>IFERROR(__xludf.DUMMYFUNCTION("""COMPUTED_VALUE"""),1647.0)</f>
        <v>1647</v>
      </c>
      <c r="Y93" s="47">
        <f>IFERROR(__xludf.DUMMYFUNCTION("""COMPUTED_VALUE"""),1647.0)</f>
        <v>1647</v>
      </c>
      <c r="Z93" s="47">
        <f>IFERROR(__xludf.DUMMYFUNCTION("""COMPUTED_VALUE"""),1647.0)</f>
        <v>1647</v>
      </c>
      <c r="AA93" s="47">
        <f>IFERROR(__xludf.DUMMYFUNCTION("""COMPUTED_VALUE"""),1647.0)</f>
        <v>1647</v>
      </c>
      <c r="AB93" s="47">
        <f>IFERROR(__xludf.DUMMYFUNCTION("""COMPUTED_VALUE"""),19764.0)</f>
        <v>19764</v>
      </c>
    </row>
    <row r="94">
      <c r="B94" s="37"/>
      <c r="C94" s="37"/>
      <c r="D94" s="37"/>
      <c r="E94" s="37"/>
      <c r="F94" s="37"/>
      <c r="G94" s="37"/>
      <c r="H94" s="37"/>
      <c r="I94" s="37"/>
      <c r="J94" s="37" t="str">
        <f>IFERROR(__xludf.DUMMYFUNCTION("""COMPUTED_VALUE"""),"AICHMP02409077")</f>
        <v>AICHMP02409077</v>
      </c>
      <c r="K94" s="37" t="str">
        <f>IFERROR(__xludf.DUMMYFUNCTION("""COMPUTED_VALUE"""),"Macbook Pro")</f>
        <v>Macbook Pro</v>
      </c>
      <c r="L94" s="37" t="str">
        <f>IFERROR(__xludf.DUMMYFUNCTION("""COMPUTED_VALUE"""),"李中正")</f>
        <v>李中正</v>
      </c>
      <c r="M94" s="37" t="str">
        <f>IFERROR(__xludf.DUMMYFUNCTION("""COMPUTED_VALUE"""),"研發中心")</f>
        <v>研發中心</v>
      </c>
      <c r="N94" s="37" t="str">
        <f>IFERROR(__xludf.DUMMYFUNCTION("""COMPUTED_VALUE"""),"軟體工程部")</f>
        <v>軟體工程部</v>
      </c>
      <c r="O94" s="37"/>
      <c r="P94" s="47">
        <f>IFERROR(__xludf.DUMMYFUNCTION("""COMPUTED_VALUE"""),1794.0)</f>
        <v>1794</v>
      </c>
      <c r="Q94" s="47">
        <f>IFERROR(__xludf.DUMMYFUNCTION("""COMPUTED_VALUE"""),1794.0)</f>
        <v>1794</v>
      </c>
      <c r="R94" s="47">
        <f>IFERROR(__xludf.DUMMYFUNCTION("""COMPUTED_VALUE"""),1794.0)</f>
        <v>1794</v>
      </c>
      <c r="S94" s="47">
        <f>IFERROR(__xludf.DUMMYFUNCTION("""COMPUTED_VALUE"""),1794.0)</f>
        <v>1794</v>
      </c>
      <c r="T94" s="47">
        <f>IFERROR(__xludf.DUMMYFUNCTION("""COMPUTED_VALUE"""),1794.0)</f>
        <v>1794</v>
      </c>
      <c r="U94" s="47">
        <f>IFERROR(__xludf.DUMMYFUNCTION("""COMPUTED_VALUE"""),1794.0)</f>
        <v>1794</v>
      </c>
      <c r="V94" s="47">
        <f>IFERROR(__xludf.DUMMYFUNCTION("""COMPUTED_VALUE"""),1794.0)</f>
        <v>1794</v>
      </c>
      <c r="W94" s="47">
        <f>IFERROR(__xludf.DUMMYFUNCTION("""COMPUTED_VALUE"""),1794.0)</f>
        <v>1794</v>
      </c>
      <c r="X94" s="47">
        <f>IFERROR(__xludf.DUMMYFUNCTION("""COMPUTED_VALUE"""),1794.0)</f>
        <v>1794</v>
      </c>
      <c r="Y94" s="47">
        <f>IFERROR(__xludf.DUMMYFUNCTION("""COMPUTED_VALUE"""),1794.0)</f>
        <v>1794</v>
      </c>
      <c r="Z94" s="47">
        <f>IFERROR(__xludf.DUMMYFUNCTION("""COMPUTED_VALUE"""),1794.0)</f>
        <v>1794</v>
      </c>
      <c r="AA94" s="47">
        <f>IFERROR(__xludf.DUMMYFUNCTION("""COMPUTED_VALUE"""),1794.0)</f>
        <v>1794</v>
      </c>
      <c r="AB94" s="47">
        <f>IFERROR(__xludf.DUMMYFUNCTION("""COMPUTED_VALUE"""),21528.0)</f>
        <v>21528</v>
      </c>
    </row>
    <row r="95">
      <c r="B95" s="37"/>
      <c r="C95" s="37"/>
      <c r="D95" s="37"/>
      <c r="E95" s="37"/>
      <c r="F95" s="37"/>
      <c r="G95" s="37"/>
      <c r="H95" s="37"/>
      <c r="I95" s="37"/>
      <c r="J95" s="37" t="str">
        <f>IFERROR(__xludf.DUMMYFUNCTION("""COMPUTED_VALUE"""),"AICHMA02409083")</f>
        <v>AICHMA02409083</v>
      </c>
      <c r="K95" s="37" t="str">
        <f>IFERROR(__xludf.DUMMYFUNCTION("""COMPUTED_VALUE"""),"Macbook Air")</f>
        <v>Macbook Air</v>
      </c>
      <c r="L95" s="37" t="str">
        <f>IFERROR(__xludf.DUMMYFUNCTION("""COMPUTED_VALUE"""),"盧欣妤")</f>
        <v>盧欣妤</v>
      </c>
      <c r="M95" s="37" t="str">
        <f>IFERROR(__xludf.DUMMYFUNCTION("""COMPUTED_VALUE"""),"客戶價值中心")</f>
        <v>客戶價值中心</v>
      </c>
      <c r="N95" s="37" t="str">
        <f>IFERROR(__xludf.DUMMYFUNCTION("""COMPUTED_VALUE"""),"客戶關係管理部")</f>
        <v>客戶關係管理部</v>
      </c>
      <c r="O95" s="37" t="str">
        <f>IFERROR(__xludf.DUMMYFUNCTION("""COMPUTED_VALUE"""),"客服團隊 POS/OMO")</f>
        <v>客服團隊 POS/OMO</v>
      </c>
      <c r="P95" s="47">
        <f>IFERROR(__xludf.DUMMYFUNCTION("""COMPUTED_VALUE"""),917.0)</f>
        <v>917</v>
      </c>
      <c r="Q95" s="47">
        <f>IFERROR(__xludf.DUMMYFUNCTION("""COMPUTED_VALUE"""),917.0)</f>
        <v>917</v>
      </c>
      <c r="R95" s="47">
        <f>IFERROR(__xludf.DUMMYFUNCTION("""COMPUTED_VALUE"""),917.0)</f>
        <v>917</v>
      </c>
      <c r="S95" s="47">
        <f>IFERROR(__xludf.DUMMYFUNCTION("""COMPUTED_VALUE"""),917.0)</f>
        <v>917</v>
      </c>
      <c r="T95" s="47">
        <f>IFERROR(__xludf.DUMMYFUNCTION("""COMPUTED_VALUE"""),917.0)</f>
        <v>917</v>
      </c>
      <c r="U95" s="47">
        <f>IFERROR(__xludf.DUMMYFUNCTION("""COMPUTED_VALUE"""),917.0)</f>
        <v>917</v>
      </c>
      <c r="V95" s="47">
        <f>IFERROR(__xludf.DUMMYFUNCTION("""COMPUTED_VALUE"""),917.0)</f>
        <v>917</v>
      </c>
      <c r="W95" s="47">
        <f>IFERROR(__xludf.DUMMYFUNCTION("""COMPUTED_VALUE"""),917.0)</f>
        <v>917</v>
      </c>
      <c r="X95" s="47">
        <f>IFERROR(__xludf.DUMMYFUNCTION("""COMPUTED_VALUE"""),917.0)</f>
        <v>917</v>
      </c>
      <c r="Y95" s="47">
        <f>IFERROR(__xludf.DUMMYFUNCTION("""COMPUTED_VALUE"""),917.0)</f>
        <v>917</v>
      </c>
      <c r="Z95" s="47">
        <f>IFERROR(__xludf.DUMMYFUNCTION("""COMPUTED_VALUE"""),917.0)</f>
        <v>917</v>
      </c>
      <c r="AA95" s="47">
        <f>IFERROR(__xludf.DUMMYFUNCTION("""COMPUTED_VALUE"""),917.0)</f>
        <v>917</v>
      </c>
      <c r="AB95" s="47">
        <f>IFERROR(__xludf.DUMMYFUNCTION("""COMPUTED_VALUE"""),11004.0)</f>
        <v>11004</v>
      </c>
    </row>
    <row r="96">
      <c r="B96" s="37"/>
      <c r="C96" s="37"/>
      <c r="D96" s="37"/>
      <c r="E96" s="37"/>
      <c r="F96" s="37"/>
      <c r="G96" s="37"/>
      <c r="H96" s="37"/>
      <c r="I96" s="37"/>
      <c r="J96" s="37" t="str">
        <f>IFERROR(__xludf.DUMMYFUNCTION("""COMPUTED_VALUE"""),"AICHMA02409084")</f>
        <v>AICHMA02409084</v>
      </c>
      <c r="K96" s="37" t="str">
        <f>IFERROR(__xludf.DUMMYFUNCTION("""COMPUTED_VALUE"""),"Macbook Air")</f>
        <v>Macbook Air</v>
      </c>
      <c r="L96" s="37" t="str">
        <f>IFERROR(__xludf.DUMMYFUNCTION("""COMPUTED_VALUE"""),"黃承駿")</f>
        <v>黃承駿</v>
      </c>
      <c r="M96" s="37" t="str">
        <f>IFERROR(__xludf.DUMMYFUNCTION("""COMPUTED_VALUE"""),"管理中心")</f>
        <v>管理中心</v>
      </c>
      <c r="N96" s="37" t="str">
        <f>IFERROR(__xludf.DUMMYFUNCTION("""COMPUTED_VALUE"""),"法務部")</f>
        <v>法務部</v>
      </c>
      <c r="O96" s="37" t="str">
        <f>IFERROR(__xludf.DUMMYFUNCTION("""COMPUTED_VALUE"""),"法務團隊")</f>
        <v>法務團隊</v>
      </c>
      <c r="P96" s="47">
        <f>IFERROR(__xludf.DUMMYFUNCTION("""COMPUTED_VALUE"""),917.0)</f>
        <v>917</v>
      </c>
      <c r="Q96" s="47">
        <f>IFERROR(__xludf.DUMMYFUNCTION("""COMPUTED_VALUE"""),917.0)</f>
        <v>917</v>
      </c>
      <c r="R96" s="47">
        <f>IFERROR(__xludf.DUMMYFUNCTION("""COMPUTED_VALUE"""),917.0)</f>
        <v>917</v>
      </c>
      <c r="S96" s="47">
        <f>IFERROR(__xludf.DUMMYFUNCTION("""COMPUTED_VALUE"""),917.0)</f>
        <v>917</v>
      </c>
      <c r="T96" s="47">
        <f>IFERROR(__xludf.DUMMYFUNCTION("""COMPUTED_VALUE"""),917.0)</f>
        <v>917</v>
      </c>
      <c r="U96" s="47">
        <f>IFERROR(__xludf.DUMMYFUNCTION("""COMPUTED_VALUE"""),917.0)</f>
        <v>917</v>
      </c>
      <c r="V96" s="47">
        <f>IFERROR(__xludf.DUMMYFUNCTION("""COMPUTED_VALUE"""),917.0)</f>
        <v>917</v>
      </c>
      <c r="W96" s="47">
        <f>IFERROR(__xludf.DUMMYFUNCTION("""COMPUTED_VALUE"""),917.0)</f>
        <v>917</v>
      </c>
      <c r="X96" s="47">
        <f>IFERROR(__xludf.DUMMYFUNCTION("""COMPUTED_VALUE"""),917.0)</f>
        <v>917</v>
      </c>
      <c r="Y96" s="47">
        <f>IFERROR(__xludf.DUMMYFUNCTION("""COMPUTED_VALUE"""),917.0)</f>
        <v>917</v>
      </c>
      <c r="Z96" s="47">
        <f>IFERROR(__xludf.DUMMYFUNCTION("""COMPUTED_VALUE"""),917.0)</f>
        <v>917</v>
      </c>
      <c r="AA96" s="47">
        <f>IFERROR(__xludf.DUMMYFUNCTION("""COMPUTED_VALUE"""),917.0)</f>
        <v>917</v>
      </c>
      <c r="AB96" s="47">
        <f>IFERROR(__xludf.DUMMYFUNCTION("""COMPUTED_VALUE"""),11004.0)</f>
        <v>11004</v>
      </c>
    </row>
    <row r="97">
      <c r="B97" s="37"/>
      <c r="C97" s="37"/>
      <c r="D97" s="37"/>
      <c r="E97" s="37"/>
      <c r="F97" s="37"/>
      <c r="G97" s="37"/>
      <c r="H97" s="37"/>
      <c r="I97" s="37"/>
      <c r="J97" s="37" t="str">
        <f>IFERROR(__xludf.DUMMYFUNCTION("""COMPUTED_VALUE"""),"AICHNB02409004")</f>
        <v>AICHNB02409004</v>
      </c>
      <c r="K97" s="37" t="str">
        <f>IFERROR(__xludf.DUMMYFUNCTION("""COMPUTED_VALUE"""),"Windows 筆電")</f>
        <v>Windows 筆電</v>
      </c>
      <c r="L97" s="37" t="str">
        <f>IFERROR(__xludf.DUMMYFUNCTION("""COMPUTED_VALUE"""),"魏宜婷")</f>
        <v>魏宜婷</v>
      </c>
      <c r="M97" s="37" t="str">
        <f>IFERROR(__xludf.DUMMYFUNCTION("""COMPUTED_VALUE"""),"執行長室")</f>
        <v>執行長室</v>
      </c>
      <c r="N97" s="37" t="str">
        <f>IFERROR(__xludf.DUMMYFUNCTION("""COMPUTED_VALUE"""),"稽核室")</f>
        <v>稽核室</v>
      </c>
      <c r="O97" s="37"/>
      <c r="P97" s="47">
        <f>IFERROR(__xludf.DUMMYFUNCTION("""COMPUTED_VALUE"""),1139.0)</f>
        <v>1139</v>
      </c>
      <c r="Q97" s="47">
        <f>IFERROR(__xludf.DUMMYFUNCTION("""COMPUTED_VALUE"""),1139.0)</f>
        <v>1139</v>
      </c>
      <c r="R97" s="47">
        <f>IFERROR(__xludf.DUMMYFUNCTION("""COMPUTED_VALUE"""),1139.0)</f>
        <v>1139</v>
      </c>
      <c r="S97" s="47">
        <f>IFERROR(__xludf.DUMMYFUNCTION("""COMPUTED_VALUE"""),1139.0)</f>
        <v>1139</v>
      </c>
      <c r="T97" s="47">
        <f>IFERROR(__xludf.DUMMYFUNCTION("""COMPUTED_VALUE"""),1139.0)</f>
        <v>1139</v>
      </c>
      <c r="U97" s="47">
        <f>IFERROR(__xludf.DUMMYFUNCTION("""COMPUTED_VALUE"""),1139.0)</f>
        <v>1139</v>
      </c>
      <c r="V97" s="47">
        <f>IFERROR(__xludf.DUMMYFUNCTION("""COMPUTED_VALUE"""),1139.0)</f>
        <v>1139</v>
      </c>
      <c r="W97" s="47">
        <f>IFERROR(__xludf.DUMMYFUNCTION("""COMPUTED_VALUE"""),1139.0)</f>
        <v>1139</v>
      </c>
      <c r="X97" s="47">
        <f>IFERROR(__xludf.DUMMYFUNCTION("""COMPUTED_VALUE"""),1139.0)</f>
        <v>1139</v>
      </c>
      <c r="Y97" s="47">
        <f>IFERROR(__xludf.DUMMYFUNCTION("""COMPUTED_VALUE"""),1139.0)</f>
        <v>1139</v>
      </c>
      <c r="Z97" s="47">
        <f>IFERROR(__xludf.DUMMYFUNCTION("""COMPUTED_VALUE"""),1139.0)</f>
        <v>1139</v>
      </c>
      <c r="AA97" s="47">
        <f>IFERROR(__xludf.DUMMYFUNCTION("""COMPUTED_VALUE"""),1139.0)</f>
        <v>1139</v>
      </c>
      <c r="AB97" s="47">
        <f>IFERROR(__xludf.DUMMYFUNCTION("""COMPUTED_VALUE"""),13668.0)</f>
        <v>13668</v>
      </c>
    </row>
    <row r="98">
      <c r="B98" s="37"/>
      <c r="C98" s="37"/>
      <c r="D98" s="37"/>
      <c r="E98" s="37"/>
      <c r="F98" s="37"/>
      <c r="G98" s="37"/>
      <c r="H98" s="37"/>
      <c r="I98" s="37"/>
      <c r="J98" s="37" t="str">
        <f>IFERROR(__xludf.DUMMYFUNCTION("""COMPUTED_VALUE"""),"AICHMA02409086")</f>
        <v>AICHMA02409086</v>
      </c>
      <c r="K98" s="37" t="str">
        <f>IFERROR(__xludf.DUMMYFUNCTION("""COMPUTED_VALUE"""),"Macbook Air")</f>
        <v>Macbook Air</v>
      </c>
      <c r="L98" s="37" t="str">
        <f>IFERROR(__xludf.DUMMYFUNCTION("""COMPUTED_VALUE"""),"林育萱")</f>
        <v>林育萱</v>
      </c>
      <c r="M98" s="37" t="str">
        <f>IFERROR(__xludf.DUMMYFUNCTION("""COMPUTED_VALUE"""),"行銷營運中心")</f>
        <v>行銷營運中心</v>
      </c>
      <c r="N98" s="37" t="str">
        <f>IFERROR(__xludf.DUMMYFUNCTION("""COMPUTED_VALUE"""),"銷售營運部")</f>
        <v>銷售營運部</v>
      </c>
      <c r="O98" s="37" t="str">
        <f>IFERROR(__xludf.DUMMYFUNCTION("""COMPUTED_VALUE"""),"成交營運團隊")</f>
        <v>成交營運團隊</v>
      </c>
      <c r="P98" s="47">
        <f>IFERROR(__xludf.DUMMYFUNCTION("""COMPUTED_VALUE"""),1033.0)</f>
        <v>1033</v>
      </c>
      <c r="Q98" s="47">
        <f>IFERROR(__xludf.DUMMYFUNCTION("""COMPUTED_VALUE"""),1033.0)</f>
        <v>1033</v>
      </c>
      <c r="R98" s="47">
        <f>IFERROR(__xludf.DUMMYFUNCTION("""COMPUTED_VALUE"""),1033.0)</f>
        <v>1033</v>
      </c>
      <c r="S98" s="47">
        <f>IFERROR(__xludf.DUMMYFUNCTION("""COMPUTED_VALUE"""),1033.0)</f>
        <v>1033</v>
      </c>
      <c r="T98" s="47">
        <f>IFERROR(__xludf.DUMMYFUNCTION("""COMPUTED_VALUE"""),1033.0)</f>
        <v>1033</v>
      </c>
      <c r="U98" s="47">
        <f>IFERROR(__xludf.DUMMYFUNCTION("""COMPUTED_VALUE"""),1033.0)</f>
        <v>1033</v>
      </c>
      <c r="V98" s="47">
        <f>IFERROR(__xludf.DUMMYFUNCTION("""COMPUTED_VALUE"""),1033.0)</f>
        <v>1033</v>
      </c>
      <c r="W98" s="47">
        <f>IFERROR(__xludf.DUMMYFUNCTION("""COMPUTED_VALUE"""),1033.0)</f>
        <v>1033</v>
      </c>
      <c r="X98" s="47">
        <f>IFERROR(__xludf.DUMMYFUNCTION("""COMPUTED_VALUE"""),1033.0)</f>
        <v>1033</v>
      </c>
      <c r="Y98" s="47">
        <f>IFERROR(__xludf.DUMMYFUNCTION("""COMPUTED_VALUE"""),1033.0)</f>
        <v>1033</v>
      </c>
      <c r="Z98" s="47">
        <f>IFERROR(__xludf.DUMMYFUNCTION("""COMPUTED_VALUE"""),1033.0)</f>
        <v>1033</v>
      </c>
      <c r="AA98" s="47">
        <f>IFERROR(__xludf.DUMMYFUNCTION("""COMPUTED_VALUE"""),1033.0)</f>
        <v>1033</v>
      </c>
      <c r="AB98" s="47">
        <f>IFERROR(__xludf.DUMMYFUNCTION("""COMPUTED_VALUE"""),12396.0)</f>
        <v>12396</v>
      </c>
    </row>
    <row r="99">
      <c r="B99" s="37"/>
      <c r="C99" s="37"/>
      <c r="D99" s="37"/>
      <c r="E99" s="37"/>
      <c r="F99" s="37"/>
      <c r="G99" s="37"/>
      <c r="H99" s="37"/>
      <c r="I99" s="37"/>
      <c r="J99" s="37" t="str">
        <f>IFERROR(__xludf.DUMMYFUNCTION("""COMPUTED_VALUE"""),"AICHMA02409087")</f>
        <v>AICHMA02409087</v>
      </c>
      <c r="K99" s="37" t="str">
        <f>IFERROR(__xludf.DUMMYFUNCTION("""COMPUTED_VALUE"""),"Macbook Air")</f>
        <v>Macbook Air</v>
      </c>
      <c r="L99" s="37" t="str">
        <f>IFERROR(__xludf.DUMMYFUNCTION("""COMPUTED_VALUE"""),"王壯為")</f>
        <v>王壯為</v>
      </c>
      <c r="M99" s="37" t="str">
        <f>IFERROR(__xludf.DUMMYFUNCTION("""COMPUTED_VALUE"""),"管理中心")</f>
        <v>管理中心</v>
      </c>
      <c r="N99" s="37" t="str">
        <f>IFERROR(__xludf.DUMMYFUNCTION("""COMPUTED_VALUE"""),"資訊部")</f>
        <v>資訊部</v>
      </c>
      <c r="O99" s="37"/>
      <c r="P99" s="47">
        <f>IFERROR(__xludf.DUMMYFUNCTION("""COMPUTED_VALUE"""),1033.0)</f>
        <v>1033</v>
      </c>
      <c r="Q99" s="47">
        <f>IFERROR(__xludf.DUMMYFUNCTION("""COMPUTED_VALUE"""),1033.0)</f>
        <v>1033</v>
      </c>
      <c r="R99" s="47">
        <f>IFERROR(__xludf.DUMMYFUNCTION("""COMPUTED_VALUE"""),1033.0)</f>
        <v>1033</v>
      </c>
      <c r="S99" s="47">
        <f>IFERROR(__xludf.DUMMYFUNCTION("""COMPUTED_VALUE"""),1033.0)</f>
        <v>1033</v>
      </c>
      <c r="T99" s="47">
        <f>IFERROR(__xludf.DUMMYFUNCTION("""COMPUTED_VALUE"""),1033.0)</f>
        <v>1033</v>
      </c>
      <c r="U99" s="47">
        <f>IFERROR(__xludf.DUMMYFUNCTION("""COMPUTED_VALUE"""),1033.0)</f>
        <v>1033</v>
      </c>
      <c r="V99" s="47">
        <f>IFERROR(__xludf.DUMMYFUNCTION("""COMPUTED_VALUE"""),1033.0)</f>
        <v>1033</v>
      </c>
      <c r="W99" s="47">
        <f>IFERROR(__xludf.DUMMYFUNCTION("""COMPUTED_VALUE"""),1033.0)</f>
        <v>1033</v>
      </c>
      <c r="X99" s="47">
        <f>IFERROR(__xludf.DUMMYFUNCTION("""COMPUTED_VALUE"""),1033.0)</f>
        <v>1033</v>
      </c>
      <c r="Y99" s="47">
        <f>IFERROR(__xludf.DUMMYFUNCTION("""COMPUTED_VALUE"""),1033.0)</f>
        <v>1033</v>
      </c>
      <c r="Z99" s="47">
        <f>IFERROR(__xludf.DUMMYFUNCTION("""COMPUTED_VALUE"""),1033.0)</f>
        <v>1033</v>
      </c>
      <c r="AA99" s="47">
        <f>IFERROR(__xludf.DUMMYFUNCTION("""COMPUTED_VALUE"""),1033.0)</f>
        <v>1033</v>
      </c>
      <c r="AB99" s="47">
        <f>IFERROR(__xludf.DUMMYFUNCTION("""COMPUTED_VALUE"""),12396.0)</f>
        <v>12396</v>
      </c>
    </row>
    <row r="100">
      <c r="B100" s="37"/>
      <c r="C100" s="37"/>
      <c r="D100" s="37"/>
      <c r="E100" s="37"/>
      <c r="F100" s="37"/>
      <c r="G100" s="37"/>
      <c r="H100" s="37"/>
      <c r="I100" s="37"/>
      <c r="J100" s="37" t="str">
        <f>IFERROR(__xludf.DUMMYFUNCTION("""COMPUTED_VALUE"""),"AICHIP02409106")</f>
        <v>AICHIP02409106</v>
      </c>
      <c r="K100" s="37" t="str">
        <f>IFERROR(__xludf.DUMMYFUNCTION("""COMPUTED_VALUE"""),"iPad 10 _10.9 吋 / 64G Wifi_銀色")</f>
        <v>iPad 10 _10.9 吋 / 64G Wifi_銀色</v>
      </c>
      <c r="L100" s="37" t="str">
        <f>IFERROR(__xludf.DUMMYFUNCTION("""COMPUTED_VALUE"""),"陳可諠")</f>
        <v>陳可諠</v>
      </c>
      <c r="M100" s="37" t="str">
        <f>IFERROR(__xludf.DUMMYFUNCTION("""COMPUTED_VALUE"""),"行銷營運中心")</f>
        <v>行銷營運中心</v>
      </c>
      <c r="N100" s="37" t="str">
        <f>IFERROR(__xludf.DUMMYFUNCTION("""COMPUTED_VALUE"""),"銷售營運部")</f>
        <v>銷售營運部</v>
      </c>
      <c r="O100" s="37" t="str">
        <f>IFERROR(__xludf.DUMMYFUNCTION("""COMPUTED_VALUE"""),"銷售顧問團隊")</f>
        <v>銷售顧問團隊</v>
      </c>
      <c r="P100" s="47">
        <f>IFERROR(__xludf.DUMMYFUNCTION("""COMPUTED_VALUE"""),294.0)</f>
        <v>294</v>
      </c>
      <c r="Q100" s="47">
        <f>IFERROR(__xludf.DUMMYFUNCTION("""COMPUTED_VALUE"""),294.0)</f>
        <v>294</v>
      </c>
      <c r="R100" s="47">
        <f>IFERROR(__xludf.DUMMYFUNCTION("""COMPUTED_VALUE"""),294.0)</f>
        <v>294</v>
      </c>
      <c r="S100" s="47">
        <f>IFERROR(__xludf.DUMMYFUNCTION("""COMPUTED_VALUE"""),294.0)</f>
        <v>294</v>
      </c>
      <c r="T100" s="47">
        <f>IFERROR(__xludf.DUMMYFUNCTION("""COMPUTED_VALUE"""),294.0)</f>
        <v>294</v>
      </c>
      <c r="U100" s="47">
        <f>IFERROR(__xludf.DUMMYFUNCTION("""COMPUTED_VALUE"""),294.0)</f>
        <v>294</v>
      </c>
      <c r="V100" s="47">
        <f>IFERROR(__xludf.DUMMYFUNCTION("""COMPUTED_VALUE"""),294.0)</f>
        <v>294</v>
      </c>
      <c r="W100" s="47">
        <f>IFERROR(__xludf.DUMMYFUNCTION("""COMPUTED_VALUE"""),294.0)</f>
        <v>294</v>
      </c>
      <c r="X100" s="47">
        <f>IFERROR(__xludf.DUMMYFUNCTION("""COMPUTED_VALUE"""),294.0)</f>
        <v>294</v>
      </c>
      <c r="Y100" s="47">
        <f>IFERROR(__xludf.DUMMYFUNCTION("""COMPUTED_VALUE"""),294.0)</f>
        <v>294</v>
      </c>
      <c r="Z100" s="47">
        <f>IFERROR(__xludf.DUMMYFUNCTION("""COMPUTED_VALUE"""),294.0)</f>
        <v>294</v>
      </c>
      <c r="AA100" s="47">
        <f>IFERROR(__xludf.DUMMYFUNCTION("""COMPUTED_VALUE"""),294.0)</f>
        <v>294</v>
      </c>
      <c r="AB100" s="47">
        <f>IFERROR(__xludf.DUMMYFUNCTION("""COMPUTED_VALUE"""),3528.0)</f>
        <v>3528</v>
      </c>
    </row>
    <row r="101">
      <c r="B101" s="37"/>
      <c r="C101" s="37"/>
      <c r="D101" s="37"/>
      <c r="E101" s="37"/>
      <c r="F101" s="37"/>
      <c r="G101" s="37"/>
      <c r="H101" s="37"/>
      <c r="I101" s="37"/>
      <c r="J101" s="37" t="str">
        <f>IFERROR(__xludf.DUMMYFUNCTION("""COMPUTED_VALUE"""),"AICHIP02409108")</f>
        <v>AICHIP02409108</v>
      </c>
      <c r="K101" s="37" t="str">
        <f>IFERROR(__xludf.DUMMYFUNCTION("""COMPUTED_VALUE"""),"iPad 10 _10.9 吋 / 64G Wifi_銀色")</f>
        <v>iPad 10 _10.9 吋 / 64G Wifi_銀色</v>
      </c>
      <c r="L101" s="37" t="str">
        <f>IFERROR(__xludf.DUMMYFUNCTION("""COMPUTED_VALUE"""),"黃裕真")</f>
        <v>黃裕真</v>
      </c>
      <c r="M101" s="37" t="str">
        <f>IFERROR(__xludf.DUMMYFUNCTION("""COMPUTED_VALUE"""),"客戶價值中心")</f>
        <v>客戶價值中心</v>
      </c>
      <c r="N101" s="37" t="str">
        <f>IFERROR(__xludf.DUMMYFUNCTION("""COMPUTED_VALUE"""),"客戶關係管理部")</f>
        <v>客戶關係管理部</v>
      </c>
      <c r="O101" s="37" t="str">
        <f>IFERROR(__xludf.DUMMYFUNCTION("""COMPUTED_VALUE"""),"客服團隊 POS/OMO")</f>
        <v>客服團隊 POS/OMO</v>
      </c>
      <c r="P101" s="47">
        <f>IFERROR(__xludf.DUMMYFUNCTION("""COMPUTED_VALUE"""),293.0)</f>
        <v>293</v>
      </c>
      <c r="Q101" s="47">
        <f>IFERROR(__xludf.DUMMYFUNCTION("""COMPUTED_VALUE"""),293.0)</f>
        <v>293</v>
      </c>
      <c r="R101" s="47">
        <f>IFERROR(__xludf.DUMMYFUNCTION("""COMPUTED_VALUE"""),293.0)</f>
        <v>293</v>
      </c>
      <c r="S101" s="47">
        <f>IFERROR(__xludf.DUMMYFUNCTION("""COMPUTED_VALUE"""),293.0)</f>
        <v>293</v>
      </c>
      <c r="T101" s="47">
        <f>IFERROR(__xludf.DUMMYFUNCTION("""COMPUTED_VALUE"""),293.0)</f>
        <v>293</v>
      </c>
      <c r="U101" s="47">
        <f>IFERROR(__xludf.DUMMYFUNCTION("""COMPUTED_VALUE"""),293.0)</f>
        <v>293</v>
      </c>
      <c r="V101" s="47">
        <f>IFERROR(__xludf.DUMMYFUNCTION("""COMPUTED_VALUE"""),293.0)</f>
        <v>293</v>
      </c>
      <c r="W101" s="47">
        <f>IFERROR(__xludf.DUMMYFUNCTION("""COMPUTED_VALUE"""),293.0)</f>
        <v>293</v>
      </c>
      <c r="X101" s="47">
        <f>IFERROR(__xludf.DUMMYFUNCTION("""COMPUTED_VALUE"""),293.0)</f>
        <v>293</v>
      </c>
      <c r="Y101" s="47">
        <f>IFERROR(__xludf.DUMMYFUNCTION("""COMPUTED_VALUE"""),293.0)</f>
        <v>293</v>
      </c>
      <c r="Z101" s="47">
        <f>IFERROR(__xludf.DUMMYFUNCTION("""COMPUTED_VALUE"""),293.0)</f>
        <v>293</v>
      </c>
      <c r="AA101" s="47">
        <f>IFERROR(__xludf.DUMMYFUNCTION("""COMPUTED_VALUE"""),293.0)</f>
        <v>293</v>
      </c>
      <c r="AB101" s="47">
        <f>IFERROR(__xludf.DUMMYFUNCTION("""COMPUTED_VALUE"""),3516.0)</f>
        <v>3516</v>
      </c>
    </row>
    <row r="102">
      <c r="B102" s="37"/>
      <c r="C102" s="37"/>
      <c r="D102" s="37"/>
      <c r="E102" s="37"/>
      <c r="F102" s="37"/>
      <c r="G102" s="37"/>
      <c r="H102" s="37"/>
      <c r="I102" s="37"/>
      <c r="J102" s="37" t="str">
        <f>IFERROR(__xludf.DUMMYFUNCTION("""COMPUTED_VALUE"""),"AICHMA02409085")</f>
        <v>AICHMA02409085</v>
      </c>
      <c r="K102" s="37" t="str">
        <f>IFERROR(__xludf.DUMMYFUNCTION("""COMPUTED_VALUE"""),"Macbook Pro")</f>
        <v>Macbook Pro</v>
      </c>
      <c r="L102" s="37" t="str">
        <f>IFERROR(__xludf.DUMMYFUNCTION("""COMPUTED_VALUE"""),"邱音綺")</f>
        <v>邱音綺</v>
      </c>
      <c r="M102" s="37" t="str">
        <f>IFERROR(__xludf.DUMMYFUNCTION("""COMPUTED_VALUE"""),"管理中心")</f>
        <v>管理中心</v>
      </c>
      <c r="N102" s="37" t="str">
        <f>IFERROR(__xludf.DUMMYFUNCTION("""COMPUTED_VALUE"""),"人資部")</f>
        <v>人資部</v>
      </c>
      <c r="O102" s="37" t="str">
        <f>IFERROR(__xludf.DUMMYFUNCTION("""COMPUTED_VALUE"""),"人資團隊")</f>
        <v>人資團隊</v>
      </c>
      <c r="P102" s="47">
        <f>IFERROR(__xludf.DUMMYFUNCTION("""COMPUTED_VALUE"""),1181.0)</f>
        <v>1181</v>
      </c>
      <c r="Q102" s="47">
        <f>IFERROR(__xludf.DUMMYFUNCTION("""COMPUTED_VALUE"""),1181.0)</f>
        <v>1181</v>
      </c>
      <c r="R102" s="47">
        <f>IFERROR(__xludf.DUMMYFUNCTION("""COMPUTED_VALUE"""),1181.0)</f>
        <v>1181</v>
      </c>
      <c r="S102" s="47">
        <f>IFERROR(__xludf.DUMMYFUNCTION("""COMPUTED_VALUE"""),1181.0)</f>
        <v>1181</v>
      </c>
      <c r="T102" s="47">
        <f>IFERROR(__xludf.DUMMYFUNCTION("""COMPUTED_VALUE"""),1181.0)</f>
        <v>1181</v>
      </c>
      <c r="U102" s="47">
        <f>IFERROR(__xludf.DUMMYFUNCTION("""COMPUTED_VALUE"""),1181.0)</f>
        <v>1181</v>
      </c>
      <c r="V102" s="47">
        <f>IFERROR(__xludf.DUMMYFUNCTION("""COMPUTED_VALUE"""),1181.0)</f>
        <v>1181</v>
      </c>
      <c r="W102" s="47">
        <f>IFERROR(__xludf.DUMMYFUNCTION("""COMPUTED_VALUE"""),1181.0)</f>
        <v>1181</v>
      </c>
      <c r="X102" s="47">
        <f>IFERROR(__xludf.DUMMYFUNCTION("""COMPUTED_VALUE"""),1181.0)</f>
        <v>1181</v>
      </c>
      <c r="Y102" s="47">
        <f>IFERROR(__xludf.DUMMYFUNCTION("""COMPUTED_VALUE"""),1181.0)</f>
        <v>1181</v>
      </c>
      <c r="Z102" s="47">
        <f>IFERROR(__xludf.DUMMYFUNCTION("""COMPUTED_VALUE"""),1181.0)</f>
        <v>1181</v>
      </c>
      <c r="AA102" s="47">
        <f>IFERROR(__xludf.DUMMYFUNCTION("""COMPUTED_VALUE"""),1181.0)</f>
        <v>1181</v>
      </c>
      <c r="AB102" s="47">
        <f>IFERROR(__xludf.DUMMYFUNCTION("""COMPUTED_VALUE"""),14172.0)</f>
        <v>14172</v>
      </c>
    </row>
    <row r="103">
      <c r="B103" s="37"/>
      <c r="C103" s="37"/>
      <c r="D103" s="37"/>
      <c r="E103" s="37"/>
      <c r="F103" s="37"/>
      <c r="G103" s="37"/>
      <c r="H103" s="37"/>
      <c r="I103" s="37"/>
      <c r="J103" s="37" t="str">
        <f>IFERROR(__xludf.DUMMYFUNCTION("""COMPUTED_VALUE"""),"AICHMP02409078")</f>
        <v>AICHMP02409078</v>
      </c>
      <c r="K103" s="37" t="str">
        <f>IFERROR(__xludf.DUMMYFUNCTION("""COMPUTED_VALUE"""),"Macbook Pro")</f>
        <v>Macbook Pro</v>
      </c>
      <c r="L103" s="37" t="str">
        <f>IFERROR(__xludf.DUMMYFUNCTION("""COMPUTED_VALUE"""),"李冠宇")</f>
        <v>李冠宇</v>
      </c>
      <c r="M103" s="37" t="str">
        <f>IFERROR(__xludf.DUMMYFUNCTION("""COMPUTED_VALUE"""),"研發中心")</f>
        <v>研發中心</v>
      </c>
      <c r="N103" s="37" t="str">
        <f>IFERROR(__xludf.DUMMYFUNCTION("""COMPUTED_VALUE"""),"軟體工程部")</f>
        <v>軟體工程部</v>
      </c>
      <c r="O103" s="37" t="str">
        <f>IFERROR(__xludf.DUMMYFUNCTION("""COMPUTED_VALUE"""),"QE團隊")</f>
        <v>QE團隊</v>
      </c>
      <c r="P103" s="47">
        <f>IFERROR(__xludf.DUMMYFUNCTION("""COMPUTED_VALUE"""),1661.0)</f>
        <v>1661</v>
      </c>
      <c r="Q103" s="47">
        <f>IFERROR(__xludf.DUMMYFUNCTION("""COMPUTED_VALUE"""),1661.0)</f>
        <v>1661</v>
      </c>
      <c r="R103" s="47">
        <f>IFERROR(__xludf.DUMMYFUNCTION("""COMPUTED_VALUE"""),1661.0)</f>
        <v>1661</v>
      </c>
      <c r="S103" s="47">
        <f>IFERROR(__xludf.DUMMYFUNCTION("""COMPUTED_VALUE"""),1661.0)</f>
        <v>1661</v>
      </c>
      <c r="T103" s="47">
        <f>IFERROR(__xludf.DUMMYFUNCTION("""COMPUTED_VALUE"""),1661.0)</f>
        <v>1661</v>
      </c>
      <c r="U103" s="47">
        <f>IFERROR(__xludf.DUMMYFUNCTION("""COMPUTED_VALUE"""),1661.0)</f>
        <v>1661</v>
      </c>
      <c r="V103" s="47">
        <f>IFERROR(__xludf.DUMMYFUNCTION("""COMPUTED_VALUE"""),1661.0)</f>
        <v>1661</v>
      </c>
      <c r="W103" s="47">
        <f>IFERROR(__xludf.DUMMYFUNCTION("""COMPUTED_VALUE"""),1661.0)</f>
        <v>1661</v>
      </c>
      <c r="X103" s="47">
        <f>IFERROR(__xludf.DUMMYFUNCTION("""COMPUTED_VALUE"""),1661.0)</f>
        <v>1661</v>
      </c>
      <c r="Y103" s="47">
        <f>IFERROR(__xludf.DUMMYFUNCTION("""COMPUTED_VALUE"""),1661.0)</f>
        <v>1661</v>
      </c>
      <c r="Z103" s="47">
        <f>IFERROR(__xludf.DUMMYFUNCTION("""COMPUTED_VALUE"""),1661.0)</f>
        <v>1661</v>
      </c>
      <c r="AA103" s="47">
        <f>IFERROR(__xludf.DUMMYFUNCTION("""COMPUTED_VALUE"""),1661.0)</f>
        <v>1661</v>
      </c>
      <c r="AB103" s="47">
        <f>IFERROR(__xludf.DUMMYFUNCTION("""COMPUTED_VALUE"""),19932.0)</f>
        <v>19932</v>
      </c>
    </row>
    <row r="104">
      <c r="B104" s="37"/>
      <c r="C104" s="37"/>
      <c r="D104" s="37"/>
      <c r="E104" s="37"/>
      <c r="F104" s="37"/>
      <c r="G104" s="37"/>
      <c r="H104" s="37"/>
      <c r="I104" s="37"/>
      <c r="J104" s="37" t="str">
        <f>IFERROR(__xludf.DUMMYFUNCTION("""COMPUTED_VALUE"""),"AICHMP02410079")</f>
        <v>AICHMP02410079</v>
      </c>
      <c r="K104" s="37" t="str">
        <f>IFERROR(__xludf.DUMMYFUNCTION("""COMPUTED_VALUE"""),"Macbook Pro")</f>
        <v>Macbook Pro</v>
      </c>
      <c r="L104" s="37" t="str">
        <f>IFERROR(__xludf.DUMMYFUNCTION("""COMPUTED_VALUE"""),"馮荺琪")</f>
        <v>馮荺琪</v>
      </c>
      <c r="M104" s="37" t="str">
        <f>IFERROR(__xludf.DUMMYFUNCTION("""COMPUTED_VALUE"""),"研發中心")</f>
        <v>研發中心</v>
      </c>
      <c r="N104" s="37" t="str">
        <f>IFERROR(__xludf.DUMMYFUNCTION("""COMPUTED_VALUE"""),"產品設計部")</f>
        <v>產品設計部</v>
      </c>
      <c r="O104" s="37" t="str">
        <f>IFERROR(__xludf.DUMMYFUNCTION("""COMPUTED_VALUE"""),"產品設計師團隊")</f>
        <v>產品設計師團隊</v>
      </c>
      <c r="P104" s="47">
        <f>IFERROR(__xludf.DUMMYFUNCTION("""COMPUTED_VALUE"""),1647.0)</f>
        <v>1647</v>
      </c>
      <c r="Q104" s="47">
        <f>IFERROR(__xludf.DUMMYFUNCTION("""COMPUTED_VALUE"""),1647.0)</f>
        <v>1647</v>
      </c>
      <c r="R104" s="47">
        <f>IFERROR(__xludf.DUMMYFUNCTION("""COMPUTED_VALUE"""),1647.0)</f>
        <v>1647</v>
      </c>
      <c r="S104" s="47">
        <f>IFERROR(__xludf.DUMMYFUNCTION("""COMPUTED_VALUE"""),1647.0)</f>
        <v>1647</v>
      </c>
      <c r="T104" s="47">
        <f>IFERROR(__xludf.DUMMYFUNCTION("""COMPUTED_VALUE"""),1647.0)</f>
        <v>1647</v>
      </c>
      <c r="U104" s="47">
        <f>IFERROR(__xludf.DUMMYFUNCTION("""COMPUTED_VALUE"""),1647.0)</f>
        <v>1647</v>
      </c>
      <c r="V104" s="47">
        <f>IFERROR(__xludf.DUMMYFUNCTION("""COMPUTED_VALUE"""),1647.0)</f>
        <v>1647</v>
      </c>
      <c r="W104" s="47">
        <f>IFERROR(__xludf.DUMMYFUNCTION("""COMPUTED_VALUE"""),1647.0)</f>
        <v>1647</v>
      </c>
      <c r="X104" s="47">
        <f>IFERROR(__xludf.DUMMYFUNCTION("""COMPUTED_VALUE"""),1647.0)</f>
        <v>1647</v>
      </c>
      <c r="Y104" s="47">
        <f>IFERROR(__xludf.DUMMYFUNCTION("""COMPUTED_VALUE"""),1647.0)</f>
        <v>1647</v>
      </c>
      <c r="Z104" s="47">
        <f>IFERROR(__xludf.DUMMYFUNCTION("""COMPUTED_VALUE"""),1647.0)</f>
        <v>1647</v>
      </c>
      <c r="AA104" s="47">
        <f>IFERROR(__xludf.DUMMYFUNCTION("""COMPUTED_VALUE"""),1647.0)</f>
        <v>1647</v>
      </c>
      <c r="AB104" s="47">
        <f>IFERROR(__xludf.DUMMYFUNCTION("""COMPUTED_VALUE"""),19764.0)</f>
        <v>19764</v>
      </c>
    </row>
    <row r="105">
      <c r="B105" s="37"/>
      <c r="C105" s="37"/>
      <c r="D105" s="37"/>
      <c r="E105" s="37"/>
      <c r="F105" s="37"/>
      <c r="G105" s="37"/>
      <c r="H105" s="37"/>
      <c r="I105" s="37"/>
      <c r="J105" s="37" t="str">
        <f>IFERROR(__xludf.DUMMYFUNCTION("""COMPUTED_VALUE"""),"AICHMA02410092")</f>
        <v>AICHMA02410092</v>
      </c>
      <c r="K105" s="37" t="str">
        <f>IFERROR(__xludf.DUMMYFUNCTION("""COMPUTED_VALUE"""),"Macbook Air")</f>
        <v>Macbook Air</v>
      </c>
      <c r="L105" s="37" t="str">
        <f>IFERROR(__xludf.DUMMYFUNCTION("""COMPUTED_VALUE"""),"徐揚真")</f>
        <v>徐揚真</v>
      </c>
      <c r="M105" s="37" t="str">
        <f>IFERROR(__xludf.DUMMYFUNCTION("""COMPUTED_VALUE"""),"策略資料中心")</f>
        <v>策略資料中心</v>
      </c>
      <c r="N105" s="37" t="str">
        <f>IFERROR(__xludf.DUMMYFUNCTION("""COMPUTED_VALUE"""),"策略規劃部")</f>
        <v>策略規劃部</v>
      </c>
      <c r="O105" s="37"/>
      <c r="P105" s="47">
        <f>IFERROR(__xludf.DUMMYFUNCTION("""COMPUTED_VALUE"""),1033.0)</f>
        <v>1033</v>
      </c>
      <c r="Q105" s="47">
        <f>IFERROR(__xludf.DUMMYFUNCTION("""COMPUTED_VALUE"""),1033.0)</f>
        <v>1033</v>
      </c>
      <c r="R105" s="47">
        <f>IFERROR(__xludf.DUMMYFUNCTION("""COMPUTED_VALUE"""),1033.0)</f>
        <v>1033</v>
      </c>
      <c r="S105" s="47">
        <f>IFERROR(__xludf.DUMMYFUNCTION("""COMPUTED_VALUE"""),1033.0)</f>
        <v>1033</v>
      </c>
      <c r="T105" s="47">
        <f>IFERROR(__xludf.DUMMYFUNCTION("""COMPUTED_VALUE"""),1033.0)</f>
        <v>1033</v>
      </c>
      <c r="U105" s="47">
        <f>IFERROR(__xludf.DUMMYFUNCTION("""COMPUTED_VALUE"""),1033.0)</f>
        <v>1033</v>
      </c>
      <c r="V105" s="47">
        <f>IFERROR(__xludf.DUMMYFUNCTION("""COMPUTED_VALUE"""),1033.0)</f>
        <v>1033</v>
      </c>
      <c r="W105" s="47">
        <f>IFERROR(__xludf.DUMMYFUNCTION("""COMPUTED_VALUE"""),1033.0)</f>
        <v>1033</v>
      </c>
      <c r="X105" s="47">
        <f>IFERROR(__xludf.DUMMYFUNCTION("""COMPUTED_VALUE"""),1033.0)</f>
        <v>1033</v>
      </c>
      <c r="Y105" s="47">
        <f>IFERROR(__xludf.DUMMYFUNCTION("""COMPUTED_VALUE"""),1033.0)</f>
        <v>1033</v>
      </c>
      <c r="Z105" s="47">
        <f>IFERROR(__xludf.DUMMYFUNCTION("""COMPUTED_VALUE"""),1033.0)</f>
        <v>1033</v>
      </c>
      <c r="AA105" s="47">
        <f>IFERROR(__xludf.DUMMYFUNCTION("""COMPUTED_VALUE"""),1033.0)</f>
        <v>1033</v>
      </c>
      <c r="AB105" s="47">
        <f>IFERROR(__xludf.DUMMYFUNCTION("""COMPUTED_VALUE"""),12396.0)</f>
        <v>12396</v>
      </c>
    </row>
    <row r="106">
      <c r="B106" s="37"/>
      <c r="C106" s="37"/>
      <c r="D106" s="37"/>
      <c r="E106" s="37"/>
      <c r="F106" s="37"/>
      <c r="G106" s="37"/>
      <c r="H106" s="37"/>
      <c r="I106" s="37"/>
      <c r="J106" s="37" t="str">
        <f>IFERROR(__xludf.DUMMYFUNCTION("""COMPUTED_VALUE"""),"AICHMA02410091")</f>
        <v>AICHMA02410091</v>
      </c>
      <c r="K106" s="37" t="str">
        <f>IFERROR(__xludf.DUMMYFUNCTION("""COMPUTED_VALUE"""),"Macbook Air")</f>
        <v>Macbook Air</v>
      </c>
      <c r="L106" s="37" t="str">
        <f>IFERROR(__xludf.DUMMYFUNCTION("""COMPUTED_VALUE"""),"陳韋如")</f>
        <v>陳韋如</v>
      </c>
      <c r="M106" s="37" t="str">
        <f>IFERROR(__xludf.DUMMYFUNCTION("""COMPUTED_VALUE"""),"管理中心")</f>
        <v>管理中心</v>
      </c>
      <c r="N106" s="37" t="str">
        <f>IFERROR(__xludf.DUMMYFUNCTION("""COMPUTED_VALUE"""),"行政總務部")</f>
        <v>行政總務部</v>
      </c>
      <c r="O106" s="37"/>
      <c r="P106" s="47">
        <f>IFERROR(__xludf.DUMMYFUNCTION("""COMPUTED_VALUE"""),883.0)</f>
        <v>883</v>
      </c>
      <c r="Q106" s="47">
        <f>IFERROR(__xludf.DUMMYFUNCTION("""COMPUTED_VALUE"""),883.0)</f>
        <v>883</v>
      </c>
      <c r="R106" s="47">
        <f>IFERROR(__xludf.DUMMYFUNCTION("""COMPUTED_VALUE"""),883.0)</f>
        <v>883</v>
      </c>
      <c r="S106" s="47">
        <f>IFERROR(__xludf.DUMMYFUNCTION("""COMPUTED_VALUE"""),883.0)</f>
        <v>883</v>
      </c>
      <c r="T106" s="47">
        <f>IFERROR(__xludf.DUMMYFUNCTION("""COMPUTED_VALUE"""),883.0)</f>
        <v>883</v>
      </c>
      <c r="U106" s="47">
        <f>IFERROR(__xludf.DUMMYFUNCTION("""COMPUTED_VALUE"""),883.0)</f>
        <v>883</v>
      </c>
      <c r="V106" s="47">
        <f>IFERROR(__xludf.DUMMYFUNCTION("""COMPUTED_VALUE"""),883.0)</f>
        <v>883</v>
      </c>
      <c r="W106" s="47">
        <f>IFERROR(__xludf.DUMMYFUNCTION("""COMPUTED_VALUE"""),883.0)</f>
        <v>883</v>
      </c>
      <c r="X106" s="47">
        <f>IFERROR(__xludf.DUMMYFUNCTION("""COMPUTED_VALUE"""),883.0)</f>
        <v>883</v>
      </c>
      <c r="Y106" s="47">
        <f>IFERROR(__xludf.DUMMYFUNCTION("""COMPUTED_VALUE"""),883.0)</f>
        <v>883</v>
      </c>
      <c r="Z106" s="47">
        <f>IFERROR(__xludf.DUMMYFUNCTION("""COMPUTED_VALUE"""),883.0)</f>
        <v>883</v>
      </c>
      <c r="AA106" s="47">
        <f>IFERROR(__xludf.DUMMYFUNCTION("""COMPUTED_VALUE"""),883.0)</f>
        <v>883</v>
      </c>
      <c r="AB106" s="47">
        <f>IFERROR(__xludf.DUMMYFUNCTION("""COMPUTED_VALUE"""),10596.0)</f>
        <v>10596</v>
      </c>
    </row>
    <row r="107">
      <c r="B107" s="37"/>
      <c r="C107" s="37"/>
      <c r="D107" s="37"/>
      <c r="E107" s="37"/>
      <c r="F107" s="37"/>
      <c r="G107" s="37"/>
      <c r="H107" s="37"/>
      <c r="I107" s="37"/>
      <c r="J107" s="37" t="str">
        <f>IFERROR(__xludf.DUMMYFUNCTION("""COMPUTED_VALUE"""),"AICHMA02410090")</f>
        <v>AICHMA02410090</v>
      </c>
      <c r="K107" s="37" t="str">
        <f>IFERROR(__xludf.DUMMYFUNCTION("""COMPUTED_VALUE"""),"Macbook Air")</f>
        <v>Macbook Air</v>
      </c>
      <c r="L107" s="37" t="str">
        <f>IFERROR(__xludf.DUMMYFUNCTION("""COMPUTED_VALUE"""),"朱珮瑜")</f>
        <v>朱珮瑜</v>
      </c>
      <c r="M107" s="37" t="str">
        <f>IFERROR(__xludf.DUMMYFUNCTION("""COMPUTED_VALUE"""),"客戶價值中心")</f>
        <v>客戶價值中心</v>
      </c>
      <c r="N107" s="37" t="str">
        <f>IFERROR(__xludf.DUMMYFUNCTION("""COMPUTED_VALUE"""),"客戶關係管理部")</f>
        <v>客戶關係管理部</v>
      </c>
      <c r="O107" s="37" t="str">
        <f>IFERROR(__xludf.DUMMYFUNCTION("""COMPUTED_VALUE"""),"客服團隊 POS/OMO")</f>
        <v>客服團隊 POS/OMO</v>
      </c>
      <c r="P107" s="47">
        <f>IFERROR(__xludf.DUMMYFUNCTION("""COMPUTED_VALUE"""),883.0)</f>
        <v>883</v>
      </c>
      <c r="Q107" s="47">
        <f>IFERROR(__xludf.DUMMYFUNCTION("""COMPUTED_VALUE"""),883.0)</f>
        <v>883</v>
      </c>
      <c r="R107" s="47">
        <f>IFERROR(__xludf.DUMMYFUNCTION("""COMPUTED_VALUE"""),883.0)</f>
        <v>883</v>
      </c>
      <c r="S107" s="47">
        <f>IFERROR(__xludf.DUMMYFUNCTION("""COMPUTED_VALUE"""),883.0)</f>
        <v>883</v>
      </c>
      <c r="T107" s="47">
        <f>IFERROR(__xludf.DUMMYFUNCTION("""COMPUTED_VALUE"""),883.0)</f>
        <v>883</v>
      </c>
      <c r="U107" s="47">
        <f>IFERROR(__xludf.DUMMYFUNCTION("""COMPUTED_VALUE"""),883.0)</f>
        <v>883</v>
      </c>
      <c r="V107" s="47">
        <f>IFERROR(__xludf.DUMMYFUNCTION("""COMPUTED_VALUE"""),883.0)</f>
        <v>883</v>
      </c>
      <c r="W107" s="47">
        <f>IFERROR(__xludf.DUMMYFUNCTION("""COMPUTED_VALUE"""),883.0)</f>
        <v>883</v>
      </c>
      <c r="X107" s="47">
        <f>IFERROR(__xludf.DUMMYFUNCTION("""COMPUTED_VALUE"""),883.0)</f>
        <v>883</v>
      </c>
      <c r="Y107" s="47">
        <f>IFERROR(__xludf.DUMMYFUNCTION("""COMPUTED_VALUE"""),883.0)</f>
        <v>883</v>
      </c>
      <c r="Z107" s="47">
        <f>IFERROR(__xludf.DUMMYFUNCTION("""COMPUTED_VALUE"""),883.0)</f>
        <v>883</v>
      </c>
      <c r="AA107" s="47">
        <f>IFERROR(__xludf.DUMMYFUNCTION("""COMPUTED_VALUE"""),883.0)</f>
        <v>883</v>
      </c>
      <c r="AB107" s="47">
        <f>IFERROR(__xludf.DUMMYFUNCTION("""COMPUTED_VALUE"""),10596.0)</f>
        <v>10596</v>
      </c>
    </row>
    <row r="108">
      <c r="B108" s="37"/>
      <c r="C108" s="37"/>
      <c r="D108" s="37"/>
      <c r="E108" s="37"/>
      <c r="F108" s="37"/>
      <c r="G108" s="37"/>
      <c r="H108" s="37"/>
      <c r="I108" s="37"/>
      <c r="J108" s="37" t="str">
        <f>IFERROR(__xludf.DUMMYFUNCTION("""COMPUTED_VALUE"""),"AICHMA02410089")</f>
        <v>AICHMA02410089</v>
      </c>
      <c r="K108" s="37" t="str">
        <f>IFERROR(__xludf.DUMMYFUNCTION("""COMPUTED_VALUE"""),"Macbook Air")</f>
        <v>Macbook Air</v>
      </c>
      <c r="L108" s="37" t="str">
        <f>IFERROR(__xludf.DUMMYFUNCTION("""COMPUTED_VALUE"""),"梁嘉穎")</f>
        <v>梁嘉穎</v>
      </c>
      <c r="M108" s="37" t="str">
        <f>IFERROR(__xludf.DUMMYFUNCTION("""COMPUTED_VALUE"""),"行銷營運中心")</f>
        <v>行銷營運中心</v>
      </c>
      <c r="N108" s="37" t="str">
        <f>IFERROR(__xludf.DUMMYFUNCTION("""COMPUTED_VALUE"""),"社群關係部")</f>
        <v>社群關係部</v>
      </c>
      <c r="O108" s="37" t="str">
        <f>IFERROR(__xludf.DUMMYFUNCTION("""COMPUTED_VALUE"""),"餐廳社群團隊")</f>
        <v>餐廳社群團隊</v>
      </c>
      <c r="P108" s="47">
        <f>IFERROR(__xludf.DUMMYFUNCTION("""COMPUTED_VALUE"""),889.0)</f>
        <v>889</v>
      </c>
      <c r="Q108" s="47">
        <f>IFERROR(__xludf.DUMMYFUNCTION("""COMPUTED_VALUE"""),889.0)</f>
        <v>889</v>
      </c>
      <c r="R108" s="47">
        <f>IFERROR(__xludf.DUMMYFUNCTION("""COMPUTED_VALUE"""),889.0)</f>
        <v>889</v>
      </c>
      <c r="S108" s="47">
        <f>IFERROR(__xludf.DUMMYFUNCTION("""COMPUTED_VALUE"""),889.0)</f>
        <v>889</v>
      </c>
      <c r="T108" s="47">
        <f>IFERROR(__xludf.DUMMYFUNCTION("""COMPUTED_VALUE"""),889.0)</f>
        <v>889</v>
      </c>
      <c r="U108" s="47">
        <f>IFERROR(__xludf.DUMMYFUNCTION("""COMPUTED_VALUE"""),889.0)</f>
        <v>889</v>
      </c>
      <c r="V108" s="47">
        <f>IFERROR(__xludf.DUMMYFUNCTION("""COMPUTED_VALUE"""),889.0)</f>
        <v>889</v>
      </c>
      <c r="W108" s="47">
        <f>IFERROR(__xludf.DUMMYFUNCTION("""COMPUTED_VALUE"""),889.0)</f>
        <v>889</v>
      </c>
      <c r="X108" s="47">
        <f>IFERROR(__xludf.DUMMYFUNCTION("""COMPUTED_VALUE"""),889.0)</f>
        <v>889</v>
      </c>
      <c r="Y108" s="47">
        <f>IFERROR(__xludf.DUMMYFUNCTION("""COMPUTED_VALUE"""),889.0)</f>
        <v>889</v>
      </c>
      <c r="Z108" s="47">
        <f>IFERROR(__xludf.DUMMYFUNCTION("""COMPUTED_VALUE"""),889.0)</f>
        <v>889</v>
      </c>
      <c r="AA108" s="47">
        <f>IFERROR(__xludf.DUMMYFUNCTION("""COMPUTED_VALUE"""),889.0)</f>
        <v>889</v>
      </c>
      <c r="AB108" s="47">
        <f>IFERROR(__xludf.DUMMYFUNCTION("""COMPUTED_VALUE"""),10668.0)</f>
        <v>10668</v>
      </c>
    </row>
    <row r="109">
      <c r="B109" s="37"/>
      <c r="C109" s="37"/>
      <c r="D109" s="37"/>
      <c r="E109" s="37"/>
      <c r="F109" s="37"/>
      <c r="G109" s="37"/>
      <c r="H109" s="37"/>
      <c r="I109" s="37"/>
      <c r="J109" s="37" t="str">
        <f>IFERROR(__xludf.DUMMYFUNCTION("""COMPUTED_VALUE"""),"AICHMA02410088")</f>
        <v>AICHMA02410088</v>
      </c>
      <c r="K109" s="37" t="str">
        <f>IFERROR(__xludf.DUMMYFUNCTION("""COMPUTED_VALUE"""),"Macbook Air")</f>
        <v>Macbook Air</v>
      </c>
      <c r="L109" s="37" t="str">
        <f>IFERROR(__xludf.DUMMYFUNCTION("""COMPUTED_VALUE"""),"黃裕真")</f>
        <v>黃裕真</v>
      </c>
      <c r="M109" s="37" t="str">
        <f>IFERROR(__xludf.DUMMYFUNCTION("""COMPUTED_VALUE"""),"客戶價值中心")</f>
        <v>客戶價值中心</v>
      </c>
      <c r="N109" s="37" t="str">
        <f>IFERROR(__xludf.DUMMYFUNCTION("""COMPUTED_VALUE"""),"客戶關係管理部")</f>
        <v>客戶關係管理部</v>
      </c>
      <c r="O109" s="37" t="str">
        <f>IFERROR(__xludf.DUMMYFUNCTION("""COMPUTED_VALUE"""),"客服團隊 POS/OMO")</f>
        <v>客服團隊 POS/OMO</v>
      </c>
      <c r="P109" s="47">
        <f>IFERROR(__xludf.DUMMYFUNCTION("""COMPUTED_VALUE"""),889.0)</f>
        <v>889</v>
      </c>
      <c r="Q109" s="47">
        <f>IFERROR(__xludf.DUMMYFUNCTION("""COMPUTED_VALUE"""),889.0)</f>
        <v>889</v>
      </c>
      <c r="R109" s="47">
        <f>IFERROR(__xludf.DUMMYFUNCTION("""COMPUTED_VALUE"""),889.0)</f>
        <v>889</v>
      </c>
      <c r="S109" s="47">
        <f>IFERROR(__xludf.DUMMYFUNCTION("""COMPUTED_VALUE"""),889.0)</f>
        <v>889</v>
      </c>
      <c r="T109" s="47">
        <f>IFERROR(__xludf.DUMMYFUNCTION("""COMPUTED_VALUE"""),889.0)</f>
        <v>889</v>
      </c>
      <c r="U109" s="47">
        <f>IFERROR(__xludf.DUMMYFUNCTION("""COMPUTED_VALUE"""),889.0)</f>
        <v>889</v>
      </c>
      <c r="V109" s="47">
        <f>IFERROR(__xludf.DUMMYFUNCTION("""COMPUTED_VALUE"""),889.0)</f>
        <v>889</v>
      </c>
      <c r="W109" s="47">
        <f>IFERROR(__xludf.DUMMYFUNCTION("""COMPUTED_VALUE"""),889.0)</f>
        <v>889</v>
      </c>
      <c r="X109" s="47">
        <f>IFERROR(__xludf.DUMMYFUNCTION("""COMPUTED_VALUE"""),889.0)</f>
        <v>889</v>
      </c>
      <c r="Y109" s="47">
        <f>IFERROR(__xludf.DUMMYFUNCTION("""COMPUTED_VALUE"""),889.0)</f>
        <v>889</v>
      </c>
      <c r="Z109" s="47">
        <f>IFERROR(__xludf.DUMMYFUNCTION("""COMPUTED_VALUE"""),889.0)</f>
        <v>889</v>
      </c>
      <c r="AA109" s="47">
        <f>IFERROR(__xludf.DUMMYFUNCTION("""COMPUTED_VALUE"""),889.0)</f>
        <v>889</v>
      </c>
      <c r="AB109" s="47">
        <f>IFERROR(__xludf.DUMMYFUNCTION("""COMPUTED_VALUE"""),10668.0)</f>
        <v>10668</v>
      </c>
    </row>
    <row r="110">
      <c r="B110" s="37"/>
      <c r="C110" s="37"/>
      <c r="D110" s="37"/>
      <c r="E110" s="37"/>
      <c r="F110" s="37"/>
      <c r="G110" s="37"/>
      <c r="H110" s="37"/>
      <c r="I110" s="37"/>
      <c r="J110" s="37" t="str">
        <f>IFERROR(__xludf.DUMMYFUNCTION("""COMPUTED_VALUE"""),"AICHOF02410012")</f>
        <v>AICHOF02410012</v>
      </c>
      <c r="K110" s="37" t="str">
        <f>IFERROR(__xludf.DUMMYFUNCTION("""COMPUTED_VALUE"""),"TSP100USB（整新）")</f>
        <v>TSP100USB（整新）</v>
      </c>
      <c r="L110" s="37" t="str">
        <f>IFERROR(__xludf.DUMMYFUNCTION("""COMPUTED_VALUE"""),"高克瑋")</f>
        <v>高克瑋</v>
      </c>
      <c r="M110" s="37" t="str">
        <f>IFERROR(__xludf.DUMMYFUNCTION("""COMPUTED_VALUE"""),"行銷營運中心")</f>
        <v>行銷營運中心</v>
      </c>
      <c r="N110" s="37" t="str">
        <f>IFERROR(__xludf.DUMMYFUNCTION("""COMPUTED_VALUE"""),"銷售營運部")</f>
        <v>銷售營運部</v>
      </c>
      <c r="O110" s="37"/>
      <c r="P110" s="47">
        <f>IFERROR(__xludf.DUMMYFUNCTION("""COMPUTED_VALUE"""),176.0)</f>
        <v>176</v>
      </c>
      <c r="Q110" s="47">
        <f>IFERROR(__xludf.DUMMYFUNCTION("""COMPUTED_VALUE"""),176.0)</f>
        <v>176</v>
      </c>
      <c r="R110" s="47">
        <f>IFERROR(__xludf.DUMMYFUNCTION("""COMPUTED_VALUE"""),176.0)</f>
        <v>176</v>
      </c>
      <c r="S110" s="47">
        <f>IFERROR(__xludf.DUMMYFUNCTION("""COMPUTED_VALUE"""),176.0)</f>
        <v>176</v>
      </c>
      <c r="T110" s="47">
        <f>IFERROR(__xludf.DUMMYFUNCTION("""COMPUTED_VALUE"""),176.0)</f>
        <v>176</v>
      </c>
      <c r="U110" s="47">
        <f>IFERROR(__xludf.DUMMYFUNCTION("""COMPUTED_VALUE"""),176.0)</f>
        <v>176</v>
      </c>
      <c r="V110" s="47">
        <f>IFERROR(__xludf.DUMMYFUNCTION("""COMPUTED_VALUE"""),176.0)</f>
        <v>176</v>
      </c>
      <c r="W110" s="47">
        <f>IFERROR(__xludf.DUMMYFUNCTION("""COMPUTED_VALUE"""),176.0)</f>
        <v>176</v>
      </c>
      <c r="X110" s="47">
        <f>IFERROR(__xludf.DUMMYFUNCTION("""COMPUTED_VALUE"""),176.0)</f>
        <v>176</v>
      </c>
      <c r="Y110" s="47">
        <f>IFERROR(__xludf.DUMMYFUNCTION("""COMPUTED_VALUE"""),176.0)</f>
        <v>176</v>
      </c>
      <c r="Z110" s="47">
        <f>IFERROR(__xludf.DUMMYFUNCTION("""COMPUTED_VALUE"""),176.0)</f>
        <v>176</v>
      </c>
      <c r="AA110" s="47">
        <f>IFERROR(__xludf.DUMMYFUNCTION("""COMPUTED_VALUE"""),176.0)</f>
        <v>176</v>
      </c>
      <c r="AB110" s="47">
        <f>IFERROR(__xludf.DUMMYFUNCTION("""COMPUTED_VALUE"""),2112.0)</f>
        <v>2112</v>
      </c>
    </row>
    <row r="111">
      <c r="B111" s="37"/>
      <c r="C111" s="37"/>
      <c r="D111" s="37"/>
      <c r="E111" s="37"/>
      <c r="F111" s="37"/>
      <c r="G111" s="37"/>
      <c r="H111" s="37"/>
      <c r="I111" s="37"/>
      <c r="J111" s="37" t="str">
        <f>IFERROR(__xludf.DUMMYFUNCTION("""COMPUTED_VALUE"""),"AICHMN02410152")</f>
        <v>AICHMN02410152</v>
      </c>
      <c r="K111" s="37" t="str">
        <f>IFERROR(__xludf.DUMMYFUNCTION("""COMPUTED_VALUE"""),"LG 樂金可攜式觸控顯示器")</f>
        <v>LG 樂金可攜式觸控顯示器</v>
      </c>
      <c r="L111" s="37" t="str">
        <f>IFERROR(__xludf.DUMMYFUNCTION("""COMPUTED_VALUE"""),"黃晴之")</f>
        <v>黃晴之</v>
      </c>
      <c r="M111" s="37" t="str">
        <f>IFERROR(__xludf.DUMMYFUNCTION("""COMPUTED_VALUE"""),"行銷營運中心")</f>
        <v>行銷營運中心</v>
      </c>
      <c r="N111" s="37" t="str">
        <f>IFERROR(__xludf.DUMMYFUNCTION("""COMPUTED_VALUE"""),"社群關係部")</f>
        <v>社群關係部</v>
      </c>
      <c r="O111" s="37" t="str">
        <f>IFERROR(__xludf.DUMMYFUNCTION("""COMPUTED_VALUE"""),"餐廳社群團隊")</f>
        <v>餐廳社群團隊</v>
      </c>
      <c r="P111" s="47">
        <f>IFERROR(__xludf.DUMMYFUNCTION("""COMPUTED_VALUE"""),694.0)</f>
        <v>694</v>
      </c>
      <c r="Q111" s="47">
        <f>IFERROR(__xludf.DUMMYFUNCTION("""COMPUTED_VALUE"""),694.0)</f>
        <v>694</v>
      </c>
      <c r="R111" s="47">
        <f>IFERROR(__xludf.DUMMYFUNCTION("""COMPUTED_VALUE"""),694.0)</f>
        <v>694</v>
      </c>
      <c r="S111" s="47">
        <f>IFERROR(__xludf.DUMMYFUNCTION("""COMPUTED_VALUE"""),694.0)</f>
        <v>694</v>
      </c>
      <c r="T111" s="47">
        <f>IFERROR(__xludf.DUMMYFUNCTION("""COMPUTED_VALUE"""),694.0)</f>
        <v>694</v>
      </c>
      <c r="U111" s="47">
        <f>IFERROR(__xludf.DUMMYFUNCTION("""COMPUTED_VALUE"""),694.0)</f>
        <v>694</v>
      </c>
      <c r="V111" s="47">
        <f>IFERROR(__xludf.DUMMYFUNCTION("""COMPUTED_VALUE"""),694.0)</f>
        <v>694</v>
      </c>
      <c r="W111" s="47">
        <f>IFERROR(__xludf.DUMMYFUNCTION("""COMPUTED_VALUE"""),694.0)</f>
        <v>694</v>
      </c>
      <c r="X111" s="47">
        <f>IFERROR(__xludf.DUMMYFUNCTION("""COMPUTED_VALUE"""),694.0)</f>
        <v>694</v>
      </c>
      <c r="Y111" s="47">
        <f>IFERROR(__xludf.DUMMYFUNCTION("""COMPUTED_VALUE"""),694.0)</f>
        <v>694</v>
      </c>
      <c r="Z111" s="47">
        <f>IFERROR(__xludf.DUMMYFUNCTION("""COMPUTED_VALUE"""),694.0)</f>
        <v>694</v>
      </c>
      <c r="AA111" s="47">
        <f>IFERROR(__xludf.DUMMYFUNCTION("""COMPUTED_VALUE"""),694.0)</f>
        <v>694</v>
      </c>
      <c r="AB111" s="47">
        <f>IFERROR(__xludf.DUMMYFUNCTION("""COMPUTED_VALUE"""),8328.0)</f>
        <v>8328</v>
      </c>
    </row>
    <row r="112">
      <c r="B112" s="37"/>
      <c r="C112" s="37"/>
      <c r="D112" s="37"/>
      <c r="E112" s="37"/>
      <c r="F112" s="37"/>
      <c r="G112" s="37"/>
      <c r="H112" s="37"/>
      <c r="I112" s="37"/>
      <c r="J112" s="37" t="str">
        <f>IFERROR(__xludf.DUMMYFUNCTION("""COMPUTED_VALUE"""),"AICHNB02410005")</f>
        <v>AICHNB02410005</v>
      </c>
      <c r="K112" s="37" t="str">
        <f>IFERROR(__xludf.DUMMYFUNCTION("""COMPUTED_VALUE"""),"Windows 筆電")</f>
        <v>Windows 筆電</v>
      </c>
      <c r="L112" s="37" t="str">
        <f>IFERROR(__xludf.DUMMYFUNCTION("""COMPUTED_VALUE"""),"邱珮綺")</f>
        <v>邱珮綺</v>
      </c>
      <c r="M112" s="37" t="str">
        <f>IFERROR(__xludf.DUMMYFUNCTION("""COMPUTED_VALUE"""),"財務中心")</f>
        <v>財務中心</v>
      </c>
      <c r="N112" s="37" t="str">
        <f>IFERROR(__xludf.DUMMYFUNCTION("""COMPUTED_VALUE"""),"會計部")</f>
        <v>會計部</v>
      </c>
      <c r="O112" s="37"/>
      <c r="P112" s="47">
        <f>IFERROR(__xludf.DUMMYFUNCTION("""COMPUTED_VALUE"""),1169.0)</f>
        <v>1169</v>
      </c>
      <c r="Q112" s="47">
        <f>IFERROR(__xludf.DUMMYFUNCTION("""COMPUTED_VALUE"""),1169.0)</f>
        <v>1169</v>
      </c>
      <c r="R112" s="47">
        <f>IFERROR(__xludf.DUMMYFUNCTION("""COMPUTED_VALUE"""),1169.0)</f>
        <v>1169</v>
      </c>
      <c r="S112" s="47">
        <f>IFERROR(__xludf.DUMMYFUNCTION("""COMPUTED_VALUE"""),1169.0)</f>
        <v>1169</v>
      </c>
      <c r="T112" s="47">
        <f>IFERROR(__xludf.DUMMYFUNCTION("""COMPUTED_VALUE"""),1169.0)</f>
        <v>1169</v>
      </c>
      <c r="U112" s="47">
        <f>IFERROR(__xludf.DUMMYFUNCTION("""COMPUTED_VALUE"""),1169.0)</f>
        <v>1169</v>
      </c>
      <c r="V112" s="47">
        <f>IFERROR(__xludf.DUMMYFUNCTION("""COMPUTED_VALUE"""),1169.0)</f>
        <v>1169</v>
      </c>
      <c r="W112" s="47">
        <f>IFERROR(__xludf.DUMMYFUNCTION("""COMPUTED_VALUE"""),1169.0)</f>
        <v>1169</v>
      </c>
      <c r="X112" s="47">
        <f>IFERROR(__xludf.DUMMYFUNCTION("""COMPUTED_VALUE"""),1169.0)</f>
        <v>1169</v>
      </c>
      <c r="Y112" s="47">
        <f>IFERROR(__xludf.DUMMYFUNCTION("""COMPUTED_VALUE"""),1169.0)</f>
        <v>1169</v>
      </c>
      <c r="Z112" s="47">
        <f>IFERROR(__xludf.DUMMYFUNCTION("""COMPUTED_VALUE"""),1169.0)</f>
        <v>1169</v>
      </c>
      <c r="AA112" s="47">
        <f>IFERROR(__xludf.DUMMYFUNCTION("""COMPUTED_VALUE"""),1169.0)</f>
        <v>1169</v>
      </c>
      <c r="AB112" s="47">
        <f>IFERROR(__xludf.DUMMYFUNCTION("""COMPUTED_VALUE"""),14028.0)</f>
        <v>14028</v>
      </c>
    </row>
    <row r="113">
      <c r="B113" s="37"/>
      <c r="C113" s="37"/>
      <c r="D113" s="37"/>
      <c r="E113" s="37"/>
      <c r="F113" s="37"/>
      <c r="G113" s="37"/>
      <c r="H113" s="37"/>
      <c r="I113" s="37"/>
      <c r="J113" s="37" t="str">
        <f>IFERROR(__xludf.DUMMYFUNCTION("""COMPUTED_VALUE"""),"AICHNB02410006")</f>
        <v>AICHNB02410006</v>
      </c>
      <c r="K113" s="37" t="str">
        <f>IFERROR(__xludf.DUMMYFUNCTION("""COMPUTED_VALUE"""),"Windows 筆電")</f>
        <v>Windows 筆電</v>
      </c>
      <c r="L113" s="37" t="str">
        <f>IFERROR(__xludf.DUMMYFUNCTION("""COMPUTED_VALUE"""),"王怡琇")</f>
        <v>王怡琇</v>
      </c>
      <c r="M113" s="37" t="str">
        <f>IFERROR(__xludf.DUMMYFUNCTION("""COMPUTED_VALUE"""),"財務中心")</f>
        <v>財務中心</v>
      </c>
      <c r="N113" s="37" t="str">
        <f>IFERROR(__xludf.DUMMYFUNCTION("""COMPUTED_VALUE"""),"會計部")</f>
        <v>會計部</v>
      </c>
      <c r="O113" s="37"/>
      <c r="P113" s="47">
        <f>IFERROR(__xludf.DUMMYFUNCTION("""COMPUTED_VALUE"""),1169.0)</f>
        <v>1169</v>
      </c>
      <c r="Q113" s="47">
        <f>IFERROR(__xludf.DUMMYFUNCTION("""COMPUTED_VALUE"""),1169.0)</f>
        <v>1169</v>
      </c>
      <c r="R113" s="47">
        <f>IFERROR(__xludf.DUMMYFUNCTION("""COMPUTED_VALUE"""),1169.0)</f>
        <v>1169</v>
      </c>
      <c r="S113" s="47">
        <f>IFERROR(__xludf.DUMMYFUNCTION("""COMPUTED_VALUE"""),1169.0)</f>
        <v>1169</v>
      </c>
      <c r="T113" s="47">
        <f>IFERROR(__xludf.DUMMYFUNCTION("""COMPUTED_VALUE"""),1169.0)</f>
        <v>1169</v>
      </c>
      <c r="U113" s="47">
        <f>IFERROR(__xludf.DUMMYFUNCTION("""COMPUTED_VALUE"""),1169.0)</f>
        <v>1169</v>
      </c>
      <c r="V113" s="47">
        <f>IFERROR(__xludf.DUMMYFUNCTION("""COMPUTED_VALUE"""),1169.0)</f>
        <v>1169</v>
      </c>
      <c r="W113" s="47">
        <f>IFERROR(__xludf.DUMMYFUNCTION("""COMPUTED_VALUE"""),1169.0)</f>
        <v>1169</v>
      </c>
      <c r="X113" s="47">
        <f>IFERROR(__xludf.DUMMYFUNCTION("""COMPUTED_VALUE"""),1169.0)</f>
        <v>1169</v>
      </c>
      <c r="Y113" s="47">
        <f>IFERROR(__xludf.DUMMYFUNCTION("""COMPUTED_VALUE"""),1169.0)</f>
        <v>1169</v>
      </c>
      <c r="Z113" s="47">
        <f>IFERROR(__xludf.DUMMYFUNCTION("""COMPUTED_VALUE"""),1169.0)</f>
        <v>1169</v>
      </c>
      <c r="AA113" s="47">
        <f>IFERROR(__xludf.DUMMYFUNCTION("""COMPUTED_VALUE"""),1169.0)</f>
        <v>1169</v>
      </c>
      <c r="AB113" s="47">
        <f>IFERROR(__xludf.DUMMYFUNCTION("""COMPUTED_VALUE"""),14028.0)</f>
        <v>14028</v>
      </c>
    </row>
    <row r="114">
      <c r="B114" s="37"/>
      <c r="C114" s="37"/>
      <c r="D114" s="37"/>
      <c r="E114" s="37"/>
      <c r="F114" s="37"/>
      <c r="G114" s="37"/>
      <c r="H114" s="37"/>
      <c r="I114" s="37"/>
      <c r="J114" s="37" t="str">
        <f>IFERROR(__xludf.DUMMYFUNCTION("""COMPUTED_VALUE"""),"AICHIP02411110")</f>
        <v>AICHIP02411110</v>
      </c>
      <c r="K114" s="37" t="str">
        <f>IFERROR(__xludf.DUMMYFUNCTION("""COMPUTED_VALUE"""),"iPad Pro")</f>
        <v>iPad Pro</v>
      </c>
      <c r="L114" s="37" t="str">
        <f>IFERROR(__xludf.DUMMYFUNCTION("""COMPUTED_VALUE"""),"陳妍臻")</f>
        <v>陳妍臻</v>
      </c>
      <c r="M114" s="37" t="str">
        <f>IFERROR(__xludf.DUMMYFUNCTION("""COMPUTED_VALUE"""),"研發中心")</f>
        <v>研發中心</v>
      </c>
      <c r="N114" s="37" t="str">
        <f>IFERROR(__xludf.DUMMYFUNCTION("""COMPUTED_VALUE"""),"軟體工程部")</f>
        <v>軟體工程部</v>
      </c>
      <c r="O114" s="37" t="str">
        <f>IFERROR(__xludf.DUMMYFUNCTION("""COMPUTED_VALUE"""),"QE團隊")</f>
        <v>QE團隊</v>
      </c>
      <c r="P114" s="47">
        <f>IFERROR(__xludf.DUMMYFUNCTION("""COMPUTED_VALUE"""),859.0)</f>
        <v>859</v>
      </c>
      <c r="Q114" s="47">
        <f>IFERROR(__xludf.DUMMYFUNCTION("""COMPUTED_VALUE"""),859.0)</f>
        <v>859</v>
      </c>
      <c r="R114" s="47">
        <f>IFERROR(__xludf.DUMMYFUNCTION("""COMPUTED_VALUE"""),859.0)</f>
        <v>859</v>
      </c>
      <c r="S114" s="47">
        <f>IFERROR(__xludf.DUMMYFUNCTION("""COMPUTED_VALUE"""),859.0)</f>
        <v>859</v>
      </c>
      <c r="T114" s="47">
        <f>IFERROR(__xludf.DUMMYFUNCTION("""COMPUTED_VALUE"""),859.0)</f>
        <v>859</v>
      </c>
      <c r="U114" s="47">
        <f>IFERROR(__xludf.DUMMYFUNCTION("""COMPUTED_VALUE"""),859.0)</f>
        <v>859</v>
      </c>
      <c r="V114" s="47">
        <f>IFERROR(__xludf.DUMMYFUNCTION("""COMPUTED_VALUE"""),859.0)</f>
        <v>859</v>
      </c>
      <c r="W114" s="47">
        <f>IFERROR(__xludf.DUMMYFUNCTION("""COMPUTED_VALUE"""),859.0)</f>
        <v>859</v>
      </c>
      <c r="X114" s="47">
        <f>IFERROR(__xludf.DUMMYFUNCTION("""COMPUTED_VALUE"""),859.0)</f>
        <v>859</v>
      </c>
      <c r="Y114" s="47">
        <f>IFERROR(__xludf.DUMMYFUNCTION("""COMPUTED_VALUE"""),859.0)</f>
        <v>859</v>
      </c>
      <c r="Z114" s="47">
        <f>IFERROR(__xludf.DUMMYFUNCTION("""COMPUTED_VALUE"""),859.0)</f>
        <v>859</v>
      </c>
      <c r="AA114" s="47">
        <f>IFERROR(__xludf.DUMMYFUNCTION("""COMPUTED_VALUE"""),859.0)</f>
        <v>859</v>
      </c>
      <c r="AB114" s="47">
        <f>IFERROR(__xludf.DUMMYFUNCTION("""COMPUTED_VALUE"""),10308.0)</f>
        <v>10308</v>
      </c>
    </row>
    <row r="115">
      <c r="B115" s="37"/>
      <c r="C115" s="37"/>
      <c r="D115" s="37"/>
      <c r="E115" s="37"/>
      <c r="F115" s="37"/>
      <c r="G115" s="37"/>
      <c r="H115" s="37"/>
      <c r="I115" s="37"/>
      <c r="J115" s="37" t="str">
        <f>IFERROR(__xludf.DUMMYFUNCTION("""COMPUTED_VALUE"""),"AICHMA02411093")</f>
        <v>AICHMA02411093</v>
      </c>
      <c r="K115" s="37" t="str">
        <f>IFERROR(__xludf.DUMMYFUNCTION("""COMPUTED_VALUE"""),"MacBook Air")</f>
        <v>MacBook Air</v>
      </c>
      <c r="L115" s="37" t="str">
        <f>IFERROR(__xludf.DUMMYFUNCTION("""COMPUTED_VALUE"""),"謝尹蘋")</f>
        <v>謝尹蘋</v>
      </c>
      <c r="M115" s="37" t="str">
        <f>IFERROR(__xludf.DUMMYFUNCTION("""COMPUTED_VALUE"""),"客戶價值中心")</f>
        <v>客戶價值中心</v>
      </c>
      <c r="N115" s="37" t="str">
        <f>IFERROR(__xludf.DUMMYFUNCTION("""COMPUTED_VALUE"""),"客戶關係管理部")</f>
        <v>客戶關係管理部</v>
      </c>
      <c r="O115" s="37" t="str">
        <f>IFERROR(__xludf.DUMMYFUNCTION("""COMPUTED_VALUE"""),"客服團隊 POS/OMO")</f>
        <v>客服團隊 POS/OMO</v>
      </c>
      <c r="P115" s="47">
        <f>IFERROR(__xludf.DUMMYFUNCTION("""COMPUTED_VALUE"""),1033.0)</f>
        <v>1033</v>
      </c>
      <c r="Q115" s="47">
        <f>IFERROR(__xludf.DUMMYFUNCTION("""COMPUTED_VALUE"""),1033.0)</f>
        <v>1033</v>
      </c>
      <c r="R115" s="47">
        <f>IFERROR(__xludf.DUMMYFUNCTION("""COMPUTED_VALUE"""),1033.0)</f>
        <v>1033</v>
      </c>
      <c r="S115" s="47">
        <f>IFERROR(__xludf.DUMMYFUNCTION("""COMPUTED_VALUE"""),1033.0)</f>
        <v>1033</v>
      </c>
      <c r="T115" s="47">
        <f>IFERROR(__xludf.DUMMYFUNCTION("""COMPUTED_VALUE"""),1033.0)</f>
        <v>1033</v>
      </c>
      <c r="U115" s="47">
        <f>IFERROR(__xludf.DUMMYFUNCTION("""COMPUTED_VALUE"""),1033.0)</f>
        <v>1033</v>
      </c>
      <c r="V115" s="47">
        <f>IFERROR(__xludf.DUMMYFUNCTION("""COMPUTED_VALUE"""),1033.0)</f>
        <v>1033</v>
      </c>
      <c r="W115" s="47">
        <f>IFERROR(__xludf.DUMMYFUNCTION("""COMPUTED_VALUE"""),1033.0)</f>
        <v>1033</v>
      </c>
      <c r="X115" s="47">
        <f>IFERROR(__xludf.DUMMYFUNCTION("""COMPUTED_VALUE"""),1033.0)</f>
        <v>1033</v>
      </c>
      <c r="Y115" s="47">
        <f>IFERROR(__xludf.DUMMYFUNCTION("""COMPUTED_VALUE"""),1033.0)</f>
        <v>1033</v>
      </c>
      <c r="Z115" s="47">
        <f>IFERROR(__xludf.DUMMYFUNCTION("""COMPUTED_VALUE"""),1033.0)</f>
        <v>1033</v>
      </c>
      <c r="AA115" s="47">
        <f>IFERROR(__xludf.DUMMYFUNCTION("""COMPUTED_VALUE"""),1033.0)</f>
        <v>1033</v>
      </c>
      <c r="AB115" s="47">
        <f>IFERROR(__xludf.DUMMYFUNCTION("""COMPUTED_VALUE"""),12396.0)</f>
        <v>12396</v>
      </c>
    </row>
    <row r="116">
      <c r="B116" s="37"/>
      <c r="C116" s="37"/>
      <c r="D116" s="37"/>
      <c r="E116" s="37"/>
      <c r="F116" s="37"/>
      <c r="G116" s="37"/>
      <c r="H116" s="37"/>
      <c r="I116" s="37"/>
      <c r="J116" s="37" t="str">
        <f>IFERROR(__xludf.DUMMYFUNCTION("""COMPUTED_VALUE"""),"AICHMA02411094")</f>
        <v>AICHMA02411094</v>
      </c>
      <c r="K116" s="37" t="str">
        <f>IFERROR(__xludf.DUMMYFUNCTION("""COMPUTED_VALUE"""),"MacBook Air")</f>
        <v>MacBook Air</v>
      </c>
      <c r="L116" s="37" t="str">
        <f>IFERROR(__xludf.DUMMYFUNCTION("""COMPUTED_VALUE"""),"周欣穎")</f>
        <v>周欣穎</v>
      </c>
      <c r="M116" s="37" t="str">
        <f>IFERROR(__xludf.DUMMYFUNCTION("""COMPUTED_VALUE"""),"行銷營運中心")</f>
        <v>行銷營運中心</v>
      </c>
      <c r="N116" s="37" t="str">
        <f>IFERROR(__xludf.DUMMYFUNCTION("""COMPUTED_VALUE"""),"銷售營運部")</f>
        <v>銷售營運部</v>
      </c>
      <c r="O116" s="37" t="str">
        <f>IFERROR(__xludf.DUMMYFUNCTION("""COMPUTED_VALUE"""),"成交營運團隊")</f>
        <v>成交營運團隊</v>
      </c>
      <c r="P116" s="47">
        <f>IFERROR(__xludf.DUMMYFUNCTION("""COMPUTED_VALUE"""),1033.0)</f>
        <v>1033</v>
      </c>
      <c r="Q116" s="47">
        <f>IFERROR(__xludf.DUMMYFUNCTION("""COMPUTED_VALUE"""),1033.0)</f>
        <v>1033</v>
      </c>
      <c r="R116" s="47">
        <f>IFERROR(__xludf.DUMMYFUNCTION("""COMPUTED_VALUE"""),1033.0)</f>
        <v>1033</v>
      </c>
      <c r="S116" s="47">
        <f>IFERROR(__xludf.DUMMYFUNCTION("""COMPUTED_VALUE"""),1033.0)</f>
        <v>1033</v>
      </c>
      <c r="T116" s="47">
        <f>IFERROR(__xludf.DUMMYFUNCTION("""COMPUTED_VALUE"""),1033.0)</f>
        <v>1033</v>
      </c>
      <c r="U116" s="47">
        <f>IFERROR(__xludf.DUMMYFUNCTION("""COMPUTED_VALUE"""),1033.0)</f>
        <v>1033</v>
      </c>
      <c r="V116" s="47">
        <f>IFERROR(__xludf.DUMMYFUNCTION("""COMPUTED_VALUE"""),1033.0)</f>
        <v>1033</v>
      </c>
      <c r="W116" s="47">
        <f>IFERROR(__xludf.DUMMYFUNCTION("""COMPUTED_VALUE"""),1033.0)</f>
        <v>1033</v>
      </c>
      <c r="X116" s="47">
        <f>IFERROR(__xludf.DUMMYFUNCTION("""COMPUTED_VALUE"""),1033.0)</f>
        <v>1033</v>
      </c>
      <c r="Y116" s="47">
        <f>IFERROR(__xludf.DUMMYFUNCTION("""COMPUTED_VALUE"""),1033.0)</f>
        <v>1033</v>
      </c>
      <c r="Z116" s="47">
        <f>IFERROR(__xludf.DUMMYFUNCTION("""COMPUTED_VALUE"""),1033.0)</f>
        <v>1033</v>
      </c>
      <c r="AA116" s="47">
        <f>IFERROR(__xludf.DUMMYFUNCTION("""COMPUTED_VALUE"""),1033.0)</f>
        <v>1033</v>
      </c>
      <c r="AB116" s="47">
        <f>IFERROR(__xludf.DUMMYFUNCTION("""COMPUTED_VALUE"""),12396.0)</f>
        <v>12396</v>
      </c>
    </row>
    <row r="117">
      <c r="B117" s="37"/>
      <c r="C117" s="37"/>
      <c r="D117" s="37"/>
      <c r="E117" s="37"/>
      <c r="F117" s="37"/>
      <c r="G117" s="37"/>
      <c r="H117" s="37"/>
      <c r="I117" s="37"/>
      <c r="J117" s="37" t="str">
        <f>IFERROR(__xludf.DUMMYFUNCTION("""COMPUTED_VALUE"""),"AICHMA02411095")</f>
        <v>AICHMA02411095</v>
      </c>
      <c r="K117" s="37" t="str">
        <f>IFERROR(__xludf.DUMMYFUNCTION("""COMPUTED_VALUE"""),"MacBook Air")</f>
        <v>MacBook Air</v>
      </c>
      <c r="L117" s="37" t="str">
        <f>IFERROR(__xludf.DUMMYFUNCTION("""COMPUTED_VALUE"""),"高竹映")</f>
        <v>高竹映</v>
      </c>
      <c r="M117" s="37" t="str">
        <f>IFERROR(__xludf.DUMMYFUNCTION("""COMPUTED_VALUE"""),"行銷營運中心")</f>
        <v>行銷營運中心</v>
      </c>
      <c r="N117" s="37" t="str">
        <f>IFERROR(__xludf.DUMMYFUNCTION("""COMPUTED_VALUE"""),"銷售營運部")</f>
        <v>銷售營運部</v>
      </c>
      <c r="O117" s="37" t="str">
        <f>IFERROR(__xludf.DUMMYFUNCTION("""COMPUTED_VALUE"""),"銷售顧問團隊")</f>
        <v>銷售顧問團隊</v>
      </c>
      <c r="P117" s="47">
        <f>IFERROR(__xludf.DUMMYFUNCTION("""COMPUTED_VALUE"""),1033.0)</f>
        <v>1033</v>
      </c>
      <c r="Q117" s="47">
        <f>IFERROR(__xludf.DUMMYFUNCTION("""COMPUTED_VALUE"""),1033.0)</f>
        <v>1033</v>
      </c>
      <c r="R117" s="47">
        <f>IFERROR(__xludf.DUMMYFUNCTION("""COMPUTED_VALUE"""),1033.0)</f>
        <v>1033</v>
      </c>
      <c r="S117" s="47">
        <f>IFERROR(__xludf.DUMMYFUNCTION("""COMPUTED_VALUE"""),1033.0)</f>
        <v>1033</v>
      </c>
      <c r="T117" s="47">
        <f>IFERROR(__xludf.DUMMYFUNCTION("""COMPUTED_VALUE"""),1033.0)</f>
        <v>1033</v>
      </c>
      <c r="U117" s="47">
        <f>IFERROR(__xludf.DUMMYFUNCTION("""COMPUTED_VALUE"""),1033.0)</f>
        <v>1033</v>
      </c>
      <c r="V117" s="47">
        <f>IFERROR(__xludf.DUMMYFUNCTION("""COMPUTED_VALUE"""),1033.0)</f>
        <v>1033</v>
      </c>
      <c r="W117" s="47">
        <f>IFERROR(__xludf.DUMMYFUNCTION("""COMPUTED_VALUE"""),1033.0)</f>
        <v>1033</v>
      </c>
      <c r="X117" s="47">
        <f>IFERROR(__xludf.DUMMYFUNCTION("""COMPUTED_VALUE"""),1033.0)</f>
        <v>1033</v>
      </c>
      <c r="Y117" s="47">
        <f>IFERROR(__xludf.DUMMYFUNCTION("""COMPUTED_VALUE"""),1033.0)</f>
        <v>1033</v>
      </c>
      <c r="Z117" s="47">
        <f>IFERROR(__xludf.DUMMYFUNCTION("""COMPUTED_VALUE"""),1033.0)</f>
        <v>1033</v>
      </c>
      <c r="AA117" s="47">
        <f>IFERROR(__xludf.DUMMYFUNCTION("""COMPUTED_VALUE"""),1033.0)</f>
        <v>1033</v>
      </c>
      <c r="AB117" s="47">
        <f>IFERROR(__xludf.DUMMYFUNCTION("""COMPUTED_VALUE"""),12396.0)</f>
        <v>12396</v>
      </c>
    </row>
    <row r="118">
      <c r="B118" s="37"/>
      <c r="C118" s="37"/>
      <c r="D118" s="37"/>
      <c r="E118" s="37"/>
      <c r="F118" s="37"/>
      <c r="G118" s="37"/>
      <c r="H118" s="37"/>
      <c r="I118" s="37"/>
      <c r="J118" s="37" t="str">
        <f>IFERROR(__xludf.DUMMYFUNCTION("""COMPUTED_VALUE"""),"AICHMA02411096")</f>
        <v>AICHMA02411096</v>
      </c>
      <c r="K118" s="37" t="str">
        <f>IFERROR(__xludf.DUMMYFUNCTION("""COMPUTED_VALUE"""),"MacBook Air")</f>
        <v>MacBook Air</v>
      </c>
      <c r="L118" s="37" t="str">
        <f>IFERROR(__xludf.DUMMYFUNCTION("""COMPUTED_VALUE"""),"王壯為")</f>
        <v>王壯為</v>
      </c>
      <c r="M118" s="37" t="str">
        <f>IFERROR(__xludf.DUMMYFUNCTION("""COMPUTED_VALUE"""),"管理中心")</f>
        <v>管理中心</v>
      </c>
      <c r="N118" s="37" t="str">
        <f>IFERROR(__xludf.DUMMYFUNCTION("""COMPUTED_VALUE"""),"資訊部")</f>
        <v>資訊部</v>
      </c>
      <c r="O118" s="37"/>
      <c r="P118" s="47">
        <f>IFERROR(__xludf.DUMMYFUNCTION("""COMPUTED_VALUE"""),914.0)</f>
        <v>914</v>
      </c>
      <c r="Q118" s="47">
        <f>IFERROR(__xludf.DUMMYFUNCTION("""COMPUTED_VALUE"""),914.0)</f>
        <v>914</v>
      </c>
      <c r="R118" s="47">
        <f>IFERROR(__xludf.DUMMYFUNCTION("""COMPUTED_VALUE"""),914.0)</f>
        <v>914</v>
      </c>
      <c r="S118" s="47">
        <f>IFERROR(__xludf.DUMMYFUNCTION("""COMPUTED_VALUE"""),914.0)</f>
        <v>914</v>
      </c>
      <c r="T118" s="47">
        <f>IFERROR(__xludf.DUMMYFUNCTION("""COMPUTED_VALUE"""),914.0)</f>
        <v>914</v>
      </c>
      <c r="U118" s="47">
        <f>IFERROR(__xludf.DUMMYFUNCTION("""COMPUTED_VALUE"""),914.0)</f>
        <v>914</v>
      </c>
      <c r="V118" s="47">
        <f>IFERROR(__xludf.DUMMYFUNCTION("""COMPUTED_VALUE"""),914.0)</f>
        <v>914</v>
      </c>
      <c r="W118" s="47">
        <f>IFERROR(__xludf.DUMMYFUNCTION("""COMPUTED_VALUE"""),914.0)</f>
        <v>914</v>
      </c>
      <c r="X118" s="47">
        <f>IFERROR(__xludf.DUMMYFUNCTION("""COMPUTED_VALUE"""),914.0)</f>
        <v>914</v>
      </c>
      <c r="Y118" s="47">
        <f>IFERROR(__xludf.DUMMYFUNCTION("""COMPUTED_VALUE"""),914.0)</f>
        <v>914</v>
      </c>
      <c r="Z118" s="47">
        <f>IFERROR(__xludf.DUMMYFUNCTION("""COMPUTED_VALUE"""),914.0)</f>
        <v>914</v>
      </c>
      <c r="AA118" s="47">
        <f>IFERROR(__xludf.DUMMYFUNCTION("""COMPUTED_VALUE"""),914.0)</f>
        <v>914</v>
      </c>
      <c r="AB118" s="47">
        <f>IFERROR(__xludf.DUMMYFUNCTION("""COMPUTED_VALUE"""),10968.0)</f>
        <v>10968</v>
      </c>
    </row>
    <row r="119">
      <c r="B119" s="37"/>
      <c r="C119" s="37"/>
      <c r="D119" s="37"/>
      <c r="E119" s="37"/>
      <c r="F119" s="37"/>
      <c r="G119" s="37"/>
      <c r="H119" s="37"/>
      <c r="I119" s="37"/>
      <c r="J119" s="37" t="str">
        <f>IFERROR(__xludf.DUMMYFUNCTION("""COMPUTED_VALUE"""),"AICHMA02411097")</f>
        <v>AICHMA02411097</v>
      </c>
      <c r="K119" s="37" t="str">
        <f>IFERROR(__xludf.DUMMYFUNCTION("""COMPUTED_VALUE"""),"MacBook Air")</f>
        <v>MacBook Air</v>
      </c>
      <c r="L119" s="37" t="str">
        <f>IFERROR(__xludf.DUMMYFUNCTION("""COMPUTED_VALUE"""),"林怡儒")</f>
        <v>林怡儒</v>
      </c>
      <c r="M119" s="37" t="str">
        <f>IFERROR(__xludf.DUMMYFUNCTION("""COMPUTED_VALUE"""),"客戶價值中心")</f>
        <v>客戶價值中心</v>
      </c>
      <c r="N119" s="37" t="str">
        <f>IFERROR(__xludf.DUMMYFUNCTION("""COMPUTED_VALUE"""),"客戶關係管理部")</f>
        <v>客戶關係管理部</v>
      </c>
      <c r="O119" s="37" t="str">
        <f>IFERROR(__xludf.DUMMYFUNCTION("""COMPUTED_VALUE"""),"客服團隊 POS/OMO")</f>
        <v>客服團隊 POS/OMO</v>
      </c>
      <c r="P119" s="47">
        <f>IFERROR(__xludf.DUMMYFUNCTION("""COMPUTED_VALUE"""),914.0)</f>
        <v>914</v>
      </c>
      <c r="Q119" s="47">
        <f>IFERROR(__xludf.DUMMYFUNCTION("""COMPUTED_VALUE"""),914.0)</f>
        <v>914</v>
      </c>
      <c r="R119" s="47">
        <f>IFERROR(__xludf.DUMMYFUNCTION("""COMPUTED_VALUE"""),914.0)</f>
        <v>914</v>
      </c>
      <c r="S119" s="47">
        <f>IFERROR(__xludf.DUMMYFUNCTION("""COMPUTED_VALUE"""),914.0)</f>
        <v>914</v>
      </c>
      <c r="T119" s="47">
        <f>IFERROR(__xludf.DUMMYFUNCTION("""COMPUTED_VALUE"""),914.0)</f>
        <v>914</v>
      </c>
      <c r="U119" s="47">
        <f>IFERROR(__xludf.DUMMYFUNCTION("""COMPUTED_VALUE"""),914.0)</f>
        <v>914</v>
      </c>
      <c r="V119" s="47">
        <f>IFERROR(__xludf.DUMMYFUNCTION("""COMPUTED_VALUE"""),914.0)</f>
        <v>914</v>
      </c>
      <c r="W119" s="47">
        <f>IFERROR(__xludf.DUMMYFUNCTION("""COMPUTED_VALUE"""),914.0)</f>
        <v>914</v>
      </c>
      <c r="X119" s="47">
        <f>IFERROR(__xludf.DUMMYFUNCTION("""COMPUTED_VALUE"""),914.0)</f>
        <v>914</v>
      </c>
      <c r="Y119" s="47">
        <f>IFERROR(__xludf.DUMMYFUNCTION("""COMPUTED_VALUE"""),914.0)</f>
        <v>914</v>
      </c>
      <c r="Z119" s="47">
        <f>IFERROR(__xludf.DUMMYFUNCTION("""COMPUTED_VALUE"""),914.0)</f>
        <v>914</v>
      </c>
      <c r="AA119" s="47">
        <f>IFERROR(__xludf.DUMMYFUNCTION("""COMPUTED_VALUE"""),914.0)</f>
        <v>914</v>
      </c>
      <c r="AB119" s="47">
        <f>IFERROR(__xludf.DUMMYFUNCTION("""COMPUTED_VALUE"""),10968.0)</f>
        <v>10968</v>
      </c>
    </row>
    <row r="120">
      <c r="B120" s="37"/>
      <c r="C120" s="37"/>
      <c r="D120" s="37"/>
      <c r="E120" s="37"/>
      <c r="F120" s="37"/>
      <c r="G120" s="37"/>
      <c r="H120" s="37"/>
      <c r="I120" s="37"/>
      <c r="J120" s="37" t="str">
        <f>IFERROR(__xludf.DUMMYFUNCTION("""COMPUTED_VALUE"""),"AICHMA02411098")</f>
        <v>AICHMA02411098</v>
      </c>
      <c r="K120" s="37" t="str">
        <f>IFERROR(__xludf.DUMMYFUNCTION("""COMPUTED_VALUE"""),"MacBook Air")</f>
        <v>MacBook Air</v>
      </c>
      <c r="L120" s="37" t="str">
        <f>IFERROR(__xludf.DUMMYFUNCTION("""COMPUTED_VALUE"""),"車欣蓓")</f>
        <v>車欣蓓</v>
      </c>
      <c r="M120" s="37" t="str">
        <f>IFERROR(__xludf.DUMMYFUNCTION("""COMPUTED_VALUE"""),"行銷營運中心")</f>
        <v>行銷營運中心</v>
      </c>
      <c r="N120" s="37" t="str">
        <f>IFERROR(__xludf.DUMMYFUNCTION("""COMPUTED_VALUE"""),"社群關係部")</f>
        <v>社群關係部</v>
      </c>
      <c r="O120" s="37" t="str">
        <f>IFERROR(__xludf.DUMMYFUNCTION("""COMPUTED_VALUE"""),"餐廳社群團隊")</f>
        <v>餐廳社群團隊</v>
      </c>
      <c r="P120" s="47">
        <f>IFERROR(__xludf.DUMMYFUNCTION("""COMPUTED_VALUE"""),914.0)</f>
        <v>914</v>
      </c>
      <c r="Q120" s="47">
        <f>IFERROR(__xludf.DUMMYFUNCTION("""COMPUTED_VALUE"""),914.0)</f>
        <v>914</v>
      </c>
      <c r="R120" s="47">
        <f>IFERROR(__xludf.DUMMYFUNCTION("""COMPUTED_VALUE"""),914.0)</f>
        <v>914</v>
      </c>
      <c r="S120" s="47">
        <f>IFERROR(__xludf.DUMMYFUNCTION("""COMPUTED_VALUE"""),914.0)</f>
        <v>914</v>
      </c>
      <c r="T120" s="47">
        <f>IFERROR(__xludf.DUMMYFUNCTION("""COMPUTED_VALUE"""),914.0)</f>
        <v>914</v>
      </c>
      <c r="U120" s="47">
        <f>IFERROR(__xludf.DUMMYFUNCTION("""COMPUTED_VALUE"""),914.0)</f>
        <v>914</v>
      </c>
      <c r="V120" s="47">
        <f>IFERROR(__xludf.DUMMYFUNCTION("""COMPUTED_VALUE"""),914.0)</f>
        <v>914</v>
      </c>
      <c r="W120" s="47">
        <f>IFERROR(__xludf.DUMMYFUNCTION("""COMPUTED_VALUE"""),914.0)</f>
        <v>914</v>
      </c>
      <c r="X120" s="47">
        <f>IFERROR(__xludf.DUMMYFUNCTION("""COMPUTED_VALUE"""),914.0)</f>
        <v>914</v>
      </c>
      <c r="Y120" s="47">
        <f>IFERROR(__xludf.DUMMYFUNCTION("""COMPUTED_VALUE"""),914.0)</f>
        <v>914</v>
      </c>
      <c r="Z120" s="47">
        <f>IFERROR(__xludf.DUMMYFUNCTION("""COMPUTED_VALUE"""),914.0)</f>
        <v>914</v>
      </c>
      <c r="AA120" s="47">
        <f>IFERROR(__xludf.DUMMYFUNCTION("""COMPUTED_VALUE"""),914.0)</f>
        <v>914</v>
      </c>
      <c r="AB120" s="47">
        <f>IFERROR(__xludf.DUMMYFUNCTION("""COMPUTED_VALUE"""),10968.0)</f>
        <v>10968</v>
      </c>
    </row>
    <row r="121">
      <c r="B121" s="37"/>
      <c r="C121" s="37"/>
      <c r="D121" s="37"/>
      <c r="E121" s="37"/>
      <c r="F121" s="37"/>
      <c r="G121" s="37"/>
      <c r="H121" s="37"/>
      <c r="I121" s="37"/>
      <c r="J121" s="37" t="str">
        <f>IFERROR(__xludf.DUMMYFUNCTION("""COMPUTED_VALUE"""),"AICHMA02411099")</f>
        <v>AICHMA02411099</v>
      </c>
      <c r="K121" s="37" t="str">
        <f>IFERROR(__xludf.DUMMYFUNCTION("""COMPUTED_VALUE"""),"MacBook Air")</f>
        <v>MacBook Air</v>
      </c>
      <c r="L121" s="37" t="str">
        <f>IFERROR(__xludf.DUMMYFUNCTION("""COMPUTED_VALUE"""),"李菩綾")</f>
        <v>李菩綾</v>
      </c>
      <c r="M121" s="37" t="str">
        <f>IFERROR(__xludf.DUMMYFUNCTION("""COMPUTED_VALUE"""),"客戶價值中心")</f>
        <v>客戶價值中心</v>
      </c>
      <c r="N121" s="37" t="str">
        <f>IFERROR(__xludf.DUMMYFUNCTION("""COMPUTED_VALUE"""),"客戶關係管理部")</f>
        <v>客戶關係管理部</v>
      </c>
      <c r="O121" s="37" t="str">
        <f>IFERROR(__xludf.DUMMYFUNCTION("""COMPUTED_VALUE"""),"客服團隊  客立樂顧問/Oversea")</f>
        <v>客服團隊  客立樂顧問/Oversea</v>
      </c>
      <c r="P121" s="47">
        <f>IFERROR(__xludf.DUMMYFUNCTION("""COMPUTED_VALUE"""),914.0)</f>
        <v>914</v>
      </c>
      <c r="Q121" s="47">
        <f>IFERROR(__xludf.DUMMYFUNCTION("""COMPUTED_VALUE"""),914.0)</f>
        <v>914</v>
      </c>
      <c r="R121" s="47">
        <f>IFERROR(__xludf.DUMMYFUNCTION("""COMPUTED_VALUE"""),914.0)</f>
        <v>914</v>
      </c>
      <c r="S121" s="47">
        <f>IFERROR(__xludf.DUMMYFUNCTION("""COMPUTED_VALUE"""),914.0)</f>
        <v>914</v>
      </c>
      <c r="T121" s="47">
        <f>IFERROR(__xludf.DUMMYFUNCTION("""COMPUTED_VALUE"""),914.0)</f>
        <v>914</v>
      </c>
      <c r="U121" s="47">
        <f>IFERROR(__xludf.DUMMYFUNCTION("""COMPUTED_VALUE"""),914.0)</f>
        <v>914</v>
      </c>
      <c r="V121" s="47">
        <f>IFERROR(__xludf.DUMMYFUNCTION("""COMPUTED_VALUE"""),914.0)</f>
        <v>914</v>
      </c>
      <c r="W121" s="47">
        <f>IFERROR(__xludf.DUMMYFUNCTION("""COMPUTED_VALUE"""),914.0)</f>
        <v>914</v>
      </c>
      <c r="X121" s="47">
        <f>IFERROR(__xludf.DUMMYFUNCTION("""COMPUTED_VALUE"""),914.0)</f>
        <v>914</v>
      </c>
      <c r="Y121" s="47">
        <f>IFERROR(__xludf.DUMMYFUNCTION("""COMPUTED_VALUE"""),914.0)</f>
        <v>914</v>
      </c>
      <c r="Z121" s="47">
        <f>IFERROR(__xludf.DUMMYFUNCTION("""COMPUTED_VALUE"""),914.0)</f>
        <v>914</v>
      </c>
      <c r="AA121" s="47">
        <f>IFERROR(__xludf.DUMMYFUNCTION("""COMPUTED_VALUE"""),914.0)</f>
        <v>914</v>
      </c>
      <c r="AB121" s="47">
        <f>IFERROR(__xludf.DUMMYFUNCTION("""COMPUTED_VALUE"""),10968.0)</f>
        <v>10968</v>
      </c>
    </row>
    <row r="122">
      <c r="B122" s="37"/>
      <c r="C122" s="37"/>
      <c r="D122" s="37"/>
      <c r="E122" s="37"/>
      <c r="F122" s="37"/>
      <c r="G122" s="37"/>
      <c r="H122" s="37"/>
      <c r="I122" s="37"/>
      <c r="J122" s="37" t="str">
        <f>IFERROR(__xludf.DUMMYFUNCTION("""COMPUTED_VALUE"""),"AICHMA02411100")</f>
        <v>AICHMA02411100</v>
      </c>
      <c r="K122" s="37" t="str">
        <f>IFERROR(__xludf.DUMMYFUNCTION("""COMPUTED_VALUE"""),"MacBook Air")</f>
        <v>MacBook Air</v>
      </c>
      <c r="L122" s="37" t="str">
        <f>IFERROR(__xludf.DUMMYFUNCTION("""COMPUTED_VALUE"""),"季優")</f>
        <v>季優</v>
      </c>
      <c r="M122" s="37" t="str">
        <f>IFERROR(__xludf.DUMMYFUNCTION("""COMPUTED_VALUE"""),"行銷營運中心")</f>
        <v>行銷營運中心</v>
      </c>
      <c r="N122" s="37" t="str">
        <f>IFERROR(__xludf.DUMMYFUNCTION("""COMPUTED_VALUE"""),"社群關係部")</f>
        <v>社群關係部</v>
      </c>
      <c r="O122" s="37" t="str">
        <f>IFERROR(__xludf.DUMMYFUNCTION("""COMPUTED_VALUE"""),"餐廳社群團隊")</f>
        <v>餐廳社群團隊</v>
      </c>
      <c r="P122" s="47">
        <f>IFERROR(__xludf.DUMMYFUNCTION("""COMPUTED_VALUE"""),914.0)</f>
        <v>914</v>
      </c>
      <c r="Q122" s="47">
        <f>IFERROR(__xludf.DUMMYFUNCTION("""COMPUTED_VALUE"""),914.0)</f>
        <v>914</v>
      </c>
      <c r="R122" s="47">
        <f>IFERROR(__xludf.DUMMYFUNCTION("""COMPUTED_VALUE"""),914.0)</f>
        <v>914</v>
      </c>
      <c r="S122" s="47">
        <f>IFERROR(__xludf.DUMMYFUNCTION("""COMPUTED_VALUE"""),914.0)</f>
        <v>914</v>
      </c>
      <c r="T122" s="47">
        <f>IFERROR(__xludf.DUMMYFUNCTION("""COMPUTED_VALUE"""),914.0)</f>
        <v>914</v>
      </c>
      <c r="U122" s="47">
        <f>IFERROR(__xludf.DUMMYFUNCTION("""COMPUTED_VALUE"""),914.0)</f>
        <v>914</v>
      </c>
      <c r="V122" s="47">
        <f>IFERROR(__xludf.DUMMYFUNCTION("""COMPUTED_VALUE"""),914.0)</f>
        <v>914</v>
      </c>
      <c r="W122" s="47">
        <f>IFERROR(__xludf.DUMMYFUNCTION("""COMPUTED_VALUE"""),914.0)</f>
        <v>914</v>
      </c>
      <c r="X122" s="47">
        <f>IFERROR(__xludf.DUMMYFUNCTION("""COMPUTED_VALUE"""),914.0)</f>
        <v>914</v>
      </c>
      <c r="Y122" s="47">
        <f>IFERROR(__xludf.DUMMYFUNCTION("""COMPUTED_VALUE"""),914.0)</f>
        <v>914</v>
      </c>
      <c r="Z122" s="47">
        <f>IFERROR(__xludf.DUMMYFUNCTION("""COMPUTED_VALUE"""),914.0)</f>
        <v>914</v>
      </c>
      <c r="AA122" s="47">
        <f>IFERROR(__xludf.DUMMYFUNCTION("""COMPUTED_VALUE"""),914.0)</f>
        <v>914</v>
      </c>
      <c r="AB122" s="47">
        <f>IFERROR(__xludf.DUMMYFUNCTION("""COMPUTED_VALUE"""),10968.0)</f>
        <v>10968</v>
      </c>
    </row>
    <row r="123">
      <c r="B123" s="37"/>
      <c r="C123" s="37"/>
      <c r="D123" s="37"/>
      <c r="E123" s="37"/>
      <c r="F123" s="37"/>
      <c r="G123" s="37"/>
      <c r="H123" s="37"/>
      <c r="I123" s="37"/>
      <c r="J123" s="37" t="str">
        <f>IFERROR(__xludf.DUMMYFUNCTION("""COMPUTED_VALUE"""),"AICHMA02411101")</f>
        <v>AICHMA02411101</v>
      </c>
      <c r="K123" s="37" t="str">
        <f>IFERROR(__xludf.DUMMYFUNCTION("""COMPUTED_VALUE"""),"MacBook Air")</f>
        <v>MacBook Air</v>
      </c>
      <c r="L123" s="37" t="str">
        <f>IFERROR(__xludf.DUMMYFUNCTION("""COMPUTED_VALUE"""),"吳芯儀")</f>
        <v>吳芯儀</v>
      </c>
      <c r="M123" s="37" t="str">
        <f>IFERROR(__xludf.DUMMYFUNCTION("""COMPUTED_VALUE"""),"客戶價值中心")</f>
        <v>客戶價值中心</v>
      </c>
      <c r="N123" s="37" t="str">
        <f>IFERROR(__xludf.DUMMYFUNCTION("""COMPUTED_VALUE"""),"客戶關係管理部")</f>
        <v>客戶關係管理部</v>
      </c>
      <c r="O123" s="37" t="str">
        <f>IFERROR(__xludf.DUMMYFUNCTION("""COMPUTED_VALUE"""),"客服團隊 POS/OMO")</f>
        <v>客服團隊 POS/OMO</v>
      </c>
      <c r="P123" s="47">
        <f>IFERROR(__xludf.DUMMYFUNCTION("""COMPUTED_VALUE"""),914.0)</f>
        <v>914</v>
      </c>
      <c r="Q123" s="47">
        <f>IFERROR(__xludf.DUMMYFUNCTION("""COMPUTED_VALUE"""),914.0)</f>
        <v>914</v>
      </c>
      <c r="R123" s="47">
        <f>IFERROR(__xludf.DUMMYFUNCTION("""COMPUTED_VALUE"""),914.0)</f>
        <v>914</v>
      </c>
      <c r="S123" s="47">
        <f>IFERROR(__xludf.DUMMYFUNCTION("""COMPUTED_VALUE"""),914.0)</f>
        <v>914</v>
      </c>
      <c r="T123" s="47">
        <f>IFERROR(__xludf.DUMMYFUNCTION("""COMPUTED_VALUE"""),914.0)</f>
        <v>914</v>
      </c>
      <c r="U123" s="47">
        <f>IFERROR(__xludf.DUMMYFUNCTION("""COMPUTED_VALUE"""),914.0)</f>
        <v>914</v>
      </c>
      <c r="V123" s="47">
        <f>IFERROR(__xludf.DUMMYFUNCTION("""COMPUTED_VALUE"""),914.0)</f>
        <v>914</v>
      </c>
      <c r="W123" s="47">
        <f>IFERROR(__xludf.DUMMYFUNCTION("""COMPUTED_VALUE"""),914.0)</f>
        <v>914</v>
      </c>
      <c r="X123" s="47">
        <f>IFERROR(__xludf.DUMMYFUNCTION("""COMPUTED_VALUE"""),914.0)</f>
        <v>914</v>
      </c>
      <c r="Y123" s="47">
        <f>IFERROR(__xludf.DUMMYFUNCTION("""COMPUTED_VALUE"""),914.0)</f>
        <v>914</v>
      </c>
      <c r="Z123" s="47">
        <f>IFERROR(__xludf.DUMMYFUNCTION("""COMPUTED_VALUE"""),914.0)</f>
        <v>914</v>
      </c>
      <c r="AA123" s="47">
        <f>IFERROR(__xludf.DUMMYFUNCTION("""COMPUTED_VALUE"""),914.0)</f>
        <v>914</v>
      </c>
      <c r="AB123" s="47">
        <f>IFERROR(__xludf.DUMMYFUNCTION("""COMPUTED_VALUE"""),10968.0)</f>
        <v>10968</v>
      </c>
    </row>
    <row r="124">
      <c r="B124" s="37"/>
      <c r="C124" s="37"/>
      <c r="D124" s="37"/>
      <c r="E124" s="37"/>
      <c r="F124" s="37"/>
      <c r="G124" s="37"/>
      <c r="H124" s="37"/>
      <c r="I124" s="37"/>
      <c r="J124" s="37" t="str">
        <f>IFERROR(__xludf.DUMMYFUNCTION("""COMPUTED_VALUE"""),"AICHIP02412111")</f>
        <v>AICHIP02412111</v>
      </c>
      <c r="K124" s="37" t="str">
        <f>IFERROR(__xludf.DUMMYFUNCTION("""COMPUTED_VALUE"""),"ipad")</f>
        <v>ipad</v>
      </c>
      <c r="L124" s="37" t="str">
        <f>IFERROR(__xludf.DUMMYFUNCTION("""COMPUTED_VALUE"""),"王壯為")</f>
        <v>王壯為</v>
      </c>
      <c r="M124" s="37" t="str">
        <f>IFERROR(__xludf.DUMMYFUNCTION("""COMPUTED_VALUE"""),"管理中心")</f>
        <v>管理中心</v>
      </c>
      <c r="N124" s="37" t="str">
        <f>IFERROR(__xludf.DUMMYFUNCTION("""COMPUTED_VALUE"""),"資訊部")</f>
        <v>資訊部</v>
      </c>
      <c r="O124" s="37"/>
      <c r="P124" s="47">
        <f>IFERROR(__xludf.DUMMYFUNCTION("""COMPUTED_VALUE"""),294.0)</f>
        <v>294</v>
      </c>
      <c r="Q124" s="47">
        <f>IFERROR(__xludf.DUMMYFUNCTION("""COMPUTED_VALUE"""),294.0)</f>
        <v>294</v>
      </c>
      <c r="R124" s="47">
        <f>IFERROR(__xludf.DUMMYFUNCTION("""COMPUTED_VALUE"""),294.0)</f>
        <v>294</v>
      </c>
      <c r="S124" s="47">
        <f>IFERROR(__xludf.DUMMYFUNCTION("""COMPUTED_VALUE"""),294.0)</f>
        <v>294</v>
      </c>
      <c r="T124" s="47">
        <f>IFERROR(__xludf.DUMMYFUNCTION("""COMPUTED_VALUE"""),294.0)</f>
        <v>294</v>
      </c>
      <c r="U124" s="47">
        <f>IFERROR(__xludf.DUMMYFUNCTION("""COMPUTED_VALUE"""),294.0)</f>
        <v>294</v>
      </c>
      <c r="V124" s="47">
        <f>IFERROR(__xludf.DUMMYFUNCTION("""COMPUTED_VALUE"""),294.0)</f>
        <v>294</v>
      </c>
      <c r="W124" s="47">
        <f>IFERROR(__xludf.DUMMYFUNCTION("""COMPUTED_VALUE"""),294.0)</f>
        <v>294</v>
      </c>
      <c r="X124" s="47">
        <f>IFERROR(__xludf.DUMMYFUNCTION("""COMPUTED_VALUE"""),294.0)</f>
        <v>294</v>
      </c>
      <c r="Y124" s="47">
        <f>IFERROR(__xludf.DUMMYFUNCTION("""COMPUTED_VALUE"""),294.0)</f>
        <v>294</v>
      </c>
      <c r="Z124" s="47">
        <f>IFERROR(__xludf.DUMMYFUNCTION("""COMPUTED_VALUE"""),294.0)</f>
        <v>294</v>
      </c>
      <c r="AA124" s="47">
        <f>IFERROR(__xludf.DUMMYFUNCTION("""COMPUTED_VALUE"""),294.0)</f>
        <v>294</v>
      </c>
      <c r="AB124" s="47">
        <f>IFERROR(__xludf.DUMMYFUNCTION("""COMPUTED_VALUE"""),3528.0)</f>
        <v>3528</v>
      </c>
    </row>
    <row r="125">
      <c r="B125" s="37"/>
      <c r="C125" s="37"/>
      <c r="D125" s="37"/>
      <c r="E125" s="37"/>
      <c r="F125" s="37"/>
      <c r="G125" s="37"/>
      <c r="H125" s="37"/>
      <c r="I125" s="37"/>
      <c r="J125" s="37" t="str">
        <f>IFERROR(__xludf.DUMMYFUNCTION("""COMPUTED_VALUE"""),"AICHMP02501005")</f>
        <v>AICHMP02501005</v>
      </c>
      <c r="K125" s="37" t="str">
        <f>IFERROR(__xludf.DUMMYFUNCTION("""COMPUTED_VALUE"""),"Macbook Pro")</f>
        <v>Macbook Pro</v>
      </c>
      <c r="L125" s="37" t="str">
        <f>IFERROR(__xludf.DUMMYFUNCTION("""COMPUTED_VALUE"""),"高宇成")</f>
        <v>高宇成</v>
      </c>
      <c r="M125" s="37" t="str">
        <f>IFERROR(__xludf.DUMMYFUNCTION("""COMPUTED_VALUE"""),"研發中心")</f>
        <v>研發中心</v>
      </c>
      <c r="N125" s="37" t="str">
        <f>IFERROR(__xludf.DUMMYFUNCTION("""COMPUTED_VALUE"""),"軟體工程部")</f>
        <v>軟體工程部</v>
      </c>
      <c r="O125" s="37" t="str">
        <f>IFERROR(__xludf.DUMMYFUNCTION("""COMPUTED_VALUE"""),"IOS團隊")</f>
        <v>IOS團隊</v>
      </c>
      <c r="P125" s="47">
        <f>IFERROR(__xludf.DUMMYFUNCTION("""COMPUTED_VALUE"""),1513.0)</f>
        <v>1513</v>
      </c>
      <c r="Q125" s="47">
        <f>IFERROR(__xludf.DUMMYFUNCTION("""COMPUTED_VALUE"""),1513.0)</f>
        <v>1513</v>
      </c>
      <c r="R125" s="47">
        <f>IFERROR(__xludf.DUMMYFUNCTION("""COMPUTED_VALUE"""),1513.0)</f>
        <v>1513</v>
      </c>
      <c r="S125" s="47">
        <f>IFERROR(__xludf.DUMMYFUNCTION("""COMPUTED_VALUE"""),1513.0)</f>
        <v>1513</v>
      </c>
      <c r="T125" s="47">
        <f>IFERROR(__xludf.DUMMYFUNCTION("""COMPUTED_VALUE"""),1513.0)</f>
        <v>1513</v>
      </c>
      <c r="U125" s="47">
        <f>IFERROR(__xludf.DUMMYFUNCTION("""COMPUTED_VALUE"""),1513.0)</f>
        <v>1513</v>
      </c>
      <c r="V125" s="47">
        <f>IFERROR(__xludf.DUMMYFUNCTION("""COMPUTED_VALUE"""),1513.0)</f>
        <v>1513</v>
      </c>
      <c r="W125" s="47">
        <f>IFERROR(__xludf.DUMMYFUNCTION("""COMPUTED_VALUE"""),1513.0)</f>
        <v>1513</v>
      </c>
      <c r="X125" s="47">
        <f>IFERROR(__xludf.DUMMYFUNCTION("""COMPUTED_VALUE"""),1513.0)</f>
        <v>1513</v>
      </c>
      <c r="Y125" s="47">
        <f>IFERROR(__xludf.DUMMYFUNCTION("""COMPUTED_VALUE"""),1513.0)</f>
        <v>1513</v>
      </c>
      <c r="Z125" s="47">
        <f>IFERROR(__xludf.DUMMYFUNCTION("""COMPUTED_VALUE"""),1513.0)</f>
        <v>1513</v>
      </c>
      <c r="AA125" s="47">
        <f>IFERROR(__xludf.DUMMYFUNCTION("""COMPUTED_VALUE"""),1513.0)</f>
        <v>1513</v>
      </c>
      <c r="AB125" s="47">
        <f>IFERROR(__xludf.DUMMYFUNCTION("""COMPUTED_VALUE"""),18156.0)</f>
        <v>18156</v>
      </c>
    </row>
    <row r="126">
      <c r="B126" s="37"/>
      <c r="C126" s="37"/>
      <c r="D126" s="37"/>
      <c r="E126" s="37"/>
      <c r="F126" s="37"/>
      <c r="G126" s="37"/>
      <c r="H126" s="37"/>
      <c r="I126" s="37"/>
      <c r="J126" s="37" t="str">
        <f>IFERROR(__xludf.DUMMYFUNCTION("""COMPUTED_VALUE"""),"AICHMP02501001")</f>
        <v>AICHMP02501001</v>
      </c>
      <c r="K126" s="37" t="str">
        <f>IFERROR(__xludf.DUMMYFUNCTION("""COMPUTED_VALUE"""),"Macbook Pro")</f>
        <v>Macbook Pro</v>
      </c>
      <c r="L126" s="37" t="str">
        <f>IFERROR(__xludf.DUMMYFUNCTION("""COMPUTED_VALUE"""),"張登皓")</f>
        <v>張登皓</v>
      </c>
      <c r="M126" s="37" t="str">
        <f>IFERROR(__xludf.DUMMYFUNCTION("""COMPUTED_VALUE"""),"研發中心")</f>
        <v>研發中心</v>
      </c>
      <c r="N126" s="37" t="str">
        <f>IFERROR(__xludf.DUMMYFUNCTION("""COMPUTED_VALUE"""),"軟體工程部")</f>
        <v>軟體工程部</v>
      </c>
      <c r="O126" s="37" t="str">
        <f>IFERROR(__xludf.DUMMYFUNCTION("""COMPUTED_VALUE"""),"前端團隊")</f>
        <v>前端團隊</v>
      </c>
      <c r="P126" s="47">
        <f>IFERROR(__xludf.DUMMYFUNCTION("""COMPUTED_VALUE"""),1144.0)</f>
        <v>1144</v>
      </c>
      <c r="Q126" s="47">
        <f>IFERROR(__xludf.DUMMYFUNCTION("""COMPUTED_VALUE"""),1144.0)</f>
        <v>1144</v>
      </c>
      <c r="R126" s="47">
        <f>IFERROR(__xludf.DUMMYFUNCTION("""COMPUTED_VALUE"""),1144.0)</f>
        <v>1144</v>
      </c>
      <c r="S126" s="47">
        <f>IFERROR(__xludf.DUMMYFUNCTION("""COMPUTED_VALUE"""),1144.0)</f>
        <v>1144</v>
      </c>
      <c r="T126" s="47">
        <f>IFERROR(__xludf.DUMMYFUNCTION("""COMPUTED_VALUE"""),1144.0)</f>
        <v>1144</v>
      </c>
      <c r="U126" s="47">
        <f>IFERROR(__xludf.DUMMYFUNCTION("""COMPUTED_VALUE"""),1144.0)</f>
        <v>1144</v>
      </c>
      <c r="V126" s="47">
        <f>IFERROR(__xludf.DUMMYFUNCTION("""COMPUTED_VALUE"""),1144.0)</f>
        <v>1144</v>
      </c>
      <c r="W126" s="47">
        <f>IFERROR(__xludf.DUMMYFUNCTION("""COMPUTED_VALUE"""),1144.0)</f>
        <v>1144</v>
      </c>
      <c r="X126" s="47">
        <f>IFERROR(__xludf.DUMMYFUNCTION("""COMPUTED_VALUE"""),1144.0)</f>
        <v>1144</v>
      </c>
      <c r="Y126" s="47">
        <f>IFERROR(__xludf.DUMMYFUNCTION("""COMPUTED_VALUE"""),1144.0)</f>
        <v>1144</v>
      </c>
      <c r="Z126" s="47">
        <f>IFERROR(__xludf.DUMMYFUNCTION("""COMPUTED_VALUE"""),1144.0)</f>
        <v>1144</v>
      </c>
      <c r="AA126" s="47">
        <f>IFERROR(__xludf.DUMMYFUNCTION("""COMPUTED_VALUE"""),1144.0)</f>
        <v>1144</v>
      </c>
      <c r="AB126" s="47">
        <f>IFERROR(__xludf.DUMMYFUNCTION("""COMPUTED_VALUE"""),13728.0)</f>
        <v>13728</v>
      </c>
    </row>
    <row r="127">
      <c r="B127" s="37"/>
      <c r="C127" s="37"/>
      <c r="D127" s="37"/>
      <c r="E127" s="37"/>
      <c r="F127" s="37"/>
      <c r="G127" s="37"/>
      <c r="H127" s="37"/>
      <c r="I127" s="37"/>
      <c r="J127" s="37" t="str">
        <f>IFERROR(__xludf.DUMMYFUNCTION("""COMPUTED_VALUE"""),"AICHMP02501006")</f>
        <v>AICHMP02501006</v>
      </c>
      <c r="K127" s="37" t="str">
        <f>IFERROR(__xludf.DUMMYFUNCTION("""COMPUTED_VALUE"""),"Macbook Pro")</f>
        <v>Macbook Pro</v>
      </c>
      <c r="L127" s="37" t="str">
        <f>IFERROR(__xludf.DUMMYFUNCTION("""COMPUTED_VALUE"""),"鄭惠文")</f>
        <v>鄭惠文</v>
      </c>
      <c r="M127" s="37" t="str">
        <f>IFERROR(__xludf.DUMMYFUNCTION("""COMPUTED_VALUE"""),"研發中心")</f>
        <v>研發中心</v>
      </c>
      <c r="N127" s="37" t="str">
        <f>IFERROR(__xludf.DUMMYFUNCTION("""COMPUTED_VALUE"""),"產品設計部")</f>
        <v>產品設計部</v>
      </c>
      <c r="O127" s="37" t="str">
        <f>IFERROR(__xludf.DUMMYFUNCTION("""COMPUTED_VALUE"""),"產品經理團隊")</f>
        <v>產品經理團隊</v>
      </c>
      <c r="P127" s="47">
        <f>IFERROR(__xludf.DUMMYFUNCTION("""COMPUTED_VALUE"""),1142.0)</f>
        <v>1142</v>
      </c>
      <c r="Q127" s="47">
        <f>IFERROR(__xludf.DUMMYFUNCTION("""COMPUTED_VALUE"""),1142.0)</f>
        <v>1142</v>
      </c>
      <c r="R127" s="47">
        <f>IFERROR(__xludf.DUMMYFUNCTION("""COMPUTED_VALUE"""),1142.0)</f>
        <v>1142</v>
      </c>
      <c r="S127" s="47">
        <f>IFERROR(__xludf.DUMMYFUNCTION("""COMPUTED_VALUE"""),1142.0)</f>
        <v>1142</v>
      </c>
      <c r="T127" s="47">
        <f>IFERROR(__xludf.DUMMYFUNCTION("""COMPUTED_VALUE"""),1142.0)</f>
        <v>1142</v>
      </c>
      <c r="U127" s="47">
        <f>IFERROR(__xludf.DUMMYFUNCTION("""COMPUTED_VALUE"""),1142.0)</f>
        <v>1142</v>
      </c>
      <c r="V127" s="47">
        <f>IFERROR(__xludf.DUMMYFUNCTION("""COMPUTED_VALUE"""),1142.0)</f>
        <v>1142</v>
      </c>
      <c r="W127" s="47">
        <f>IFERROR(__xludf.DUMMYFUNCTION("""COMPUTED_VALUE"""),1142.0)</f>
        <v>1142</v>
      </c>
      <c r="X127" s="47">
        <f>IFERROR(__xludf.DUMMYFUNCTION("""COMPUTED_VALUE"""),1142.0)</f>
        <v>1142</v>
      </c>
      <c r="Y127" s="47">
        <f>IFERROR(__xludf.DUMMYFUNCTION("""COMPUTED_VALUE"""),1142.0)</f>
        <v>1142</v>
      </c>
      <c r="Z127" s="47">
        <f>IFERROR(__xludf.DUMMYFUNCTION("""COMPUTED_VALUE"""),1142.0)</f>
        <v>1142</v>
      </c>
      <c r="AA127" s="47">
        <f>IFERROR(__xludf.DUMMYFUNCTION("""COMPUTED_VALUE"""),1142.0)</f>
        <v>1142</v>
      </c>
      <c r="AB127" s="47">
        <f>IFERROR(__xludf.DUMMYFUNCTION("""COMPUTED_VALUE"""),13704.0)</f>
        <v>13704</v>
      </c>
    </row>
    <row r="128">
      <c r="B128" s="37"/>
      <c r="C128" s="37"/>
      <c r="D128" s="37"/>
      <c r="E128" s="37"/>
      <c r="F128" s="37"/>
      <c r="G128" s="37"/>
      <c r="H128" s="37"/>
      <c r="I128" s="37"/>
      <c r="J128" s="37" t="str">
        <f>IFERROR(__xludf.DUMMYFUNCTION("""COMPUTED_VALUE"""),"AICHMP02501002")</f>
        <v>AICHMP02501002</v>
      </c>
      <c r="K128" s="37" t="str">
        <f>IFERROR(__xludf.DUMMYFUNCTION("""COMPUTED_VALUE"""),"Macbook Pro")</f>
        <v>Macbook Pro</v>
      </c>
      <c r="L128" s="37" t="str">
        <f>IFERROR(__xludf.DUMMYFUNCTION("""COMPUTED_VALUE"""),"鄧宥均")</f>
        <v>鄧宥均</v>
      </c>
      <c r="M128" s="37" t="str">
        <f>IFERROR(__xludf.DUMMYFUNCTION("""COMPUTED_VALUE"""),"研發中心")</f>
        <v>研發中心</v>
      </c>
      <c r="N128" s="37" t="str">
        <f>IFERROR(__xludf.DUMMYFUNCTION("""COMPUTED_VALUE"""),"軟體工程部")</f>
        <v>軟體工程部</v>
      </c>
      <c r="O128" s="37" t="str">
        <f>IFERROR(__xludf.DUMMYFUNCTION("""COMPUTED_VALUE"""),"後端團隊")</f>
        <v>後端團隊</v>
      </c>
      <c r="P128" s="47">
        <f>IFERROR(__xludf.DUMMYFUNCTION("""COMPUTED_VALUE"""),1144.0)</f>
        <v>1144</v>
      </c>
      <c r="Q128" s="47">
        <f>IFERROR(__xludf.DUMMYFUNCTION("""COMPUTED_VALUE"""),1144.0)</f>
        <v>1144</v>
      </c>
      <c r="R128" s="47">
        <f>IFERROR(__xludf.DUMMYFUNCTION("""COMPUTED_VALUE"""),1144.0)</f>
        <v>1144</v>
      </c>
      <c r="S128" s="47">
        <f>IFERROR(__xludf.DUMMYFUNCTION("""COMPUTED_VALUE"""),1144.0)</f>
        <v>1144</v>
      </c>
      <c r="T128" s="47">
        <f>IFERROR(__xludf.DUMMYFUNCTION("""COMPUTED_VALUE"""),1144.0)</f>
        <v>1144</v>
      </c>
      <c r="U128" s="47">
        <f>IFERROR(__xludf.DUMMYFUNCTION("""COMPUTED_VALUE"""),1144.0)</f>
        <v>1144</v>
      </c>
      <c r="V128" s="47">
        <f>IFERROR(__xludf.DUMMYFUNCTION("""COMPUTED_VALUE"""),1144.0)</f>
        <v>1144</v>
      </c>
      <c r="W128" s="47">
        <f>IFERROR(__xludf.DUMMYFUNCTION("""COMPUTED_VALUE"""),1144.0)</f>
        <v>1144</v>
      </c>
      <c r="X128" s="47">
        <f>IFERROR(__xludf.DUMMYFUNCTION("""COMPUTED_VALUE"""),1144.0)</f>
        <v>1144</v>
      </c>
      <c r="Y128" s="47">
        <f>IFERROR(__xludf.DUMMYFUNCTION("""COMPUTED_VALUE"""),1144.0)</f>
        <v>1144</v>
      </c>
      <c r="Z128" s="47">
        <f>IFERROR(__xludf.DUMMYFUNCTION("""COMPUTED_VALUE"""),1144.0)</f>
        <v>1144</v>
      </c>
      <c r="AA128" s="47">
        <f>IFERROR(__xludf.DUMMYFUNCTION("""COMPUTED_VALUE"""),1144.0)</f>
        <v>1144</v>
      </c>
      <c r="AB128" s="47">
        <f>IFERROR(__xludf.DUMMYFUNCTION("""COMPUTED_VALUE"""),13728.0)</f>
        <v>13728</v>
      </c>
    </row>
    <row r="129">
      <c r="B129" s="37"/>
      <c r="C129" s="37"/>
      <c r="D129" s="37"/>
      <c r="E129" s="37"/>
      <c r="F129" s="37"/>
      <c r="G129" s="37"/>
      <c r="H129" s="37"/>
      <c r="I129" s="37"/>
      <c r="J129" s="37" t="str">
        <f>IFERROR(__xludf.DUMMYFUNCTION("""COMPUTED_VALUE"""),"AICHMP02501004")</f>
        <v>AICHMP02501004</v>
      </c>
      <c r="K129" s="37" t="str">
        <f>IFERROR(__xludf.DUMMYFUNCTION("""COMPUTED_VALUE"""),"Macbook Pro")</f>
        <v>Macbook Pro</v>
      </c>
      <c r="L129" s="37" t="str">
        <f>IFERROR(__xludf.DUMMYFUNCTION("""COMPUTED_VALUE"""),"郭力綸")</f>
        <v>郭力綸</v>
      </c>
      <c r="M129" s="37" t="str">
        <f>IFERROR(__xludf.DUMMYFUNCTION("""COMPUTED_VALUE"""),"執行長室")</f>
        <v>執行長室</v>
      </c>
      <c r="N129" s="37" t="str">
        <f>IFERROR(__xludf.DUMMYFUNCTION("""COMPUTED_VALUE"""),"執行長室")</f>
        <v>執行長室</v>
      </c>
      <c r="O129" s="37"/>
      <c r="P129" s="47">
        <f>IFERROR(__xludf.DUMMYFUNCTION("""COMPUTED_VALUE"""),1144.0)</f>
        <v>1144</v>
      </c>
      <c r="Q129" s="47">
        <f>IFERROR(__xludf.DUMMYFUNCTION("""COMPUTED_VALUE"""),1144.0)</f>
        <v>1144</v>
      </c>
      <c r="R129" s="47">
        <f>IFERROR(__xludf.DUMMYFUNCTION("""COMPUTED_VALUE"""),1144.0)</f>
        <v>1144</v>
      </c>
      <c r="S129" s="47">
        <f>IFERROR(__xludf.DUMMYFUNCTION("""COMPUTED_VALUE"""),1144.0)</f>
        <v>1144</v>
      </c>
      <c r="T129" s="47">
        <f>IFERROR(__xludf.DUMMYFUNCTION("""COMPUTED_VALUE"""),1144.0)</f>
        <v>1144</v>
      </c>
      <c r="U129" s="47">
        <f>IFERROR(__xludf.DUMMYFUNCTION("""COMPUTED_VALUE"""),1144.0)</f>
        <v>1144</v>
      </c>
      <c r="V129" s="47">
        <f>IFERROR(__xludf.DUMMYFUNCTION("""COMPUTED_VALUE"""),1144.0)</f>
        <v>1144</v>
      </c>
      <c r="W129" s="47">
        <f>IFERROR(__xludf.DUMMYFUNCTION("""COMPUTED_VALUE"""),1144.0)</f>
        <v>1144</v>
      </c>
      <c r="X129" s="47">
        <f>IFERROR(__xludf.DUMMYFUNCTION("""COMPUTED_VALUE"""),1144.0)</f>
        <v>1144</v>
      </c>
      <c r="Y129" s="47">
        <f>IFERROR(__xludf.DUMMYFUNCTION("""COMPUTED_VALUE"""),1144.0)</f>
        <v>1144</v>
      </c>
      <c r="Z129" s="47">
        <f>IFERROR(__xludf.DUMMYFUNCTION("""COMPUTED_VALUE"""),1144.0)</f>
        <v>1144</v>
      </c>
      <c r="AA129" s="47">
        <f>IFERROR(__xludf.DUMMYFUNCTION("""COMPUTED_VALUE"""),1144.0)</f>
        <v>1144</v>
      </c>
      <c r="AB129" s="47">
        <f>IFERROR(__xludf.DUMMYFUNCTION("""COMPUTED_VALUE"""),13728.0)</f>
        <v>13728</v>
      </c>
    </row>
    <row r="130">
      <c r="B130" s="37"/>
      <c r="C130" s="37"/>
      <c r="D130" s="37"/>
      <c r="E130" s="37"/>
      <c r="F130" s="37"/>
      <c r="G130" s="37"/>
      <c r="H130" s="37"/>
      <c r="I130" s="37"/>
      <c r="J130" s="37" t="str">
        <f>IFERROR(__xludf.DUMMYFUNCTION("""COMPUTED_VALUE"""),"AICHMP02501003")</f>
        <v>AICHMP02501003</v>
      </c>
      <c r="K130" s="37" t="str">
        <f>IFERROR(__xludf.DUMMYFUNCTION("""COMPUTED_VALUE"""),"Macbook Pro")</f>
        <v>Macbook Pro</v>
      </c>
      <c r="L130" s="37" t="str">
        <f>IFERROR(__xludf.DUMMYFUNCTION("""COMPUTED_VALUE"""),"蔡承芳")</f>
        <v>蔡承芳</v>
      </c>
      <c r="M130" s="37" t="str">
        <f>IFERROR(__xludf.DUMMYFUNCTION("""COMPUTED_VALUE"""),"行銷營運中心")</f>
        <v>行銷營運中心</v>
      </c>
      <c r="N130" s="37" t="str">
        <f>IFERROR(__xludf.DUMMYFUNCTION("""COMPUTED_VALUE"""),"產品行銷部")</f>
        <v>產品行銷部</v>
      </c>
      <c r="O130" s="37" t="str">
        <f>IFERROR(__xludf.DUMMYFUNCTION("""COMPUTED_VALUE"""),"數位行銷團隊")</f>
        <v>數位行銷團隊</v>
      </c>
      <c r="P130" s="47">
        <f>IFERROR(__xludf.DUMMYFUNCTION("""COMPUTED_VALUE"""),1144.0)</f>
        <v>1144</v>
      </c>
      <c r="Q130" s="47">
        <f>IFERROR(__xludf.DUMMYFUNCTION("""COMPUTED_VALUE"""),1144.0)</f>
        <v>1144</v>
      </c>
      <c r="R130" s="47">
        <f>IFERROR(__xludf.DUMMYFUNCTION("""COMPUTED_VALUE"""),1144.0)</f>
        <v>1144</v>
      </c>
      <c r="S130" s="47">
        <f>IFERROR(__xludf.DUMMYFUNCTION("""COMPUTED_VALUE"""),1144.0)</f>
        <v>1144</v>
      </c>
      <c r="T130" s="47">
        <f>IFERROR(__xludf.DUMMYFUNCTION("""COMPUTED_VALUE"""),1144.0)</f>
        <v>1144</v>
      </c>
      <c r="U130" s="47">
        <f>IFERROR(__xludf.DUMMYFUNCTION("""COMPUTED_VALUE"""),1144.0)</f>
        <v>1144</v>
      </c>
      <c r="V130" s="47">
        <f>IFERROR(__xludf.DUMMYFUNCTION("""COMPUTED_VALUE"""),1144.0)</f>
        <v>1144</v>
      </c>
      <c r="W130" s="47">
        <f>IFERROR(__xludf.DUMMYFUNCTION("""COMPUTED_VALUE"""),1144.0)</f>
        <v>1144</v>
      </c>
      <c r="X130" s="47">
        <f>IFERROR(__xludf.DUMMYFUNCTION("""COMPUTED_VALUE"""),1144.0)</f>
        <v>1144</v>
      </c>
      <c r="Y130" s="47">
        <f>IFERROR(__xludf.DUMMYFUNCTION("""COMPUTED_VALUE"""),1144.0)</f>
        <v>1144</v>
      </c>
      <c r="Z130" s="47">
        <f>IFERROR(__xludf.DUMMYFUNCTION("""COMPUTED_VALUE"""),1144.0)</f>
        <v>1144</v>
      </c>
      <c r="AA130" s="47">
        <f>IFERROR(__xludf.DUMMYFUNCTION("""COMPUTED_VALUE"""),1144.0)</f>
        <v>1144</v>
      </c>
      <c r="AB130" s="47">
        <f>IFERROR(__xludf.DUMMYFUNCTION("""COMPUTED_VALUE"""),13728.0)</f>
        <v>13728</v>
      </c>
    </row>
    <row r="131">
      <c r="B131" s="37"/>
      <c r="C131" s="37"/>
      <c r="D131" s="37"/>
      <c r="E131" s="37"/>
      <c r="F131" s="37"/>
      <c r="G131" s="37"/>
      <c r="H131" s="37"/>
      <c r="I131" s="37"/>
      <c r="J131" s="37" t="str">
        <f>IFERROR(__xludf.DUMMYFUNCTION("""COMPUTED_VALUE"""),"AICHMP02501007")</f>
        <v>AICHMP02501007</v>
      </c>
      <c r="K131" s="37" t="str">
        <f>IFERROR(__xludf.DUMMYFUNCTION("""COMPUTED_VALUE"""),"Macbook Pro")</f>
        <v>Macbook Pro</v>
      </c>
      <c r="L131" s="37" t="str">
        <f>IFERROR(__xludf.DUMMYFUNCTION("""COMPUTED_VALUE"""),"鄧羽廷")</f>
        <v>鄧羽廷</v>
      </c>
      <c r="M131" s="37" t="str">
        <f>IFERROR(__xludf.DUMMYFUNCTION("""COMPUTED_VALUE"""),"研發中心")</f>
        <v>研發中心</v>
      </c>
      <c r="N131" s="37" t="str">
        <f>IFERROR(__xludf.DUMMYFUNCTION("""COMPUTED_VALUE"""),"產品設計部")</f>
        <v>產品設計部</v>
      </c>
      <c r="O131" s="37"/>
      <c r="P131" s="47">
        <f>IFERROR(__xludf.DUMMYFUNCTION("""COMPUTED_VALUE"""),1142.0)</f>
        <v>1142</v>
      </c>
      <c r="Q131" s="47">
        <f>IFERROR(__xludf.DUMMYFUNCTION("""COMPUTED_VALUE"""),1142.0)</f>
        <v>1142</v>
      </c>
      <c r="R131" s="47">
        <f>IFERROR(__xludf.DUMMYFUNCTION("""COMPUTED_VALUE"""),1142.0)</f>
        <v>1142</v>
      </c>
      <c r="S131" s="47">
        <f>IFERROR(__xludf.DUMMYFUNCTION("""COMPUTED_VALUE"""),1142.0)</f>
        <v>1142</v>
      </c>
      <c r="T131" s="47">
        <f>IFERROR(__xludf.DUMMYFUNCTION("""COMPUTED_VALUE"""),1142.0)</f>
        <v>1142</v>
      </c>
      <c r="U131" s="47">
        <f>IFERROR(__xludf.DUMMYFUNCTION("""COMPUTED_VALUE"""),1142.0)</f>
        <v>1142</v>
      </c>
      <c r="V131" s="47">
        <f>IFERROR(__xludf.DUMMYFUNCTION("""COMPUTED_VALUE"""),1142.0)</f>
        <v>1142</v>
      </c>
      <c r="W131" s="47">
        <f>IFERROR(__xludf.DUMMYFUNCTION("""COMPUTED_VALUE"""),1142.0)</f>
        <v>1142</v>
      </c>
      <c r="X131" s="47">
        <f>IFERROR(__xludf.DUMMYFUNCTION("""COMPUTED_VALUE"""),1142.0)</f>
        <v>1142</v>
      </c>
      <c r="Y131" s="47">
        <f>IFERROR(__xludf.DUMMYFUNCTION("""COMPUTED_VALUE"""),1142.0)</f>
        <v>1142</v>
      </c>
      <c r="Z131" s="47">
        <f>IFERROR(__xludf.DUMMYFUNCTION("""COMPUTED_VALUE"""),1142.0)</f>
        <v>1142</v>
      </c>
      <c r="AA131" s="47">
        <f>IFERROR(__xludf.DUMMYFUNCTION("""COMPUTED_VALUE"""),1142.0)</f>
        <v>1142</v>
      </c>
      <c r="AB131" s="47">
        <f>IFERROR(__xludf.DUMMYFUNCTION("""COMPUTED_VALUE"""),13704.0)</f>
        <v>13704</v>
      </c>
    </row>
    <row r="132">
      <c r="B132" s="37"/>
      <c r="C132" s="37"/>
      <c r="D132" s="37"/>
      <c r="E132" s="37"/>
      <c r="F132" s="37"/>
      <c r="G132" s="37"/>
      <c r="H132" s="37"/>
      <c r="I132" s="37"/>
      <c r="J132" s="37" t="str">
        <f>IFERROR(__xludf.DUMMYFUNCTION("""COMPUTED_VALUE"""),"AICHMP02501008")</f>
        <v>AICHMP02501008</v>
      </c>
      <c r="K132" s="37" t="str">
        <f>IFERROR(__xludf.DUMMYFUNCTION("""COMPUTED_VALUE"""),"Macbook Pro")</f>
        <v>Macbook Pro</v>
      </c>
      <c r="L132" s="37" t="str">
        <f>IFERROR(__xludf.DUMMYFUNCTION("""COMPUTED_VALUE"""),"陳彥廷")</f>
        <v>陳彥廷</v>
      </c>
      <c r="M132" s="37" t="str">
        <f>IFERROR(__xludf.DUMMYFUNCTION("""COMPUTED_VALUE"""),"研發中心")</f>
        <v>研發中心</v>
      </c>
      <c r="N132" s="37" t="str">
        <f>IFERROR(__xludf.DUMMYFUNCTION("""COMPUTED_VALUE"""),"產品設計部")</f>
        <v>產品設計部</v>
      </c>
      <c r="O132" s="37" t="str">
        <f>IFERROR(__xludf.DUMMYFUNCTION("""COMPUTED_VALUE"""),"產品經理團隊")</f>
        <v>產品經理團隊</v>
      </c>
      <c r="P132" s="47">
        <f>IFERROR(__xludf.DUMMYFUNCTION("""COMPUTED_VALUE"""),1142.0)</f>
        <v>1142</v>
      </c>
      <c r="Q132" s="47">
        <f>IFERROR(__xludf.DUMMYFUNCTION("""COMPUTED_VALUE"""),1142.0)</f>
        <v>1142</v>
      </c>
      <c r="R132" s="47">
        <f>IFERROR(__xludf.DUMMYFUNCTION("""COMPUTED_VALUE"""),1142.0)</f>
        <v>1142</v>
      </c>
      <c r="S132" s="47">
        <f>IFERROR(__xludf.DUMMYFUNCTION("""COMPUTED_VALUE"""),1142.0)</f>
        <v>1142</v>
      </c>
      <c r="T132" s="47">
        <f>IFERROR(__xludf.DUMMYFUNCTION("""COMPUTED_VALUE"""),1142.0)</f>
        <v>1142</v>
      </c>
      <c r="U132" s="47">
        <f>IFERROR(__xludf.DUMMYFUNCTION("""COMPUTED_VALUE"""),1142.0)</f>
        <v>1142</v>
      </c>
      <c r="V132" s="47">
        <f>IFERROR(__xludf.DUMMYFUNCTION("""COMPUTED_VALUE"""),1142.0)</f>
        <v>1142</v>
      </c>
      <c r="W132" s="47">
        <f>IFERROR(__xludf.DUMMYFUNCTION("""COMPUTED_VALUE"""),1142.0)</f>
        <v>1142</v>
      </c>
      <c r="X132" s="47">
        <f>IFERROR(__xludf.DUMMYFUNCTION("""COMPUTED_VALUE"""),1142.0)</f>
        <v>1142</v>
      </c>
      <c r="Y132" s="47">
        <f>IFERROR(__xludf.DUMMYFUNCTION("""COMPUTED_VALUE"""),1142.0)</f>
        <v>1142</v>
      </c>
      <c r="Z132" s="47">
        <f>IFERROR(__xludf.DUMMYFUNCTION("""COMPUTED_VALUE"""),1142.0)</f>
        <v>1142</v>
      </c>
      <c r="AA132" s="47">
        <f>IFERROR(__xludf.DUMMYFUNCTION("""COMPUTED_VALUE"""),1142.0)</f>
        <v>1142</v>
      </c>
      <c r="AB132" s="47">
        <f>IFERROR(__xludf.DUMMYFUNCTION("""COMPUTED_VALUE"""),13704.0)</f>
        <v>13704</v>
      </c>
    </row>
    <row r="133">
      <c r="B133" s="37"/>
      <c r="C133" s="37"/>
      <c r="D133" s="37"/>
      <c r="E133" s="37"/>
      <c r="F133" s="37"/>
      <c r="G133" s="37"/>
      <c r="H133" s="37"/>
      <c r="I133" s="37"/>
      <c r="J133" s="37" t="str">
        <f>IFERROR(__xludf.DUMMYFUNCTION("""COMPUTED_VALUE"""),"AICHMA02501001")</f>
        <v>AICHMA02501001</v>
      </c>
      <c r="K133" s="37" t="str">
        <f>IFERROR(__xludf.DUMMYFUNCTION("""COMPUTED_VALUE"""),"Macbook Air")</f>
        <v>Macbook Air</v>
      </c>
      <c r="L133" s="37" t="str">
        <f>IFERROR(__xludf.DUMMYFUNCTION("""COMPUTED_VALUE"""),"黃晴之")</f>
        <v>黃晴之</v>
      </c>
      <c r="M133" s="37" t="str">
        <f>IFERROR(__xludf.DUMMYFUNCTION("""COMPUTED_VALUE"""),"行銷營運中心")</f>
        <v>行銷營運中心</v>
      </c>
      <c r="N133" s="37" t="str">
        <f>IFERROR(__xludf.DUMMYFUNCTION("""COMPUTED_VALUE"""),"社群關係部")</f>
        <v>社群關係部</v>
      </c>
      <c r="O133" s="37" t="str">
        <f>IFERROR(__xludf.DUMMYFUNCTION("""COMPUTED_VALUE"""),"餐廳社群團隊")</f>
        <v>餐廳社群團隊</v>
      </c>
      <c r="P133" s="47">
        <f>IFERROR(__xludf.DUMMYFUNCTION("""COMPUTED_VALUE"""),663.0)</f>
        <v>663</v>
      </c>
      <c r="Q133" s="47">
        <f>IFERROR(__xludf.DUMMYFUNCTION("""COMPUTED_VALUE"""),663.0)</f>
        <v>663</v>
      </c>
      <c r="R133" s="47">
        <f>IFERROR(__xludf.DUMMYFUNCTION("""COMPUTED_VALUE"""),663.0)</f>
        <v>663</v>
      </c>
      <c r="S133" s="47">
        <f>IFERROR(__xludf.DUMMYFUNCTION("""COMPUTED_VALUE"""),663.0)</f>
        <v>663</v>
      </c>
      <c r="T133" s="47">
        <f>IFERROR(__xludf.DUMMYFUNCTION("""COMPUTED_VALUE"""),663.0)</f>
        <v>663</v>
      </c>
      <c r="U133" s="47">
        <f>IFERROR(__xludf.DUMMYFUNCTION("""COMPUTED_VALUE"""),663.0)</f>
        <v>663</v>
      </c>
      <c r="V133" s="47">
        <f>IFERROR(__xludf.DUMMYFUNCTION("""COMPUTED_VALUE"""),663.0)</f>
        <v>663</v>
      </c>
      <c r="W133" s="47">
        <f>IFERROR(__xludf.DUMMYFUNCTION("""COMPUTED_VALUE"""),663.0)</f>
        <v>663</v>
      </c>
      <c r="X133" s="47">
        <f>IFERROR(__xludf.DUMMYFUNCTION("""COMPUTED_VALUE"""),663.0)</f>
        <v>663</v>
      </c>
      <c r="Y133" s="47">
        <f>IFERROR(__xludf.DUMMYFUNCTION("""COMPUTED_VALUE"""),663.0)</f>
        <v>663</v>
      </c>
      <c r="Z133" s="47">
        <f>IFERROR(__xludf.DUMMYFUNCTION("""COMPUTED_VALUE"""),663.0)</f>
        <v>663</v>
      </c>
      <c r="AA133" s="47">
        <f>IFERROR(__xludf.DUMMYFUNCTION("""COMPUTED_VALUE"""),663.0)</f>
        <v>663</v>
      </c>
      <c r="AB133" s="47">
        <f>IFERROR(__xludf.DUMMYFUNCTION("""COMPUTED_VALUE"""),7956.0)</f>
        <v>7956</v>
      </c>
    </row>
    <row r="134">
      <c r="B134" s="37"/>
      <c r="C134" s="37"/>
      <c r="D134" s="37"/>
      <c r="E134" s="37"/>
      <c r="F134" s="37"/>
      <c r="G134" s="37"/>
      <c r="H134" s="37"/>
      <c r="I134" s="37"/>
      <c r="J134" s="37" t="str">
        <f>IFERROR(__xludf.DUMMYFUNCTION("""COMPUTED_VALUE"""),"AICHMA02501002")</f>
        <v>AICHMA02501002</v>
      </c>
      <c r="K134" s="37" t="str">
        <f>IFERROR(__xludf.DUMMYFUNCTION("""COMPUTED_VALUE"""),"Macbook Air")</f>
        <v>Macbook Air</v>
      </c>
      <c r="L134" s="37" t="str">
        <f>IFERROR(__xludf.DUMMYFUNCTION("""COMPUTED_VALUE"""),"簡亦秀")</f>
        <v>簡亦秀</v>
      </c>
      <c r="M134" s="37" t="str">
        <f>IFERROR(__xludf.DUMMYFUNCTION("""COMPUTED_VALUE"""),"管理中心")</f>
        <v>管理中心</v>
      </c>
      <c r="N134" s="37" t="str">
        <f>IFERROR(__xludf.DUMMYFUNCTION("""COMPUTED_VALUE"""),"採購部")</f>
        <v>採購部</v>
      </c>
      <c r="O134" s="37"/>
      <c r="P134" s="47">
        <f>IFERROR(__xludf.DUMMYFUNCTION("""COMPUTED_VALUE"""),663.0)</f>
        <v>663</v>
      </c>
      <c r="Q134" s="47">
        <f>IFERROR(__xludf.DUMMYFUNCTION("""COMPUTED_VALUE"""),663.0)</f>
        <v>663</v>
      </c>
      <c r="R134" s="47">
        <f>IFERROR(__xludf.DUMMYFUNCTION("""COMPUTED_VALUE"""),663.0)</f>
        <v>663</v>
      </c>
      <c r="S134" s="47">
        <f>IFERROR(__xludf.DUMMYFUNCTION("""COMPUTED_VALUE"""),663.0)</f>
        <v>663</v>
      </c>
      <c r="T134" s="47">
        <f>IFERROR(__xludf.DUMMYFUNCTION("""COMPUTED_VALUE"""),663.0)</f>
        <v>663</v>
      </c>
      <c r="U134" s="47">
        <f>IFERROR(__xludf.DUMMYFUNCTION("""COMPUTED_VALUE"""),663.0)</f>
        <v>663</v>
      </c>
      <c r="V134" s="47">
        <f>IFERROR(__xludf.DUMMYFUNCTION("""COMPUTED_VALUE"""),663.0)</f>
        <v>663</v>
      </c>
      <c r="W134" s="47">
        <f>IFERROR(__xludf.DUMMYFUNCTION("""COMPUTED_VALUE"""),663.0)</f>
        <v>663</v>
      </c>
      <c r="X134" s="47">
        <f>IFERROR(__xludf.DUMMYFUNCTION("""COMPUTED_VALUE"""),663.0)</f>
        <v>663</v>
      </c>
      <c r="Y134" s="47">
        <f>IFERROR(__xludf.DUMMYFUNCTION("""COMPUTED_VALUE"""),663.0)</f>
        <v>663</v>
      </c>
      <c r="Z134" s="47">
        <f>IFERROR(__xludf.DUMMYFUNCTION("""COMPUTED_VALUE"""),663.0)</f>
        <v>663</v>
      </c>
      <c r="AA134" s="47">
        <f>IFERROR(__xludf.DUMMYFUNCTION("""COMPUTED_VALUE"""),663.0)</f>
        <v>663</v>
      </c>
      <c r="AB134" s="47">
        <f>IFERROR(__xludf.DUMMYFUNCTION("""COMPUTED_VALUE"""),7956.0)</f>
        <v>7956</v>
      </c>
    </row>
    <row r="135">
      <c r="B135" s="37"/>
      <c r="C135" s="37"/>
      <c r="D135" s="37"/>
      <c r="E135" s="37"/>
      <c r="F135" s="37"/>
      <c r="G135" s="37"/>
      <c r="H135" s="37"/>
      <c r="I135" s="37"/>
      <c r="J135" s="37" t="str">
        <f>IFERROR(__xludf.DUMMYFUNCTION("""COMPUTED_VALUE"""),"AICHMA02501003")</f>
        <v>AICHMA02501003</v>
      </c>
      <c r="K135" s="37" t="str">
        <f>IFERROR(__xludf.DUMMYFUNCTION("""COMPUTED_VALUE"""),"Macbook Air")</f>
        <v>Macbook Air</v>
      </c>
      <c r="L135" s="37" t="str">
        <f>IFERROR(__xludf.DUMMYFUNCTION("""COMPUTED_VALUE"""),"王壯為")</f>
        <v>王壯為</v>
      </c>
      <c r="M135" s="37" t="str">
        <f>IFERROR(__xludf.DUMMYFUNCTION("""COMPUTED_VALUE"""),"管理中心")</f>
        <v>管理中心</v>
      </c>
      <c r="N135" s="37" t="str">
        <f>IFERROR(__xludf.DUMMYFUNCTION("""COMPUTED_VALUE"""),"資訊部")</f>
        <v>資訊部</v>
      </c>
      <c r="O135" s="37"/>
      <c r="P135" s="47">
        <f>IFERROR(__xludf.DUMMYFUNCTION("""COMPUTED_VALUE"""),663.0)</f>
        <v>663</v>
      </c>
      <c r="Q135" s="47">
        <f>IFERROR(__xludf.DUMMYFUNCTION("""COMPUTED_VALUE"""),663.0)</f>
        <v>663</v>
      </c>
      <c r="R135" s="47">
        <f>IFERROR(__xludf.DUMMYFUNCTION("""COMPUTED_VALUE"""),663.0)</f>
        <v>663</v>
      </c>
      <c r="S135" s="47">
        <f>IFERROR(__xludf.DUMMYFUNCTION("""COMPUTED_VALUE"""),663.0)</f>
        <v>663</v>
      </c>
      <c r="T135" s="47">
        <f>IFERROR(__xludf.DUMMYFUNCTION("""COMPUTED_VALUE"""),663.0)</f>
        <v>663</v>
      </c>
      <c r="U135" s="47">
        <f>IFERROR(__xludf.DUMMYFUNCTION("""COMPUTED_VALUE"""),663.0)</f>
        <v>663</v>
      </c>
      <c r="V135" s="47">
        <f>IFERROR(__xludf.DUMMYFUNCTION("""COMPUTED_VALUE"""),663.0)</f>
        <v>663</v>
      </c>
      <c r="W135" s="47">
        <f>IFERROR(__xludf.DUMMYFUNCTION("""COMPUTED_VALUE"""),663.0)</f>
        <v>663</v>
      </c>
      <c r="X135" s="47">
        <f>IFERROR(__xludf.DUMMYFUNCTION("""COMPUTED_VALUE"""),663.0)</f>
        <v>663</v>
      </c>
      <c r="Y135" s="47">
        <f>IFERROR(__xludf.DUMMYFUNCTION("""COMPUTED_VALUE"""),663.0)</f>
        <v>663</v>
      </c>
      <c r="Z135" s="47">
        <f>IFERROR(__xludf.DUMMYFUNCTION("""COMPUTED_VALUE"""),663.0)</f>
        <v>663</v>
      </c>
      <c r="AA135" s="47">
        <f>IFERROR(__xludf.DUMMYFUNCTION("""COMPUTED_VALUE"""),663.0)</f>
        <v>663</v>
      </c>
      <c r="AB135" s="47">
        <f>IFERROR(__xludf.DUMMYFUNCTION("""COMPUTED_VALUE"""),7956.0)</f>
        <v>7956</v>
      </c>
    </row>
    <row r="136">
      <c r="B136" s="37"/>
      <c r="C136" s="37"/>
      <c r="D136" s="37"/>
      <c r="E136" s="37"/>
      <c r="F136" s="37"/>
      <c r="G136" s="37"/>
      <c r="H136" s="37"/>
      <c r="I136" s="37"/>
      <c r="J136" s="37" t="str">
        <f>IFERROR(__xludf.DUMMYFUNCTION("""COMPUTED_VALUE"""),"AICHMC02501001")</f>
        <v>AICHMC02501001</v>
      </c>
      <c r="K136" s="37" t="str">
        <f>IFERROR(__xludf.DUMMYFUNCTION("""COMPUTED_VALUE"""),"iMAC")</f>
        <v>iMAC</v>
      </c>
      <c r="L136" s="37" t="str">
        <f>IFERROR(__xludf.DUMMYFUNCTION("""COMPUTED_VALUE"""),"萬盈君")</f>
        <v>萬盈君</v>
      </c>
      <c r="M136" s="37" t="str">
        <f>IFERROR(__xludf.DUMMYFUNCTION("""COMPUTED_VALUE"""),"行銷營運中心")</f>
        <v>行銷營運中心</v>
      </c>
      <c r="N136" s="37" t="str">
        <f>IFERROR(__xludf.DUMMYFUNCTION("""COMPUTED_VALUE"""),"產品行銷部")</f>
        <v>產品行銷部</v>
      </c>
      <c r="O136" s="37" t="str">
        <f>IFERROR(__xludf.DUMMYFUNCTION("""COMPUTED_VALUE"""),"設計管理團隊")</f>
        <v>設計管理團隊</v>
      </c>
      <c r="P136" s="47">
        <f>IFERROR(__xludf.DUMMYFUNCTION("""COMPUTED_VALUE"""),1346.0)</f>
        <v>1346</v>
      </c>
      <c r="Q136" s="47">
        <f>IFERROR(__xludf.DUMMYFUNCTION("""COMPUTED_VALUE"""),1346.0)</f>
        <v>1346</v>
      </c>
      <c r="R136" s="47">
        <f>IFERROR(__xludf.DUMMYFUNCTION("""COMPUTED_VALUE"""),1346.0)</f>
        <v>1346</v>
      </c>
      <c r="S136" s="47">
        <f>IFERROR(__xludf.DUMMYFUNCTION("""COMPUTED_VALUE"""),1346.0)</f>
        <v>1346</v>
      </c>
      <c r="T136" s="47">
        <f>IFERROR(__xludf.DUMMYFUNCTION("""COMPUTED_VALUE"""),1346.0)</f>
        <v>1346</v>
      </c>
      <c r="U136" s="47">
        <f>IFERROR(__xludf.DUMMYFUNCTION("""COMPUTED_VALUE"""),1346.0)</f>
        <v>1346</v>
      </c>
      <c r="V136" s="47">
        <f>IFERROR(__xludf.DUMMYFUNCTION("""COMPUTED_VALUE"""),1346.0)</f>
        <v>1346</v>
      </c>
      <c r="W136" s="47">
        <f>IFERROR(__xludf.DUMMYFUNCTION("""COMPUTED_VALUE"""),1346.0)</f>
        <v>1346</v>
      </c>
      <c r="X136" s="47">
        <f>IFERROR(__xludf.DUMMYFUNCTION("""COMPUTED_VALUE"""),1346.0)</f>
        <v>1346</v>
      </c>
      <c r="Y136" s="47">
        <f>IFERROR(__xludf.DUMMYFUNCTION("""COMPUTED_VALUE"""),1346.0)</f>
        <v>1346</v>
      </c>
      <c r="Z136" s="47">
        <f>IFERROR(__xludf.DUMMYFUNCTION("""COMPUTED_VALUE"""),1346.0)</f>
        <v>1346</v>
      </c>
      <c r="AA136" s="47">
        <f>IFERROR(__xludf.DUMMYFUNCTION("""COMPUTED_VALUE"""),1346.0)</f>
        <v>1346</v>
      </c>
      <c r="AB136" s="47">
        <f>IFERROR(__xludf.DUMMYFUNCTION("""COMPUTED_VALUE"""),16152.0)</f>
        <v>16152</v>
      </c>
    </row>
    <row r="137">
      <c r="B137" s="37"/>
      <c r="C137" s="37"/>
      <c r="D137" s="37"/>
      <c r="E137" s="37"/>
      <c r="F137" s="37"/>
      <c r="G137" s="37"/>
      <c r="H137" s="37"/>
      <c r="I137" s="37"/>
      <c r="J137" s="37" t="str">
        <f>IFERROR(__xludf.DUMMYFUNCTION("""COMPUTED_VALUE"""),"AICHMP02501009")</f>
        <v>AICHMP02501009</v>
      </c>
      <c r="K137" s="37" t="str">
        <f>IFERROR(__xludf.DUMMYFUNCTION("""COMPUTED_VALUE"""),"Macbook Pro")</f>
        <v>Macbook Pro</v>
      </c>
      <c r="L137" s="37" t="str">
        <f>IFERROR(__xludf.DUMMYFUNCTION("""COMPUTED_VALUE"""),"丁伊柔")</f>
        <v>丁伊柔</v>
      </c>
      <c r="M137" s="37" t="str">
        <f>IFERROR(__xludf.DUMMYFUNCTION("""COMPUTED_VALUE"""),"客戶價值中心")</f>
        <v>客戶價值中心</v>
      </c>
      <c r="N137" s="37" t="str">
        <f>IFERROR(__xludf.DUMMYFUNCTION("""COMPUTED_VALUE"""),"客戶關係管理部")</f>
        <v>客戶關係管理部</v>
      </c>
      <c r="O137" s="37" t="str">
        <f>IFERROR(__xludf.DUMMYFUNCTION("""COMPUTED_VALUE"""),"TSE團隊")</f>
        <v>TSE團隊</v>
      </c>
      <c r="P137" s="47">
        <f>IFERROR(__xludf.DUMMYFUNCTION("""COMPUTED_VALUE"""),1142.0)</f>
        <v>1142</v>
      </c>
      <c r="Q137" s="47">
        <f>IFERROR(__xludf.DUMMYFUNCTION("""COMPUTED_VALUE"""),1142.0)</f>
        <v>1142</v>
      </c>
      <c r="R137" s="47">
        <f>IFERROR(__xludf.DUMMYFUNCTION("""COMPUTED_VALUE"""),1142.0)</f>
        <v>1142</v>
      </c>
      <c r="S137" s="47">
        <f>IFERROR(__xludf.DUMMYFUNCTION("""COMPUTED_VALUE"""),1142.0)</f>
        <v>1142</v>
      </c>
      <c r="T137" s="47">
        <f>IFERROR(__xludf.DUMMYFUNCTION("""COMPUTED_VALUE"""),1142.0)</f>
        <v>1142</v>
      </c>
      <c r="U137" s="47">
        <f>IFERROR(__xludf.DUMMYFUNCTION("""COMPUTED_VALUE"""),1142.0)</f>
        <v>1142</v>
      </c>
      <c r="V137" s="47">
        <f>IFERROR(__xludf.DUMMYFUNCTION("""COMPUTED_VALUE"""),1142.0)</f>
        <v>1142</v>
      </c>
      <c r="W137" s="47">
        <f>IFERROR(__xludf.DUMMYFUNCTION("""COMPUTED_VALUE"""),1142.0)</f>
        <v>1142</v>
      </c>
      <c r="X137" s="47">
        <f>IFERROR(__xludf.DUMMYFUNCTION("""COMPUTED_VALUE"""),1142.0)</f>
        <v>1142</v>
      </c>
      <c r="Y137" s="47">
        <f>IFERROR(__xludf.DUMMYFUNCTION("""COMPUTED_VALUE"""),1142.0)</f>
        <v>1142</v>
      </c>
      <c r="Z137" s="47">
        <f>IFERROR(__xludf.DUMMYFUNCTION("""COMPUTED_VALUE"""),1142.0)</f>
        <v>1142</v>
      </c>
      <c r="AA137" s="47">
        <f>IFERROR(__xludf.DUMMYFUNCTION("""COMPUTED_VALUE"""),1142.0)</f>
        <v>1142</v>
      </c>
      <c r="AB137" s="47">
        <f>IFERROR(__xludf.DUMMYFUNCTION("""COMPUTED_VALUE"""),13704.0)</f>
        <v>13704</v>
      </c>
    </row>
    <row r="138">
      <c r="B138" s="37"/>
      <c r="C138" s="37"/>
      <c r="D138" s="37"/>
      <c r="E138" s="37"/>
      <c r="F138" s="37"/>
      <c r="G138" s="37"/>
      <c r="H138" s="37"/>
      <c r="I138" s="37"/>
      <c r="J138" s="37" t="str">
        <f>IFERROR(__xludf.DUMMYFUNCTION("""COMPUTED_VALUE"""),"AICHMP02501010")</f>
        <v>AICHMP02501010</v>
      </c>
      <c r="K138" s="37" t="str">
        <f>IFERROR(__xludf.DUMMYFUNCTION("""COMPUTED_VALUE"""),"Macbook Pro")</f>
        <v>Macbook Pro</v>
      </c>
      <c r="L138" s="37" t="str">
        <f>IFERROR(__xludf.DUMMYFUNCTION("""COMPUTED_VALUE"""),"法諾昕")</f>
        <v>法諾昕</v>
      </c>
      <c r="M138" s="37" t="str">
        <f>IFERROR(__xludf.DUMMYFUNCTION("""COMPUTED_VALUE"""),"研發中心")</f>
        <v>研發中心</v>
      </c>
      <c r="N138" s="37" t="str">
        <f>IFERROR(__xludf.DUMMYFUNCTION("""COMPUTED_VALUE"""),"產品設計部")</f>
        <v>產品設計部</v>
      </c>
      <c r="O138" s="37" t="str">
        <f>IFERROR(__xludf.DUMMYFUNCTION("""COMPUTED_VALUE"""),"產品經理團隊")</f>
        <v>產品經理團隊</v>
      </c>
      <c r="P138" s="47">
        <f>IFERROR(__xludf.DUMMYFUNCTION("""COMPUTED_VALUE"""),1142.0)</f>
        <v>1142</v>
      </c>
      <c r="Q138" s="47">
        <f>IFERROR(__xludf.DUMMYFUNCTION("""COMPUTED_VALUE"""),1142.0)</f>
        <v>1142</v>
      </c>
      <c r="R138" s="47">
        <f>IFERROR(__xludf.DUMMYFUNCTION("""COMPUTED_VALUE"""),1142.0)</f>
        <v>1142</v>
      </c>
      <c r="S138" s="47">
        <f>IFERROR(__xludf.DUMMYFUNCTION("""COMPUTED_VALUE"""),1142.0)</f>
        <v>1142</v>
      </c>
      <c r="T138" s="47">
        <f>IFERROR(__xludf.DUMMYFUNCTION("""COMPUTED_VALUE"""),1142.0)</f>
        <v>1142</v>
      </c>
      <c r="U138" s="47">
        <f>IFERROR(__xludf.DUMMYFUNCTION("""COMPUTED_VALUE"""),1142.0)</f>
        <v>1142</v>
      </c>
      <c r="V138" s="47">
        <f>IFERROR(__xludf.DUMMYFUNCTION("""COMPUTED_VALUE"""),1142.0)</f>
        <v>1142</v>
      </c>
      <c r="W138" s="47">
        <f>IFERROR(__xludf.DUMMYFUNCTION("""COMPUTED_VALUE"""),1142.0)</f>
        <v>1142</v>
      </c>
      <c r="X138" s="47">
        <f>IFERROR(__xludf.DUMMYFUNCTION("""COMPUTED_VALUE"""),1142.0)</f>
        <v>1142</v>
      </c>
      <c r="Y138" s="47">
        <f>IFERROR(__xludf.DUMMYFUNCTION("""COMPUTED_VALUE"""),1142.0)</f>
        <v>1142</v>
      </c>
      <c r="Z138" s="47">
        <f>IFERROR(__xludf.DUMMYFUNCTION("""COMPUTED_VALUE"""),1142.0)</f>
        <v>1142</v>
      </c>
      <c r="AA138" s="47">
        <f>IFERROR(__xludf.DUMMYFUNCTION("""COMPUTED_VALUE"""),1142.0)</f>
        <v>1142</v>
      </c>
      <c r="AB138" s="47">
        <f>IFERROR(__xludf.DUMMYFUNCTION("""COMPUTED_VALUE"""),13704.0)</f>
        <v>13704</v>
      </c>
    </row>
    <row r="139">
      <c r="B139" s="37"/>
      <c r="C139" s="37"/>
      <c r="D139" s="37"/>
      <c r="E139" s="37"/>
      <c r="F139" s="37"/>
      <c r="G139" s="37"/>
      <c r="H139" s="37"/>
      <c r="I139" s="37"/>
      <c r="J139" s="37" t="str">
        <f>IFERROR(__xludf.DUMMYFUNCTION("""COMPUTED_VALUE"""),"AICHFU02505006")</f>
        <v>AICHFU02505006</v>
      </c>
      <c r="K139" s="37" t="str">
        <f>IFERROR(__xludf.DUMMYFUNCTION("""COMPUTED_VALUE"""),"台中辦公室辦公桌椅52套")</f>
        <v>台中辦公室辦公桌椅52套</v>
      </c>
      <c r="L139" s="37" t="str">
        <f>IFERROR(__xludf.DUMMYFUNCTION("""COMPUTED_VALUE"""),"行政備用")</f>
        <v>行政備用</v>
      </c>
      <c r="M139" s="37" t="str">
        <f>IFERROR(__xludf.DUMMYFUNCTION("""COMPUTED_VALUE"""),"管理中心")</f>
        <v>管理中心</v>
      </c>
      <c r="N139" s="37"/>
      <c r="O139" s="37"/>
      <c r="P139" s="47">
        <f>IFERROR(__xludf.DUMMYFUNCTION("""COMPUTED_VALUE"""),5566.0)</f>
        <v>5566</v>
      </c>
      <c r="Q139" s="47">
        <f>IFERROR(__xludf.DUMMYFUNCTION("""COMPUTED_VALUE"""),5566.0)</f>
        <v>5566</v>
      </c>
      <c r="R139" s="47">
        <f>IFERROR(__xludf.DUMMYFUNCTION("""COMPUTED_VALUE"""),5566.0)</f>
        <v>5566</v>
      </c>
      <c r="S139" s="47">
        <f>IFERROR(__xludf.DUMMYFUNCTION("""COMPUTED_VALUE"""),5566.0)</f>
        <v>5566</v>
      </c>
      <c r="T139" s="47">
        <f>IFERROR(__xludf.DUMMYFUNCTION("""COMPUTED_VALUE"""),5566.0)</f>
        <v>5566</v>
      </c>
      <c r="U139" s="47">
        <f>IFERROR(__xludf.DUMMYFUNCTION("""COMPUTED_VALUE"""),5566.0)</f>
        <v>5566</v>
      </c>
      <c r="V139" s="47">
        <f>IFERROR(__xludf.DUMMYFUNCTION("""COMPUTED_VALUE"""),5566.0)</f>
        <v>5566</v>
      </c>
      <c r="W139" s="47">
        <f>IFERROR(__xludf.DUMMYFUNCTION("""COMPUTED_VALUE"""),5566.0)</f>
        <v>5566</v>
      </c>
      <c r="X139" s="47">
        <f>IFERROR(__xludf.DUMMYFUNCTION("""COMPUTED_VALUE"""),5566.0)</f>
        <v>5566</v>
      </c>
      <c r="Y139" s="47">
        <f>IFERROR(__xludf.DUMMYFUNCTION("""COMPUTED_VALUE"""),5566.0)</f>
        <v>5566</v>
      </c>
      <c r="Z139" s="47">
        <f>IFERROR(__xludf.DUMMYFUNCTION("""COMPUTED_VALUE"""),5566.0)</f>
        <v>5566</v>
      </c>
      <c r="AA139" s="47">
        <f>IFERROR(__xludf.DUMMYFUNCTION("""COMPUTED_VALUE"""),5566.0)</f>
        <v>5566</v>
      </c>
      <c r="AB139" s="47">
        <f>IFERROR(__xludf.DUMMYFUNCTION("""COMPUTED_VALUE"""),66792.0)</f>
        <v>66792</v>
      </c>
    </row>
    <row r="140">
      <c r="B140" s="37"/>
      <c r="C140" s="37"/>
      <c r="D140" s="37"/>
      <c r="E140" s="37"/>
      <c r="F140" s="37"/>
      <c r="G140" s="37"/>
      <c r="H140" s="37"/>
      <c r="I140" s="37"/>
      <c r="J140" s="37" t="str">
        <f>IFERROR(__xludf.DUMMYFUNCTION("""COMPUTED_VALUE"""),"AICHFU02505007")</f>
        <v>AICHFU02505007</v>
      </c>
      <c r="K140" s="37" t="str">
        <f>IFERROR(__xludf.DUMMYFUNCTION("""COMPUTED_VALUE"""),"台中辦公室辦公桌椅(尾款)")</f>
        <v>台中辦公室辦公桌椅(尾款)</v>
      </c>
      <c r="L140" s="37" t="str">
        <f>IFERROR(__xludf.DUMMYFUNCTION("""COMPUTED_VALUE"""),"行政備用")</f>
        <v>行政備用</v>
      </c>
      <c r="M140" s="37" t="str">
        <f>IFERROR(__xludf.DUMMYFUNCTION("""COMPUTED_VALUE"""),"管理中心")</f>
        <v>管理中心</v>
      </c>
      <c r="N140" s="37"/>
      <c r="O140" s="37"/>
      <c r="P140" s="47">
        <f>IFERROR(__xludf.DUMMYFUNCTION("""COMPUTED_VALUE"""),8190.0)</f>
        <v>8190</v>
      </c>
      <c r="Q140" s="47">
        <f>IFERROR(__xludf.DUMMYFUNCTION("""COMPUTED_VALUE"""),8190.0)</f>
        <v>8190</v>
      </c>
      <c r="R140" s="47">
        <f>IFERROR(__xludf.DUMMYFUNCTION("""COMPUTED_VALUE"""),8190.0)</f>
        <v>8190</v>
      </c>
      <c r="S140" s="47">
        <f>IFERROR(__xludf.DUMMYFUNCTION("""COMPUTED_VALUE"""),8190.0)</f>
        <v>8190</v>
      </c>
      <c r="T140" s="47">
        <f>IFERROR(__xludf.DUMMYFUNCTION("""COMPUTED_VALUE"""),8190.0)</f>
        <v>8190</v>
      </c>
      <c r="U140" s="47">
        <f>IFERROR(__xludf.DUMMYFUNCTION("""COMPUTED_VALUE"""),8190.0)</f>
        <v>8190</v>
      </c>
      <c r="V140" s="47">
        <f>IFERROR(__xludf.DUMMYFUNCTION("""COMPUTED_VALUE"""),8190.0)</f>
        <v>8190</v>
      </c>
      <c r="W140" s="47">
        <f>IFERROR(__xludf.DUMMYFUNCTION("""COMPUTED_VALUE"""),8190.0)</f>
        <v>8190</v>
      </c>
      <c r="X140" s="47">
        <f>IFERROR(__xludf.DUMMYFUNCTION("""COMPUTED_VALUE"""),8190.0)</f>
        <v>8190</v>
      </c>
      <c r="Y140" s="47">
        <f>IFERROR(__xludf.DUMMYFUNCTION("""COMPUTED_VALUE"""),8190.0)</f>
        <v>8190</v>
      </c>
      <c r="Z140" s="47">
        <f>IFERROR(__xludf.DUMMYFUNCTION("""COMPUTED_VALUE"""),8190.0)</f>
        <v>8190</v>
      </c>
      <c r="AA140" s="47">
        <f>IFERROR(__xludf.DUMMYFUNCTION("""COMPUTED_VALUE"""),8190.0)</f>
        <v>8190</v>
      </c>
      <c r="AB140" s="47">
        <f>IFERROR(__xludf.DUMMYFUNCTION("""COMPUTED_VALUE"""),98280.0)</f>
        <v>98280</v>
      </c>
    </row>
    <row r="141">
      <c r="B141" s="37"/>
      <c r="C141" s="37"/>
      <c r="D141" s="37"/>
      <c r="E141" s="37"/>
      <c r="F141" s="37"/>
      <c r="G141" s="37"/>
      <c r="H141" s="37"/>
      <c r="I141" s="37"/>
      <c r="J141" s="37" t="str">
        <f>IFERROR(__xludf.DUMMYFUNCTION("""COMPUTED_VALUE"""),"AICHFU02505008")</f>
        <v>AICHFU02505008</v>
      </c>
      <c r="K141" s="37" t="str">
        <f>IFERROR(__xludf.DUMMYFUNCTION("""COMPUTED_VALUE"""),"台中辦公室屏風(追加)")</f>
        <v>台中辦公室屏風(追加)</v>
      </c>
      <c r="L141" s="37" t="str">
        <f>IFERROR(__xludf.DUMMYFUNCTION("""COMPUTED_VALUE"""),"行政備用")</f>
        <v>行政備用</v>
      </c>
      <c r="M141" s="37" t="str">
        <f>IFERROR(__xludf.DUMMYFUNCTION("""COMPUTED_VALUE"""),"管理中心")</f>
        <v>管理中心</v>
      </c>
      <c r="N141" s="37"/>
      <c r="O141" s="37"/>
      <c r="P141" s="47">
        <f>IFERROR(__xludf.DUMMYFUNCTION("""COMPUTED_VALUE"""),763.0)</f>
        <v>763</v>
      </c>
      <c r="Q141" s="47">
        <f>IFERROR(__xludf.DUMMYFUNCTION("""COMPUTED_VALUE"""),763.0)</f>
        <v>763</v>
      </c>
      <c r="R141" s="47">
        <f>IFERROR(__xludf.DUMMYFUNCTION("""COMPUTED_VALUE"""),763.0)</f>
        <v>763</v>
      </c>
      <c r="S141" s="47">
        <f>IFERROR(__xludf.DUMMYFUNCTION("""COMPUTED_VALUE"""),763.0)</f>
        <v>763</v>
      </c>
      <c r="T141" s="47">
        <f>IFERROR(__xludf.DUMMYFUNCTION("""COMPUTED_VALUE"""),763.0)</f>
        <v>763</v>
      </c>
      <c r="U141" s="47">
        <f>IFERROR(__xludf.DUMMYFUNCTION("""COMPUTED_VALUE"""),763.0)</f>
        <v>763</v>
      </c>
      <c r="V141" s="47">
        <f>IFERROR(__xludf.DUMMYFUNCTION("""COMPUTED_VALUE"""),763.0)</f>
        <v>763</v>
      </c>
      <c r="W141" s="47">
        <f>IFERROR(__xludf.DUMMYFUNCTION("""COMPUTED_VALUE"""),763.0)</f>
        <v>763</v>
      </c>
      <c r="X141" s="47">
        <f>IFERROR(__xludf.DUMMYFUNCTION("""COMPUTED_VALUE"""),763.0)</f>
        <v>763</v>
      </c>
      <c r="Y141" s="47">
        <f>IFERROR(__xludf.DUMMYFUNCTION("""COMPUTED_VALUE"""),763.0)</f>
        <v>763</v>
      </c>
      <c r="Z141" s="47">
        <f>IFERROR(__xludf.DUMMYFUNCTION("""COMPUTED_VALUE"""),763.0)</f>
        <v>763</v>
      </c>
      <c r="AA141" s="47">
        <f>IFERROR(__xludf.DUMMYFUNCTION("""COMPUTED_VALUE"""),763.0)</f>
        <v>763</v>
      </c>
      <c r="AB141" s="47">
        <f>IFERROR(__xludf.DUMMYFUNCTION("""COMPUTED_VALUE"""),9156.0)</f>
        <v>9156</v>
      </c>
    </row>
    <row r="142">
      <c r="B142" s="37"/>
      <c r="C142" s="37"/>
      <c r="D142" s="37"/>
      <c r="E142" s="37"/>
      <c r="F142" s="37"/>
      <c r="G142" s="37"/>
      <c r="H142" s="37"/>
      <c r="I142" s="37"/>
      <c r="J142" s="37" t="str">
        <f>IFERROR(__xludf.DUMMYFUNCTION("""COMPUTED_VALUE"""),"AICHFU02505007")</f>
        <v>AICHFU02505007</v>
      </c>
      <c r="K142" s="37" t="str">
        <f>IFERROR(__xludf.DUMMYFUNCTION("""COMPUTED_VALUE"""),"台中辦公室會議桌椅")</f>
        <v>台中辦公室會議桌椅</v>
      </c>
      <c r="L142" s="37" t="str">
        <f>IFERROR(__xludf.DUMMYFUNCTION("""COMPUTED_VALUE"""),"行政備用")</f>
        <v>行政備用</v>
      </c>
      <c r="M142" s="37" t="str">
        <f>IFERROR(__xludf.DUMMYFUNCTION("""COMPUTED_VALUE"""),"管理中心")</f>
        <v>管理中心</v>
      </c>
      <c r="N142" s="37"/>
      <c r="O142" s="37"/>
      <c r="P142" s="47">
        <f>IFERROR(__xludf.DUMMYFUNCTION("""COMPUTED_VALUE"""),2867.0)</f>
        <v>2867</v>
      </c>
      <c r="Q142" s="47">
        <f>IFERROR(__xludf.DUMMYFUNCTION("""COMPUTED_VALUE"""),2867.0)</f>
        <v>2867</v>
      </c>
      <c r="R142" s="47">
        <f>IFERROR(__xludf.DUMMYFUNCTION("""COMPUTED_VALUE"""),2867.0)</f>
        <v>2867</v>
      </c>
      <c r="S142" s="47">
        <f>IFERROR(__xludf.DUMMYFUNCTION("""COMPUTED_VALUE"""),2867.0)</f>
        <v>2867</v>
      </c>
      <c r="T142" s="47">
        <f>IFERROR(__xludf.DUMMYFUNCTION("""COMPUTED_VALUE"""),2867.0)</f>
        <v>2867</v>
      </c>
      <c r="U142" s="47">
        <f>IFERROR(__xludf.DUMMYFUNCTION("""COMPUTED_VALUE"""),2867.0)</f>
        <v>2867</v>
      </c>
      <c r="V142" s="47">
        <f>IFERROR(__xludf.DUMMYFUNCTION("""COMPUTED_VALUE"""),2867.0)</f>
        <v>2867</v>
      </c>
      <c r="W142" s="47">
        <f>IFERROR(__xludf.DUMMYFUNCTION("""COMPUTED_VALUE"""),2867.0)</f>
        <v>2867</v>
      </c>
      <c r="X142" s="47">
        <f>IFERROR(__xludf.DUMMYFUNCTION("""COMPUTED_VALUE"""),2867.0)</f>
        <v>2867</v>
      </c>
      <c r="Y142" s="47">
        <f>IFERROR(__xludf.DUMMYFUNCTION("""COMPUTED_VALUE"""),2867.0)</f>
        <v>2867</v>
      </c>
      <c r="Z142" s="47">
        <f>IFERROR(__xludf.DUMMYFUNCTION("""COMPUTED_VALUE"""),2867.0)</f>
        <v>2867</v>
      </c>
      <c r="AA142" s="47">
        <f>IFERROR(__xludf.DUMMYFUNCTION("""COMPUTED_VALUE"""),2867.0)</f>
        <v>2867</v>
      </c>
      <c r="AB142" s="47">
        <f>IFERROR(__xludf.DUMMYFUNCTION("""COMPUTED_VALUE"""),34404.0)</f>
        <v>34404</v>
      </c>
    </row>
    <row r="143">
      <c r="B143" s="37"/>
      <c r="C143" s="37"/>
      <c r="D143" s="37"/>
      <c r="E143" s="37"/>
      <c r="F143" s="37"/>
      <c r="G143" s="37"/>
      <c r="H143" s="37"/>
      <c r="I143" s="37"/>
      <c r="J143" s="37" t="str">
        <f>IFERROR(__xludf.DUMMYFUNCTION("""COMPUTED_VALUE"""),"AICHIP02507009")</f>
        <v>AICHIP02507009</v>
      </c>
      <c r="K143" s="37" t="str">
        <f>IFERROR(__xludf.DUMMYFUNCTION("""COMPUTED_VALUE"""),"iPad")</f>
        <v>iPad</v>
      </c>
      <c r="L143" s="37" t="str">
        <f>IFERROR(__xludf.DUMMYFUNCTION("""COMPUTED_VALUE"""),"劉鈺羚")</f>
        <v>劉鈺羚</v>
      </c>
      <c r="M143" s="37" t="str">
        <f>IFERROR(__xludf.DUMMYFUNCTION("""COMPUTED_VALUE"""),"行銷營運中心")</f>
        <v>行銷營運中心</v>
      </c>
      <c r="N143" s="37" t="str">
        <f>IFERROR(__xludf.DUMMYFUNCTION("""COMPUTED_VALUE"""),"銷售營運部")</f>
        <v>銷售營運部</v>
      </c>
      <c r="O143" s="37" t="str">
        <f>IFERROR(__xludf.DUMMYFUNCTION("""COMPUTED_VALUE"""),"銷售顧問團隊")</f>
        <v>銷售顧問團隊</v>
      </c>
      <c r="P143" s="47">
        <f>IFERROR(__xludf.DUMMYFUNCTION("""COMPUTED_VALUE"""),218.0)</f>
        <v>218</v>
      </c>
      <c r="Q143" s="47">
        <f>IFERROR(__xludf.DUMMYFUNCTION("""COMPUTED_VALUE"""),218.0)</f>
        <v>218</v>
      </c>
      <c r="R143" s="47">
        <f>IFERROR(__xludf.DUMMYFUNCTION("""COMPUTED_VALUE"""),218.0)</f>
        <v>218</v>
      </c>
      <c r="S143" s="47">
        <f>IFERROR(__xludf.DUMMYFUNCTION("""COMPUTED_VALUE"""),218.0)</f>
        <v>218</v>
      </c>
      <c r="T143" s="47">
        <f>IFERROR(__xludf.DUMMYFUNCTION("""COMPUTED_VALUE"""),218.0)</f>
        <v>218</v>
      </c>
      <c r="U143" s="47">
        <f>IFERROR(__xludf.DUMMYFUNCTION("""COMPUTED_VALUE"""),218.0)</f>
        <v>218</v>
      </c>
      <c r="V143" s="47">
        <f>IFERROR(__xludf.DUMMYFUNCTION("""COMPUTED_VALUE"""),218.0)</f>
        <v>218</v>
      </c>
      <c r="W143" s="47">
        <f>IFERROR(__xludf.DUMMYFUNCTION("""COMPUTED_VALUE"""),218.0)</f>
        <v>218</v>
      </c>
      <c r="X143" s="47">
        <f>IFERROR(__xludf.DUMMYFUNCTION("""COMPUTED_VALUE"""),218.0)</f>
        <v>218</v>
      </c>
      <c r="Y143" s="47">
        <f>IFERROR(__xludf.DUMMYFUNCTION("""COMPUTED_VALUE"""),218.0)</f>
        <v>218</v>
      </c>
      <c r="Z143" s="47">
        <f>IFERROR(__xludf.DUMMYFUNCTION("""COMPUTED_VALUE"""),218.0)</f>
        <v>218</v>
      </c>
      <c r="AA143" s="47">
        <f>IFERROR(__xludf.DUMMYFUNCTION("""COMPUTED_VALUE"""),218.0)</f>
        <v>218</v>
      </c>
      <c r="AB143" s="47">
        <f>IFERROR(__xludf.DUMMYFUNCTION("""COMPUTED_VALUE"""),2616.0)</f>
        <v>2616</v>
      </c>
    </row>
    <row r="144">
      <c r="B144" s="37"/>
      <c r="C144" s="37"/>
      <c r="D144" s="37"/>
      <c r="E144" s="37"/>
      <c r="F144" s="37"/>
      <c r="G144" s="37"/>
      <c r="H144" s="37"/>
      <c r="I144" s="37"/>
      <c r="J144" s="37" t="str">
        <f>IFERROR(__xludf.DUMMYFUNCTION("""COMPUTED_VALUE"""),"AICHIP02507012")</f>
        <v>AICHIP02507012</v>
      </c>
      <c r="K144" s="37" t="str">
        <f>IFERROR(__xludf.DUMMYFUNCTION("""COMPUTED_VALUE"""),"iPad")</f>
        <v>iPad</v>
      </c>
      <c r="L144" s="37" t="str">
        <f>IFERROR(__xludf.DUMMYFUNCTION("""COMPUTED_VALUE"""),"林曉吟")</f>
        <v>林曉吟</v>
      </c>
      <c r="M144" s="37" t="str">
        <f>IFERROR(__xludf.DUMMYFUNCTION("""COMPUTED_VALUE"""),"行銷營運中心")</f>
        <v>行銷營運中心</v>
      </c>
      <c r="N144" s="37" t="str">
        <f>IFERROR(__xludf.DUMMYFUNCTION("""COMPUTED_VALUE"""),"銷售營運部")</f>
        <v>銷售營運部</v>
      </c>
      <c r="O144" s="37" t="str">
        <f>IFERROR(__xludf.DUMMYFUNCTION("""COMPUTED_VALUE"""),"客戶導入團隊")</f>
        <v>客戶導入團隊</v>
      </c>
      <c r="P144" s="47">
        <f>IFERROR(__xludf.DUMMYFUNCTION("""COMPUTED_VALUE"""),218.0)</f>
        <v>218</v>
      </c>
      <c r="Q144" s="47">
        <f>IFERROR(__xludf.DUMMYFUNCTION("""COMPUTED_VALUE"""),218.0)</f>
        <v>218</v>
      </c>
      <c r="R144" s="47">
        <f>IFERROR(__xludf.DUMMYFUNCTION("""COMPUTED_VALUE"""),218.0)</f>
        <v>218</v>
      </c>
      <c r="S144" s="47">
        <f>IFERROR(__xludf.DUMMYFUNCTION("""COMPUTED_VALUE"""),218.0)</f>
        <v>218</v>
      </c>
      <c r="T144" s="47">
        <f>IFERROR(__xludf.DUMMYFUNCTION("""COMPUTED_VALUE"""),218.0)</f>
        <v>218</v>
      </c>
      <c r="U144" s="47">
        <f>IFERROR(__xludf.DUMMYFUNCTION("""COMPUTED_VALUE"""),218.0)</f>
        <v>218</v>
      </c>
      <c r="V144" s="47">
        <f>IFERROR(__xludf.DUMMYFUNCTION("""COMPUTED_VALUE"""),218.0)</f>
        <v>218</v>
      </c>
      <c r="W144" s="47">
        <f>IFERROR(__xludf.DUMMYFUNCTION("""COMPUTED_VALUE"""),218.0)</f>
        <v>218</v>
      </c>
      <c r="X144" s="47">
        <f>IFERROR(__xludf.DUMMYFUNCTION("""COMPUTED_VALUE"""),218.0)</f>
        <v>218</v>
      </c>
      <c r="Y144" s="47">
        <f>IFERROR(__xludf.DUMMYFUNCTION("""COMPUTED_VALUE"""),218.0)</f>
        <v>218</v>
      </c>
      <c r="Z144" s="47">
        <f>IFERROR(__xludf.DUMMYFUNCTION("""COMPUTED_VALUE"""),218.0)</f>
        <v>218</v>
      </c>
      <c r="AA144" s="47">
        <f>IFERROR(__xludf.DUMMYFUNCTION("""COMPUTED_VALUE"""),218.0)</f>
        <v>218</v>
      </c>
      <c r="AB144" s="47">
        <f>IFERROR(__xludf.DUMMYFUNCTION("""COMPUTED_VALUE"""),2616.0)</f>
        <v>2616</v>
      </c>
    </row>
    <row r="145">
      <c r="B145" s="37"/>
      <c r="C145" s="37"/>
      <c r="D145" s="37"/>
      <c r="E145" s="37"/>
      <c r="F145" s="37"/>
      <c r="G145" s="37"/>
      <c r="H145" s="37"/>
      <c r="I145" s="37"/>
      <c r="J145" s="37" t="str">
        <f>IFERROR(__xludf.DUMMYFUNCTION("""COMPUTED_VALUE"""),"AICHIP02507013")</f>
        <v>AICHIP02507013</v>
      </c>
      <c r="K145" s="37" t="str">
        <f>IFERROR(__xludf.DUMMYFUNCTION("""COMPUTED_VALUE"""),"iPad")</f>
        <v>iPad</v>
      </c>
      <c r="L145" s="37" t="str">
        <f>IFERROR(__xludf.DUMMYFUNCTION("""COMPUTED_VALUE"""),"林子翔")</f>
        <v>林子翔</v>
      </c>
      <c r="M145" s="37" t="str">
        <f>IFERROR(__xludf.DUMMYFUNCTION("""COMPUTED_VALUE"""),"行銷營運中心")</f>
        <v>行銷營運中心</v>
      </c>
      <c r="N145" s="37" t="str">
        <f>IFERROR(__xludf.DUMMYFUNCTION("""COMPUTED_VALUE"""),"銷售營運部")</f>
        <v>銷售營運部</v>
      </c>
      <c r="O145" s="37" t="str">
        <f>IFERROR(__xludf.DUMMYFUNCTION("""COMPUTED_VALUE"""),"銷售顧問團隊")</f>
        <v>銷售顧問團隊</v>
      </c>
      <c r="P145" s="47">
        <f>IFERROR(__xludf.DUMMYFUNCTION("""COMPUTED_VALUE"""),218.0)</f>
        <v>218</v>
      </c>
      <c r="Q145" s="47">
        <f>IFERROR(__xludf.DUMMYFUNCTION("""COMPUTED_VALUE"""),218.0)</f>
        <v>218</v>
      </c>
      <c r="R145" s="47">
        <f>IFERROR(__xludf.DUMMYFUNCTION("""COMPUTED_VALUE"""),218.0)</f>
        <v>218</v>
      </c>
      <c r="S145" s="47">
        <f>IFERROR(__xludf.DUMMYFUNCTION("""COMPUTED_VALUE"""),218.0)</f>
        <v>218</v>
      </c>
      <c r="T145" s="47">
        <f>IFERROR(__xludf.DUMMYFUNCTION("""COMPUTED_VALUE"""),218.0)</f>
        <v>218</v>
      </c>
      <c r="U145" s="47">
        <f>IFERROR(__xludf.DUMMYFUNCTION("""COMPUTED_VALUE"""),218.0)</f>
        <v>218</v>
      </c>
      <c r="V145" s="47">
        <f>IFERROR(__xludf.DUMMYFUNCTION("""COMPUTED_VALUE"""),218.0)</f>
        <v>218</v>
      </c>
      <c r="W145" s="47">
        <f>IFERROR(__xludf.DUMMYFUNCTION("""COMPUTED_VALUE"""),218.0)</f>
        <v>218</v>
      </c>
      <c r="X145" s="47">
        <f>IFERROR(__xludf.DUMMYFUNCTION("""COMPUTED_VALUE"""),218.0)</f>
        <v>218</v>
      </c>
      <c r="Y145" s="47">
        <f>IFERROR(__xludf.DUMMYFUNCTION("""COMPUTED_VALUE"""),218.0)</f>
        <v>218</v>
      </c>
      <c r="Z145" s="47">
        <f>IFERROR(__xludf.DUMMYFUNCTION("""COMPUTED_VALUE"""),218.0)</f>
        <v>218</v>
      </c>
      <c r="AA145" s="47">
        <f>IFERROR(__xludf.DUMMYFUNCTION("""COMPUTED_VALUE"""),218.0)</f>
        <v>218</v>
      </c>
      <c r="AB145" s="47">
        <f>IFERROR(__xludf.DUMMYFUNCTION("""COMPUTED_VALUE"""),2616.0)</f>
        <v>2616</v>
      </c>
    </row>
    <row r="146">
      <c r="B146" s="37"/>
      <c r="C146" s="37"/>
      <c r="D146" s="37"/>
      <c r="E146" s="37"/>
      <c r="F146" s="37"/>
      <c r="G146" s="37"/>
      <c r="H146" s="37"/>
      <c r="I146" s="37"/>
      <c r="J146" s="37" t="str">
        <f>IFERROR(__xludf.DUMMYFUNCTION("""COMPUTED_VALUE"""),"AICHIP02507011")</f>
        <v>AICHIP02507011</v>
      </c>
      <c r="K146" s="37" t="str">
        <f>IFERROR(__xludf.DUMMYFUNCTION("""COMPUTED_VALUE"""),"iPad")</f>
        <v>iPad</v>
      </c>
      <c r="L146" s="37" t="str">
        <f>IFERROR(__xludf.DUMMYFUNCTION("""COMPUTED_VALUE"""),"高竹映")</f>
        <v>高竹映</v>
      </c>
      <c r="M146" s="37" t="str">
        <f>IFERROR(__xludf.DUMMYFUNCTION("""COMPUTED_VALUE"""),"行銷營運中心")</f>
        <v>行銷營運中心</v>
      </c>
      <c r="N146" s="37" t="str">
        <f>IFERROR(__xludf.DUMMYFUNCTION("""COMPUTED_VALUE"""),"銷售營運部")</f>
        <v>銷售營運部</v>
      </c>
      <c r="O146" s="37" t="str">
        <f>IFERROR(__xludf.DUMMYFUNCTION("""COMPUTED_VALUE"""),"銷售顧問團隊")</f>
        <v>銷售顧問團隊</v>
      </c>
      <c r="P146" s="47">
        <f>IFERROR(__xludf.DUMMYFUNCTION("""COMPUTED_VALUE"""),218.0)</f>
        <v>218</v>
      </c>
      <c r="Q146" s="47">
        <f>IFERROR(__xludf.DUMMYFUNCTION("""COMPUTED_VALUE"""),218.0)</f>
        <v>218</v>
      </c>
      <c r="R146" s="47">
        <f>IFERROR(__xludf.DUMMYFUNCTION("""COMPUTED_VALUE"""),218.0)</f>
        <v>218</v>
      </c>
      <c r="S146" s="47">
        <f>IFERROR(__xludf.DUMMYFUNCTION("""COMPUTED_VALUE"""),218.0)</f>
        <v>218</v>
      </c>
      <c r="T146" s="47">
        <f>IFERROR(__xludf.DUMMYFUNCTION("""COMPUTED_VALUE"""),218.0)</f>
        <v>218</v>
      </c>
      <c r="U146" s="47">
        <f>IFERROR(__xludf.DUMMYFUNCTION("""COMPUTED_VALUE"""),218.0)</f>
        <v>218</v>
      </c>
      <c r="V146" s="47">
        <f>IFERROR(__xludf.DUMMYFUNCTION("""COMPUTED_VALUE"""),218.0)</f>
        <v>218</v>
      </c>
      <c r="W146" s="47">
        <f>IFERROR(__xludf.DUMMYFUNCTION("""COMPUTED_VALUE"""),218.0)</f>
        <v>218</v>
      </c>
      <c r="X146" s="47">
        <f>IFERROR(__xludf.DUMMYFUNCTION("""COMPUTED_VALUE"""),218.0)</f>
        <v>218</v>
      </c>
      <c r="Y146" s="47">
        <f>IFERROR(__xludf.DUMMYFUNCTION("""COMPUTED_VALUE"""),218.0)</f>
        <v>218</v>
      </c>
      <c r="Z146" s="47">
        <f>IFERROR(__xludf.DUMMYFUNCTION("""COMPUTED_VALUE"""),218.0)</f>
        <v>218</v>
      </c>
      <c r="AA146" s="47">
        <f>IFERROR(__xludf.DUMMYFUNCTION("""COMPUTED_VALUE"""),218.0)</f>
        <v>218</v>
      </c>
      <c r="AB146" s="47">
        <f>IFERROR(__xludf.DUMMYFUNCTION("""COMPUTED_VALUE"""),2616.0)</f>
        <v>2616</v>
      </c>
    </row>
    <row r="147">
      <c r="B147" s="37"/>
      <c r="C147" s="37"/>
      <c r="D147" s="37"/>
      <c r="E147" s="37"/>
      <c r="F147" s="37"/>
      <c r="G147" s="37"/>
      <c r="H147" s="37"/>
      <c r="I147" s="37"/>
      <c r="J147" s="37" t="str">
        <f>IFERROR(__xludf.DUMMYFUNCTION("""COMPUTED_VALUE"""),"AICHIP02507010")</f>
        <v>AICHIP02507010</v>
      </c>
      <c r="K147" s="37" t="str">
        <f>IFERROR(__xludf.DUMMYFUNCTION("""COMPUTED_VALUE"""),"iPad")</f>
        <v>iPad</v>
      </c>
      <c r="L147" s="37" t="str">
        <f>IFERROR(__xludf.DUMMYFUNCTION("""COMPUTED_VALUE"""),"高宇成")</f>
        <v>高宇成</v>
      </c>
      <c r="M147" s="37" t="str">
        <f>IFERROR(__xludf.DUMMYFUNCTION("""COMPUTED_VALUE"""),"研發中心")</f>
        <v>研發中心</v>
      </c>
      <c r="N147" s="37" t="str">
        <f>IFERROR(__xludf.DUMMYFUNCTION("""COMPUTED_VALUE"""),"軟體工程部")</f>
        <v>軟體工程部</v>
      </c>
      <c r="O147" s="37" t="str">
        <f>IFERROR(__xludf.DUMMYFUNCTION("""COMPUTED_VALUE"""),"IOS團隊")</f>
        <v>IOS團隊</v>
      </c>
      <c r="P147" s="47">
        <f>IFERROR(__xludf.DUMMYFUNCTION("""COMPUTED_VALUE"""),218.0)</f>
        <v>218</v>
      </c>
      <c r="Q147" s="47">
        <f>IFERROR(__xludf.DUMMYFUNCTION("""COMPUTED_VALUE"""),218.0)</f>
        <v>218</v>
      </c>
      <c r="R147" s="47">
        <f>IFERROR(__xludf.DUMMYFUNCTION("""COMPUTED_VALUE"""),218.0)</f>
        <v>218</v>
      </c>
      <c r="S147" s="47">
        <f>IFERROR(__xludf.DUMMYFUNCTION("""COMPUTED_VALUE"""),218.0)</f>
        <v>218</v>
      </c>
      <c r="T147" s="47">
        <f>IFERROR(__xludf.DUMMYFUNCTION("""COMPUTED_VALUE"""),218.0)</f>
        <v>218</v>
      </c>
      <c r="U147" s="47">
        <f>IFERROR(__xludf.DUMMYFUNCTION("""COMPUTED_VALUE"""),218.0)</f>
        <v>218</v>
      </c>
      <c r="V147" s="47">
        <f>IFERROR(__xludf.DUMMYFUNCTION("""COMPUTED_VALUE"""),218.0)</f>
        <v>218</v>
      </c>
      <c r="W147" s="47">
        <f>IFERROR(__xludf.DUMMYFUNCTION("""COMPUTED_VALUE"""),218.0)</f>
        <v>218</v>
      </c>
      <c r="X147" s="47">
        <f>IFERROR(__xludf.DUMMYFUNCTION("""COMPUTED_VALUE"""),218.0)</f>
        <v>218</v>
      </c>
      <c r="Y147" s="47">
        <f>IFERROR(__xludf.DUMMYFUNCTION("""COMPUTED_VALUE"""),218.0)</f>
        <v>218</v>
      </c>
      <c r="Z147" s="47">
        <f>IFERROR(__xludf.DUMMYFUNCTION("""COMPUTED_VALUE"""),218.0)</f>
        <v>218</v>
      </c>
      <c r="AA147" s="47">
        <f>IFERROR(__xludf.DUMMYFUNCTION("""COMPUTED_VALUE"""),218.0)</f>
        <v>218</v>
      </c>
      <c r="AB147" s="47">
        <f>IFERROR(__xludf.DUMMYFUNCTION("""COMPUTED_VALUE"""),2616.0)</f>
        <v>2616</v>
      </c>
    </row>
    <row r="148">
      <c r="B148" s="37"/>
      <c r="C148" s="37"/>
      <c r="D148" s="37"/>
      <c r="E148" s="37"/>
      <c r="F148" s="37"/>
      <c r="G148" s="37"/>
      <c r="H148" s="37"/>
      <c r="I148" s="37"/>
      <c r="J148" s="37" t="str">
        <f>IFERROR(__xludf.DUMMYFUNCTION("""COMPUTED_VALUE"""),"AICHIP02507014")</f>
        <v>AICHIP02507014</v>
      </c>
      <c r="K148" s="37" t="str">
        <f>IFERROR(__xludf.DUMMYFUNCTION("""COMPUTED_VALUE"""),"iPad")</f>
        <v>iPad</v>
      </c>
      <c r="L148" s="37" t="str">
        <f>IFERROR(__xludf.DUMMYFUNCTION("""COMPUTED_VALUE"""),"巫喬婷")</f>
        <v>巫喬婷</v>
      </c>
      <c r="M148" s="37" t="str">
        <f>IFERROR(__xludf.DUMMYFUNCTION("""COMPUTED_VALUE"""),"行銷營運中心")</f>
        <v>行銷營運中心</v>
      </c>
      <c r="N148" s="37" t="str">
        <f>IFERROR(__xludf.DUMMYFUNCTION("""COMPUTED_VALUE"""),"銷售營運部")</f>
        <v>銷售營運部</v>
      </c>
      <c r="O148" s="37" t="str">
        <f>IFERROR(__xludf.DUMMYFUNCTION("""COMPUTED_VALUE"""),"銷售顧問團隊")</f>
        <v>銷售顧問團隊</v>
      </c>
      <c r="P148" s="47">
        <f>IFERROR(__xludf.DUMMYFUNCTION("""COMPUTED_VALUE"""),218.0)</f>
        <v>218</v>
      </c>
      <c r="Q148" s="47">
        <f>IFERROR(__xludf.DUMMYFUNCTION("""COMPUTED_VALUE"""),218.0)</f>
        <v>218</v>
      </c>
      <c r="R148" s="47">
        <f>IFERROR(__xludf.DUMMYFUNCTION("""COMPUTED_VALUE"""),218.0)</f>
        <v>218</v>
      </c>
      <c r="S148" s="47">
        <f>IFERROR(__xludf.DUMMYFUNCTION("""COMPUTED_VALUE"""),218.0)</f>
        <v>218</v>
      </c>
      <c r="T148" s="47">
        <f>IFERROR(__xludf.DUMMYFUNCTION("""COMPUTED_VALUE"""),218.0)</f>
        <v>218</v>
      </c>
      <c r="U148" s="47">
        <f>IFERROR(__xludf.DUMMYFUNCTION("""COMPUTED_VALUE"""),218.0)</f>
        <v>218</v>
      </c>
      <c r="V148" s="47">
        <f>IFERROR(__xludf.DUMMYFUNCTION("""COMPUTED_VALUE"""),218.0)</f>
        <v>218</v>
      </c>
      <c r="W148" s="47">
        <f>IFERROR(__xludf.DUMMYFUNCTION("""COMPUTED_VALUE"""),218.0)</f>
        <v>218</v>
      </c>
      <c r="X148" s="47">
        <f>IFERROR(__xludf.DUMMYFUNCTION("""COMPUTED_VALUE"""),218.0)</f>
        <v>218</v>
      </c>
      <c r="Y148" s="47">
        <f>IFERROR(__xludf.DUMMYFUNCTION("""COMPUTED_VALUE"""),218.0)</f>
        <v>218</v>
      </c>
      <c r="Z148" s="47">
        <f>IFERROR(__xludf.DUMMYFUNCTION("""COMPUTED_VALUE"""),218.0)</f>
        <v>218</v>
      </c>
      <c r="AA148" s="47">
        <f>IFERROR(__xludf.DUMMYFUNCTION("""COMPUTED_VALUE"""),218.0)</f>
        <v>218</v>
      </c>
      <c r="AB148" s="47">
        <f>IFERROR(__xludf.DUMMYFUNCTION("""COMPUTED_VALUE"""),2616.0)</f>
        <v>2616</v>
      </c>
    </row>
    <row r="149">
      <c r="B149" s="37"/>
      <c r="C149" s="37"/>
      <c r="D149" s="37"/>
      <c r="E149" s="37"/>
      <c r="F149" s="37"/>
      <c r="G149" s="37"/>
      <c r="H149" s="37"/>
      <c r="I149" s="37"/>
      <c r="J149" s="37" t="str">
        <f>IFERROR(__xludf.DUMMYFUNCTION("""COMPUTED_VALUE"""),"AICHMA02508006")</f>
        <v>AICHMA02508006</v>
      </c>
      <c r="K149" s="37" t="str">
        <f>IFERROR(__xludf.DUMMYFUNCTION("""COMPUTED_VALUE"""),"Macbook Air")</f>
        <v>Macbook Air</v>
      </c>
      <c r="L149" s="37" t="str">
        <f>IFERROR(__xludf.DUMMYFUNCTION("""COMPUTED_VALUE"""),"詹惟婷")</f>
        <v>詹惟婷</v>
      </c>
      <c r="M149" s="37" t="str">
        <f>IFERROR(__xludf.DUMMYFUNCTION("""COMPUTED_VALUE"""),"行銷營運中心")</f>
        <v>行銷營運中心</v>
      </c>
      <c r="N149" s="37" t="str">
        <f>IFERROR(__xludf.DUMMYFUNCTION("""COMPUTED_VALUE"""),"社群關係部")</f>
        <v>社群關係部</v>
      </c>
      <c r="O149" s="37"/>
      <c r="P149" s="47">
        <f>IFERROR(__xludf.DUMMYFUNCTION("""COMPUTED_VALUE"""),641.0)</f>
        <v>641</v>
      </c>
      <c r="Q149" s="47">
        <f>IFERROR(__xludf.DUMMYFUNCTION("""COMPUTED_VALUE"""),641.0)</f>
        <v>641</v>
      </c>
      <c r="R149" s="47">
        <f>IFERROR(__xludf.DUMMYFUNCTION("""COMPUTED_VALUE"""),641.0)</f>
        <v>641</v>
      </c>
      <c r="S149" s="47">
        <f>IFERROR(__xludf.DUMMYFUNCTION("""COMPUTED_VALUE"""),641.0)</f>
        <v>641</v>
      </c>
      <c r="T149" s="47">
        <f>IFERROR(__xludf.DUMMYFUNCTION("""COMPUTED_VALUE"""),641.0)</f>
        <v>641</v>
      </c>
      <c r="U149" s="47">
        <f>IFERROR(__xludf.DUMMYFUNCTION("""COMPUTED_VALUE"""),641.0)</f>
        <v>641</v>
      </c>
      <c r="V149" s="47">
        <f>IFERROR(__xludf.DUMMYFUNCTION("""COMPUTED_VALUE"""),641.0)</f>
        <v>641</v>
      </c>
      <c r="W149" s="47">
        <f>IFERROR(__xludf.DUMMYFUNCTION("""COMPUTED_VALUE"""),641.0)</f>
        <v>641</v>
      </c>
      <c r="X149" s="47">
        <f>IFERROR(__xludf.DUMMYFUNCTION("""COMPUTED_VALUE"""),641.0)</f>
        <v>641</v>
      </c>
      <c r="Y149" s="47">
        <f>IFERROR(__xludf.DUMMYFUNCTION("""COMPUTED_VALUE"""),641.0)</f>
        <v>641</v>
      </c>
      <c r="Z149" s="47">
        <f>IFERROR(__xludf.DUMMYFUNCTION("""COMPUTED_VALUE"""),641.0)</f>
        <v>641</v>
      </c>
      <c r="AA149" s="47">
        <f>IFERROR(__xludf.DUMMYFUNCTION("""COMPUTED_VALUE"""),641.0)</f>
        <v>641</v>
      </c>
      <c r="AB149" s="47">
        <f>IFERROR(__xludf.DUMMYFUNCTION("""COMPUTED_VALUE"""),7692.0)</f>
        <v>7692</v>
      </c>
    </row>
    <row r="150">
      <c r="B150" s="37"/>
      <c r="C150" s="37"/>
      <c r="D150" s="37"/>
      <c r="E150" s="37"/>
      <c r="F150" s="37"/>
      <c r="G150" s="37"/>
      <c r="H150" s="37"/>
      <c r="I150" s="37"/>
      <c r="J150" s="37" t="str">
        <f>IFERROR(__xludf.DUMMYFUNCTION("""COMPUTED_VALUE"""),"AICHMA02508004")</f>
        <v>AICHMA02508004</v>
      </c>
      <c r="K150" s="37" t="str">
        <f>IFERROR(__xludf.DUMMYFUNCTION("""COMPUTED_VALUE"""),"Macbook Air")</f>
        <v>Macbook Air</v>
      </c>
      <c r="L150" s="37" t="str">
        <f>IFERROR(__xludf.DUMMYFUNCTION("""COMPUTED_VALUE"""),"林子翔")</f>
        <v>林子翔</v>
      </c>
      <c r="M150" s="37" t="str">
        <f>IFERROR(__xludf.DUMMYFUNCTION("""COMPUTED_VALUE"""),"行銷營運中心")</f>
        <v>行銷營運中心</v>
      </c>
      <c r="N150" s="37" t="str">
        <f>IFERROR(__xludf.DUMMYFUNCTION("""COMPUTED_VALUE"""),"銷售營運部")</f>
        <v>銷售營運部</v>
      </c>
      <c r="O150" s="37" t="str">
        <f>IFERROR(__xludf.DUMMYFUNCTION("""COMPUTED_VALUE"""),"銷售顧問團隊")</f>
        <v>銷售顧問團隊</v>
      </c>
      <c r="P150" s="47">
        <f>IFERROR(__xludf.DUMMYFUNCTION("""COMPUTED_VALUE"""),641.0)</f>
        <v>641</v>
      </c>
      <c r="Q150" s="47">
        <f>IFERROR(__xludf.DUMMYFUNCTION("""COMPUTED_VALUE"""),641.0)</f>
        <v>641</v>
      </c>
      <c r="R150" s="47">
        <f>IFERROR(__xludf.DUMMYFUNCTION("""COMPUTED_VALUE"""),641.0)</f>
        <v>641</v>
      </c>
      <c r="S150" s="47">
        <f>IFERROR(__xludf.DUMMYFUNCTION("""COMPUTED_VALUE"""),641.0)</f>
        <v>641</v>
      </c>
      <c r="T150" s="47">
        <f>IFERROR(__xludf.DUMMYFUNCTION("""COMPUTED_VALUE"""),641.0)</f>
        <v>641</v>
      </c>
      <c r="U150" s="47">
        <f>IFERROR(__xludf.DUMMYFUNCTION("""COMPUTED_VALUE"""),641.0)</f>
        <v>641</v>
      </c>
      <c r="V150" s="47">
        <f>IFERROR(__xludf.DUMMYFUNCTION("""COMPUTED_VALUE"""),641.0)</f>
        <v>641</v>
      </c>
      <c r="W150" s="47">
        <f>IFERROR(__xludf.DUMMYFUNCTION("""COMPUTED_VALUE"""),641.0)</f>
        <v>641</v>
      </c>
      <c r="X150" s="47">
        <f>IFERROR(__xludf.DUMMYFUNCTION("""COMPUTED_VALUE"""),641.0)</f>
        <v>641</v>
      </c>
      <c r="Y150" s="47">
        <f>IFERROR(__xludf.DUMMYFUNCTION("""COMPUTED_VALUE"""),641.0)</f>
        <v>641</v>
      </c>
      <c r="Z150" s="47">
        <f>IFERROR(__xludf.DUMMYFUNCTION("""COMPUTED_VALUE"""),641.0)</f>
        <v>641</v>
      </c>
      <c r="AA150" s="47">
        <f>IFERROR(__xludf.DUMMYFUNCTION("""COMPUTED_VALUE"""),641.0)</f>
        <v>641</v>
      </c>
      <c r="AB150" s="47">
        <f>IFERROR(__xludf.DUMMYFUNCTION("""COMPUTED_VALUE"""),7692.0)</f>
        <v>7692</v>
      </c>
    </row>
    <row r="151">
      <c r="B151" s="37"/>
      <c r="C151" s="37"/>
      <c r="D151" s="37"/>
      <c r="E151" s="37"/>
      <c r="F151" s="37"/>
      <c r="G151" s="37"/>
      <c r="H151" s="37"/>
      <c r="I151" s="37"/>
      <c r="J151" s="37" t="str">
        <f>IFERROR(__xludf.DUMMYFUNCTION("""COMPUTED_VALUE"""),"AICHMA02508005")</f>
        <v>AICHMA02508005</v>
      </c>
      <c r="K151" s="37" t="str">
        <f>IFERROR(__xludf.DUMMYFUNCTION("""COMPUTED_VALUE"""),"Macbook Air")</f>
        <v>Macbook Air</v>
      </c>
      <c r="L151" s="37" t="str">
        <f>IFERROR(__xludf.DUMMYFUNCTION("""COMPUTED_VALUE"""),"戴馨妤")</f>
        <v>戴馨妤</v>
      </c>
      <c r="M151" s="37" t="str">
        <f>IFERROR(__xludf.DUMMYFUNCTION("""COMPUTED_VALUE"""),"客戶價值中心")</f>
        <v>客戶價值中心</v>
      </c>
      <c r="N151" s="37" t="str">
        <f>IFERROR(__xludf.DUMMYFUNCTION("""COMPUTED_VALUE"""),"客戶關係管理部")</f>
        <v>客戶關係管理部</v>
      </c>
      <c r="O151" s="37" t="str">
        <f>IFERROR(__xludf.DUMMYFUNCTION("""COMPUTED_VALUE"""),"客服團隊 POS/OMO")</f>
        <v>客服團隊 POS/OMO</v>
      </c>
      <c r="P151" s="47">
        <f>IFERROR(__xludf.DUMMYFUNCTION("""COMPUTED_VALUE"""),641.0)</f>
        <v>641</v>
      </c>
      <c r="Q151" s="47">
        <f>IFERROR(__xludf.DUMMYFUNCTION("""COMPUTED_VALUE"""),641.0)</f>
        <v>641</v>
      </c>
      <c r="R151" s="47">
        <f>IFERROR(__xludf.DUMMYFUNCTION("""COMPUTED_VALUE"""),641.0)</f>
        <v>641</v>
      </c>
      <c r="S151" s="47">
        <f>IFERROR(__xludf.DUMMYFUNCTION("""COMPUTED_VALUE"""),641.0)</f>
        <v>641</v>
      </c>
      <c r="T151" s="47">
        <f>IFERROR(__xludf.DUMMYFUNCTION("""COMPUTED_VALUE"""),641.0)</f>
        <v>641</v>
      </c>
      <c r="U151" s="47">
        <f>IFERROR(__xludf.DUMMYFUNCTION("""COMPUTED_VALUE"""),641.0)</f>
        <v>641</v>
      </c>
      <c r="V151" s="47">
        <f>IFERROR(__xludf.DUMMYFUNCTION("""COMPUTED_VALUE"""),641.0)</f>
        <v>641</v>
      </c>
      <c r="W151" s="47">
        <f>IFERROR(__xludf.DUMMYFUNCTION("""COMPUTED_VALUE"""),641.0)</f>
        <v>641</v>
      </c>
      <c r="X151" s="47">
        <f>IFERROR(__xludf.DUMMYFUNCTION("""COMPUTED_VALUE"""),641.0)</f>
        <v>641</v>
      </c>
      <c r="Y151" s="47">
        <f>IFERROR(__xludf.DUMMYFUNCTION("""COMPUTED_VALUE"""),641.0)</f>
        <v>641</v>
      </c>
      <c r="Z151" s="47">
        <f>IFERROR(__xludf.DUMMYFUNCTION("""COMPUTED_VALUE"""),641.0)</f>
        <v>641</v>
      </c>
      <c r="AA151" s="47">
        <f>IFERROR(__xludf.DUMMYFUNCTION("""COMPUTED_VALUE"""),641.0)</f>
        <v>641</v>
      </c>
      <c r="AB151" s="47">
        <f>IFERROR(__xludf.DUMMYFUNCTION("""COMPUTED_VALUE"""),7692.0)</f>
        <v>7692</v>
      </c>
    </row>
    <row r="152">
      <c r="B152" s="37"/>
      <c r="C152" s="37"/>
      <c r="D152" s="37"/>
      <c r="E152" s="37"/>
      <c r="F152" s="37"/>
      <c r="G152" s="37"/>
      <c r="H152" s="37"/>
      <c r="I152" s="37"/>
      <c r="J152" s="37" t="str">
        <f>IFERROR(__xludf.DUMMYFUNCTION("""COMPUTED_VALUE"""),"AICHMA02508007")</f>
        <v>AICHMA02508007</v>
      </c>
      <c r="K152" s="37" t="str">
        <f>IFERROR(__xludf.DUMMYFUNCTION("""COMPUTED_VALUE"""),"Macbook Air")</f>
        <v>Macbook Air</v>
      </c>
      <c r="L152" s="37" t="str">
        <f>IFERROR(__xludf.DUMMYFUNCTION("""COMPUTED_VALUE"""),"陳書涵")</f>
        <v>陳書涵</v>
      </c>
      <c r="M152" s="37" t="str">
        <f>IFERROR(__xludf.DUMMYFUNCTION("""COMPUTED_VALUE"""),"策略資料中心")</f>
        <v>策略資料中心</v>
      </c>
      <c r="N152" s="37" t="str">
        <f>IFERROR(__xludf.DUMMYFUNCTION("""COMPUTED_VALUE"""),"策略規劃部")</f>
        <v>策略規劃部</v>
      </c>
      <c r="O152" s="37"/>
      <c r="P152" s="47">
        <f>IFERROR(__xludf.DUMMYFUNCTION("""COMPUTED_VALUE"""),641.0)</f>
        <v>641</v>
      </c>
      <c r="Q152" s="47">
        <f>IFERROR(__xludf.DUMMYFUNCTION("""COMPUTED_VALUE"""),641.0)</f>
        <v>641</v>
      </c>
      <c r="R152" s="47">
        <f>IFERROR(__xludf.DUMMYFUNCTION("""COMPUTED_VALUE"""),641.0)</f>
        <v>641</v>
      </c>
      <c r="S152" s="47">
        <f>IFERROR(__xludf.DUMMYFUNCTION("""COMPUTED_VALUE"""),641.0)</f>
        <v>641</v>
      </c>
      <c r="T152" s="47">
        <f>IFERROR(__xludf.DUMMYFUNCTION("""COMPUTED_VALUE"""),641.0)</f>
        <v>641</v>
      </c>
      <c r="U152" s="47">
        <f>IFERROR(__xludf.DUMMYFUNCTION("""COMPUTED_VALUE"""),641.0)</f>
        <v>641</v>
      </c>
      <c r="V152" s="47">
        <f>IFERROR(__xludf.DUMMYFUNCTION("""COMPUTED_VALUE"""),641.0)</f>
        <v>641</v>
      </c>
      <c r="W152" s="47">
        <f>IFERROR(__xludf.DUMMYFUNCTION("""COMPUTED_VALUE"""),641.0)</f>
        <v>641</v>
      </c>
      <c r="X152" s="47">
        <f>IFERROR(__xludf.DUMMYFUNCTION("""COMPUTED_VALUE"""),641.0)</f>
        <v>641</v>
      </c>
      <c r="Y152" s="47">
        <f>IFERROR(__xludf.DUMMYFUNCTION("""COMPUTED_VALUE"""),641.0)</f>
        <v>641</v>
      </c>
      <c r="Z152" s="47">
        <f>IFERROR(__xludf.DUMMYFUNCTION("""COMPUTED_VALUE"""),641.0)</f>
        <v>641</v>
      </c>
      <c r="AA152" s="47">
        <f>IFERROR(__xludf.DUMMYFUNCTION("""COMPUTED_VALUE"""),641.0)</f>
        <v>641</v>
      </c>
      <c r="AB152" s="47">
        <f>IFERROR(__xludf.DUMMYFUNCTION("""COMPUTED_VALUE"""),7692.0)</f>
        <v>7692</v>
      </c>
    </row>
    <row r="153">
      <c r="B153" s="37"/>
      <c r="C153" s="37"/>
      <c r="D153" s="37"/>
      <c r="E153" s="37"/>
      <c r="F153" s="37"/>
      <c r="G153" s="37"/>
      <c r="H153" s="37"/>
      <c r="I153" s="37"/>
      <c r="J153" s="37" t="str">
        <f>IFERROR(__xludf.DUMMYFUNCTION("""COMPUTED_VALUE"""),"AICHMP02509012")</f>
        <v>AICHMP02509012</v>
      </c>
      <c r="K153" s="37" t="str">
        <f>IFERROR(__xludf.DUMMYFUNCTION("""COMPUTED_VALUE"""),"Macbook Pro")</f>
        <v>Macbook Pro</v>
      </c>
      <c r="L153" s="37" t="str">
        <f>IFERROR(__xludf.DUMMYFUNCTION("""COMPUTED_VALUE"""),"張登皓")</f>
        <v>張登皓</v>
      </c>
      <c r="M153" s="37" t="str">
        <f>IFERROR(__xludf.DUMMYFUNCTION("""COMPUTED_VALUE"""),"研發中心")</f>
        <v>研發中心</v>
      </c>
      <c r="N153" s="37" t="str">
        <f>IFERROR(__xludf.DUMMYFUNCTION("""COMPUTED_VALUE"""),"軟體工程部")</f>
        <v>軟體工程部</v>
      </c>
      <c r="O153" s="37" t="str">
        <f>IFERROR(__xludf.DUMMYFUNCTION("""COMPUTED_VALUE"""),"前端團隊")</f>
        <v>前端團隊</v>
      </c>
      <c r="P153" s="47">
        <f>IFERROR(__xludf.DUMMYFUNCTION("""COMPUTED_VALUE"""),1815.0)</f>
        <v>1815</v>
      </c>
      <c r="Q153" s="47">
        <f>IFERROR(__xludf.DUMMYFUNCTION("""COMPUTED_VALUE"""),1815.0)</f>
        <v>1815</v>
      </c>
      <c r="R153" s="47">
        <f>IFERROR(__xludf.DUMMYFUNCTION("""COMPUTED_VALUE"""),1815.0)</f>
        <v>1815</v>
      </c>
      <c r="S153" s="47">
        <f>IFERROR(__xludf.DUMMYFUNCTION("""COMPUTED_VALUE"""),1815.0)</f>
        <v>1815</v>
      </c>
      <c r="T153" s="47">
        <f>IFERROR(__xludf.DUMMYFUNCTION("""COMPUTED_VALUE"""),1815.0)</f>
        <v>1815</v>
      </c>
      <c r="U153" s="47">
        <f>IFERROR(__xludf.DUMMYFUNCTION("""COMPUTED_VALUE"""),1815.0)</f>
        <v>1815</v>
      </c>
      <c r="V153" s="47">
        <f>IFERROR(__xludf.DUMMYFUNCTION("""COMPUTED_VALUE"""),1815.0)</f>
        <v>1815</v>
      </c>
      <c r="W153" s="47">
        <f>IFERROR(__xludf.DUMMYFUNCTION("""COMPUTED_VALUE"""),1815.0)</f>
        <v>1815</v>
      </c>
      <c r="X153" s="47">
        <f>IFERROR(__xludf.DUMMYFUNCTION("""COMPUTED_VALUE"""),1815.0)</f>
        <v>1815</v>
      </c>
      <c r="Y153" s="47">
        <f>IFERROR(__xludf.DUMMYFUNCTION("""COMPUTED_VALUE"""),1815.0)</f>
        <v>1815</v>
      </c>
      <c r="Z153" s="47">
        <f>IFERROR(__xludf.DUMMYFUNCTION("""COMPUTED_VALUE"""),1815.0)</f>
        <v>1815</v>
      </c>
      <c r="AA153" s="47">
        <f>IFERROR(__xludf.DUMMYFUNCTION("""COMPUTED_VALUE"""),1815.0)</f>
        <v>1815</v>
      </c>
      <c r="AB153" s="47">
        <f>IFERROR(__xludf.DUMMYFUNCTION("""COMPUTED_VALUE"""),21780.0)</f>
        <v>21780</v>
      </c>
    </row>
    <row r="154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</row>
    <row r="155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 t="str">
        <f>IFERROR(__xludf.DUMMYFUNCTION("""COMPUTED_VALUE"""),"合計數")</f>
        <v>合計數</v>
      </c>
      <c r="P155" s="47">
        <f>IFERROR(__xludf.DUMMYFUNCTION("""COMPUTED_VALUE"""),193879.0)</f>
        <v>193879</v>
      </c>
      <c r="Q155" s="47">
        <f>IFERROR(__xludf.DUMMYFUNCTION("""COMPUTED_VALUE"""),190710.0)</f>
        <v>190710</v>
      </c>
      <c r="R155" s="47">
        <f>IFERROR(__xludf.DUMMYFUNCTION("""COMPUTED_VALUE"""),190448.0)</f>
        <v>190448</v>
      </c>
      <c r="S155" s="47">
        <f>IFERROR(__xludf.DUMMYFUNCTION("""COMPUTED_VALUE"""),182272.0)</f>
        <v>182272</v>
      </c>
      <c r="T155" s="47">
        <f>IFERROR(__xludf.DUMMYFUNCTION("""COMPUTED_VALUE"""),180033.0)</f>
        <v>180033</v>
      </c>
      <c r="U155" s="47">
        <f>IFERROR(__xludf.DUMMYFUNCTION("""COMPUTED_VALUE"""),179007.0)</f>
        <v>179007</v>
      </c>
      <c r="V155" s="47">
        <f>IFERROR(__xludf.DUMMYFUNCTION("""COMPUTED_VALUE"""),176616.0)</f>
        <v>176616</v>
      </c>
      <c r="W155" s="47">
        <f>IFERROR(__xludf.DUMMYFUNCTION("""COMPUTED_VALUE"""),176616.0)</f>
        <v>176616</v>
      </c>
      <c r="X155" s="47">
        <f>IFERROR(__xludf.DUMMYFUNCTION("""COMPUTED_VALUE"""),175906.0)</f>
        <v>175906</v>
      </c>
      <c r="Y155" s="47">
        <f>IFERROR(__xludf.DUMMYFUNCTION("""COMPUTED_VALUE"""),166278.0)</f>
        <v>166278</v>
      </c>
      <c r="Z155" s="47">
        <f>IFERROR(__xludf.DUMMYFUNCTION("""COMPUTED_VALUE"""),156650.0)</f>
        <v>156650</v>
      </c>
      <c r="AA155" s="47">
        <f>IFERROR(__xludf.DUMMYFUNCTION("""COMPUTED_VALUE"""),155217.0)</f>
        <v>155217</v>
      </c>
      <c r="AB155" s="47">
        <f>IFERROR(__xludf.DUMMYFUNCTION("""COMPUTED_VALUE"""),2123632.0)</f>
        <v>2123632</v>
      </c>
    </row>
    <row r="156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</row>
    <row r="157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</row>
    <row r="158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</row>
    <row r="159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</row>
    <row r="160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75"/>
  </cols>
  <sheetData>
    <row r="1">
      <c r="B1" s="37" t="str">
        <f>IFERROR(__xludf.DUMMYFUNCTION("IMPORTRANGE(""https://docs.google.com/spreadsheets/d/1D7zntyA3r2ZrAAhZiCjjSVrtI4-uCXkrglxCIHZP9AE/edit?gid=0#gid=0"",""2026 預付費用分攤!A1:AY"")"),"")</f>
        <v/>
      </c>
      <c r="C1" s="37"/>
      <c r="D1" s="37"/>
      <c r="E1" s="37"/>
      <c r="F1" s="37"/>
      <c r="G1" s="37"/>
      <c r="H1" s="37"/>
      <c r="I1" s="37"/>
      <c r="J1" s="37"/>
      <c r="K1" s="37"/>
      <c r="L1" s="37" t="str">
        <f>IFERROR(__xludf.DUMMYFUNCTION("""COMPUTED_VALUE"""),"資廚管理顧問股份有限公司")</f>
        <v>資廚管理顧問股份有限公司</v>
      </c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</row>
    <row r="2">
      <c r="B2" s="37"/>
      <c r="C2" s="37"/>
      <c r="D2" s="37"/>
      <c r="E2" s="37"/>
      <c r="F2" s="37"/>
      <c r="G2" s="37"/>
      <c r="H2" s="37"/>
      <c r="I2" s="37"/>
      <c r="J2" s="37"/>
      <c r="K2" s="37"/>
      <c r="L2" s="37" t="str">
        <f>IFERROR(__xludf.DUMMYFUNCTION("""COMPUTED_VALUE"""),"預付費用科餘表")</f>
        <v>預付費用科餘表</v>
      </c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</row>
    <row r="3">
      <c r="B3" s="37"/>
      <c r="C3" s="37"/>
      <c r="D3" s="37"/>
      <c r="E3" s="37"/>
      <c r="F3" s="37"/>
      <c r="G3" s="37"/>
      <c r="H3" s="37"/>
      <c r="I3" s="37"/>
      <c r="J3" s="37"/>
      <c r="K3" s="37"/>
      <c r="L3" s="45">
        <f>IFERROR(__xludf.DUMMYFUNCTION("""COMPUTED_VALUE"""),45930.0)</f>
        <v>45930</v>
      </c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</row>
    <row r="4">
      <c r="B4" s="37" t="str">
        <f>IFERROR(__xludf.DUMMYFUNCTION("""COMPUTED_VALUE"""),"子公司")</f>
        <v>子公司</v>
      </c>
      <c r="C4" s="37" t="str">
        <f>IFERROR(__xludf.DUMMYFUNCTION("""COMPUTED_VALUE"""),"事業單位")</f>
        <v>事業單位</v>
      </c>
      <c r="D4" s="37" t="str">
        <f>IFERROR(__xludf.DUMMYFUNCTION("""COMPUTED_VALUE"""),"Si 編號")</f>
        <v>Si 編號</v>
      </c>
      <c r="E4" s="37" t="str">
        <f>IFERROR(__xludf.DUMMYFUNCTION("""COMPUTED_VALUE"""),"TA 編號")</f>
        <v>TA 編號</v>
      </c>
      <c r="F4" s="37" t="str">
        <f>IFERROR(__xludf.DUMMYFUNCTION("""COMPUTED_VALUE"""),"價值鏈專案預算代號")</f>
        <v>價值鏈專案預算代號</v>
      </c>
      <c r="G4" s="37" t="str">
        <f>IFERROR(__xludf.DUMMYFUNCTION("""COMPUTED_VALUE"""),"費用單位")</f>
        <v>費用單位</v>
      </c>
      <c r="H4" s="37" t="str">
        <f>IFERROR(__xludf.DUMMYFUNCTION("""COMPUTED_VALUE"""),"費用類型")</f>
        <v>費用類型</v>
      </c>
      <c r="I4" s="37" t="str">
        <f>IFERROR(__xludf.DUMMYFUNCTION("""COMPUTED_VALUE"""),"#")</f>
        <v>#</v>
      </c>
      <c r="J4" s="37" t="str">
        <f>IFERROR(__xludf.DUMMYFUNCTION("""COMPUTED_VALUE"""),"通用/專用軟體
(共通費用)")</f>
        <v>通用/專用軟體
(共通費用)</v>
      </c>
      <c r="K4" s="37" t="str">
        <f>IFERROR(__xludf.DUMMYFUNCTION("""COMPUTED_VALUE"""),"尚未預付，但 2026 年應該會續約的項目")</f>
        <v>尚未預付，但 2026 年應該會續約的項目</v>
      </c>
      <c r="L4" s="37" t="str">
        <f>IFERROR(__xludf.DUMMYFUNCTION("""COMPUTED_VALUE"""),"Account")</f>
        <v>Account</v>
      </c>
      <c r="M4" s="37" t="str">
        <f>IFERROR(__xludf.DUMMYFUNCTION("""COMPUTED_VALUE"""),"Type")</f>
        <v>Type</v>
      </c>
      <c r="N4" s="48" t="str">
        <f>IFERROR(__xludf.DUMMYFUNCTION("""COMPUTED_VALUE"""),"Date")</f>
        <v>Date</v>
      </c>
      <c r="O4" s="37" t="str">
        <f>IFERROR(__xludf.DUMMYFUNCTION("""COMPUTED_VALUE"""),"Document Number")</f>
        <v>Document Number</v>
      </c>
      <c r="P4" s="37" t="str">
        <f>IFERROR(__xludf.DUMMYFUNCTION("""COMPUTED_VALUE"""),"Transaction Number")</f>
        <v>Transaction Number</v>
      </c>
      <c r="Q4" s="37" t="str">
        <f>IFERROR(__xludf.DUMMYFUNCTION("""COMPUTED_VALUE"""),"Name")</f>
        <v>Name</v>
      </c>
      <c r="R4" s="37" t="str">
        <f>IFERROR(__xludf.DUMMYFUNCTION("""COMPUTED_VALUE"""),"Vendor")</f>
        <v>Vendor</v>
      </c>
      <c r="S4" s="37" t="str">
        <f>IFERROR(__xludf.DUMMYFUNCTION("""COMPUTED_VALUE"""),"Vendor Name")</f>
        <v>Vendor Name</v>
      </c>
      <c r="T4" s="37" t="str">
        <f>IFERROR(__xludf.DUMMYFUNCTION("""COMPUTED_VALUE"""),"Memo")</f>
        <v>Memo</v>
      </c>
      <c r="U4" s="37" t="str">
        <f>IFERROR(__xludf.DUMMYFUNCTION("""COMPUTED_VALUE"""),"Description")</f>
        <v>Description</v>
      </c>
      <c r="V4" s="37" t="str">
        <f>IFERROR(__xludf.DUMMYFUNCTION("""COMPUTED_VALUE"""),"Currency")</f>
        <v>Currency</v>
      </c>
      <c r="W4" s="37" t="str">
        <f>IFERROR(__xludf.DUMMYFUNCTION("""COMPUTED_VALUE"""),"Amount (Foreign Currency)")</f>
        <v>Amount (Foreign Currency)</v>
      </c>
      <c r="X4" s="37" t="str">
        <f>IFERROR(__xludf.DUMMYFUNCTION("""COMPUTED_VALUE"""),"Exchange Rate")</f>
        <v>Exchange Rate</v>
      </c>
      <c r="Y4" s="37" t="str">
        <f>IFERROR(__xludf.DUMMYFUNCTION("""COMPUTED_VALUE"""),"未攤銷餘額")</f>
        <v>未攤銷餘額</v>
      </c>
      <c r="Z4" s="37" t="str">
        <f>IFERROR(__xludf.DUMMYFUNCTION("""COMPUTED_VALUE"""),"會計科目")</f>
        <v>會計科目</v>
      </c>
      <c r="AA4" s="37" t="str">
        <f>IFERROR(__xludf.DUMMYFUNCTION("""COMPUTED_VALUE"""),"2025
中心")</f>
        <v>2025
中心</v>
      </c>
      <c r="AB4" s="37" t="str">
        <f>IFERROR(__xludf.DUMMYFUNCTION("""COMPUTED_VALUE"""),"2025
Department")</f>
        <v>2025
Department</v>
      </c>
      <c r="AC4" s="37" t="str">
        <f>IFERROR(__xludf.DUMMYFUNCTION("""COMPUTED_VALUE"""),"2025
Product Line")</f>
        <v>2025
Product Line</v>
      </c>
      <c r="AD4" s="37" t="str">
        <f>IFERROR(__xludf.DUMMYFUNCTION("""COMPUTED_VALUE"""),"2025
KPID")</f>
        <v>2025
KPID</v>
      </c>
      <c r="AE4" s="37" t="str">
        <f>IFERROR(__xludf.DUMMYFUNCTION("""COMPUTED_VALUE"""),"2025
TAID")</f>
        <v>2025
TAID</v>
      </c>
      <c r="AF4" s="37" t="str">
        <f>IFERROR(__xludf.DUMMYFUNCTION("""COMPUTED_VALUE"""),"原預付總額")</f>
        <v>原預付總額</v>
      </c>
      <c r="AG4" s="37" t="str">
        <f>IFERROR(__xludf.DUMMYFUNCTION("""COMPUTED_VALUE"""),"攤提期數 (月)")</f>
        <v>攤提期數 (月)</v>
      </c>
      <c r="AH4" s="37" t="str">
        <f>IFERROR(__xludf.DUMMYFUNCTION("""COMPUTED_VALUE"""),"截至本月累計攤銷金額")</f>
        <v>截至本月累計攤銷金額</v>
      </c>
      <c r="AI4" s="37" t="str">
        <f>IFERROR(__xludf.DUMMYFUNCTION("""COMPUTED_VALUE"""),"截至前一年度累計數")</f>
        <v>截至前一年度累計數</v>
      </c>
      <c r="AJ4" s="37">
        <f>IFERROR(__xludf.DUMMYFUNCTION("""COMPUTED_VALUE"""),202501.0)</f>
        <v>202501</v>
      </c>
      <c r="AK4" s="37">
        <f>IFERROR(__xludf.DUMMYFUNCTION("""COMPUTED_VALUE"""),202502.0)</f>
        <v>202502</v>
      </c>
      <c r="AL4" s="37">
        <f>IFERROR(__xludf.DUMMYFUNCTION("""COMPUTED_VALUE"""),202503.0)</f>
        <v>202503</v>
      </c>
      <c r="AM4" s="37">
        <f>IFERROR(__xludf.DUMMYFUNCTION("""COMPUTED_VALUE"""),202504.0)</f>
        <v>202504</v>
      </c>
      <c r="AN4" s="37">
        <f>IFERROR(__xludf.DUMMYFUNCTION("""COMPUTED_VALUE"""),202505.0)</f>
        <v>202505</v>
      </c>
      <c r="AO4" s="37">
        <f>IFERROR(__xludf.DUMMYFUNCTION("""COMPUTED_VALUE"""),202506.0)</f>
        <v>202506</v>
      </c>
      <c r="AP4" s="37">
        <f>IFERROR(__xludf.DUMMYFUNCTION("""COMPUTED_VALUE"""),202507.0)</f>
        <v>202507</v>
      </c>
      <c r="AQ4" s="37">
        <f>IFERROR(__xludf.DUMMYFUNCTION("""COMPUTED_VALUE"""),202508.0)</f>
        <v>202508</v>
      </c>
      <c r="AR4" s="37">
        <f>IFERROR(__xludf.DUMMYFUNCTION("""COMPUTED_VALUE"""),202509.0)</f>
        <v>202509</v>
      </c>
      <c r="AS4" s="37">
        <f>IFERROR(__xludf.DUMMYFUNCTION("""COMPUTED_VALUE"""),202510.0)</f>
        <v>202510</v>
      </c>
      <c r="AT4" s="37">
        <f>IFERROR(__xludf.DUMMYFUNCTION("""COMPUTED_VALUE"""),202511.0)</f>
        <v>202511</v>
      </c>
      <c r="AU4" s="37">
        <f>IFERROR(__xludf.DUMMYFUNCTION("""COMPUTED_VALUE"""),202512.0)</f>
        <v>202512</v>
      </c>
      <c r="AV4" s="37">
        <f>IFERROR(__xludf.DUMMYFUNCTION("""COMPUTED_VALUE"""),202601.0)</f>
        <v>202601</v>
      </c>
      <c r="AW4" s="37">
        <f>IFERROR(__xludf.DUMMYFUNCTION("""COMPUTED_VALUE"""),202602.0)</f>
        <v>202602</v>
      </c>
      <c r="AX4" s="37">
        <f>IFERROR(__xludf.DUMMYFUNCTION("""COMPUTED_VALUE"""),202603.0)</f>
        <v>202603</v>
      </c>
      <c r="AY4" s="37">
        <f>IFERROR(__xludf.DUMMYFUNCTION("""COMPUTED_VALUE"""),202604.0)</f>
        <v>202604</v>
      </c>
      <c r="AZ4" s="37">
        <f>IFERROR(__xludf.DUMMYFUNCTION("""COMPUTED_VALUE"""),202605.0)</f>
        <v>202605</v>
      </c>
    </row>
    <row r="5">
      <c r="B5" s="37" t="str">
        <f>IFERROR(__xludf.DUMMYFUNCTION("""COMPUTED_VALUE"""),"TW")</f>
        <v>TW</v>
      </c>
      <c r="C5" s="37" t="str">
        <f>IFERROR(__xludf.DUMMYFUNCTION("""COMPUTED_VALUE"""),"Corporate")</f>
        <v>Corporate</v>
      </c>
      <c r="D5" s="37" t="str">
        <f>IFERROR(__xludf.DUMMYFUNCTION("""COMPUTED_VALUE"""),"Corporation")</f>
        <v>Corporation</v>
      </c>
      <c r="E5" s="37" t="str">
        <f>IFERROR(__xludf.DUMMYFUNCTION("""COMPUTED_VALUE"""),"Corporation")</f>
        <v>Corporation</v>
      </c>
      <c r="F5" s="37"/>
      <c r="G5" s="37"/>
      <c r="H5" s="37" t="str">
        <f>IFERROR(__xludf.DUMMYFUNCTION("""COMPUTED_VALUE"""),"人事費用")</f>
        <v>人事費用</v>
      </c>
      <c r="I5" s="37">
        <f>IFERROR(__xludf.DUMMYFUNCTION("""COMPUTED_VALUE"""),1.0)</f>
        <v>1</v>
      </c>
      <c r="J5" s="37"/>
      <c r="K5" s="37" t="str">
        <f>IFERROR(__xludf.DUMMYFUNCTION("""COMPUTED_VALUE"""),"Y")</f>
        <v>Y</v>
      </c>
      <c r="L5" s="37"/>
      <c r="M5" s="37" t="str">
        <f>IFERROR(__xludf.DUMMYFUNCTION("""COMPUTED_VALUE"""),"Bill")</f>
        <v>Bill</v>
      </c>
      <c r="N5" s="45">
        <f>IFERROR(__xludf.DUMMYFUNCTION("""COMPUTED_VALUE"""),44225.0)</f>
        <v>44225</v>
      </c>
      <c r="O5" s="37">
        <f>IFERROR(__xludf.DUMMYFUNCTION("""COMPUTED_VALUE"""),2429.0)</f>
        <v>2429</v>
      </c>
      <c r="P5" s="37"/>
      <c r="Q5" s="37"/>
      <c r="R5" s="37"/>
      <c r="S5" s="37"/>
      <c r="T5" s="37"/>
      <c r="U5" s="37" t="str">
        <f>IFERROR(__xludf.DUMMYFUNCTION("""COMPUTED_VALUE"""),"白永楨 11001 網域名稱註冊費 (2021/1/1-2025/12/31)	")</f>
        <v>白永楨 11001 網域名稱註冊費 (2021/1/1-2025/12/31)	</v>
      </c>
      <c r="V5" s="37"/>
      <c r="W5" s="37"/>
      <c r="X5" s="37"/>
      <c r="Y5" s="49">
        <f>IFERROR(__xludf.DUMMYFUNCTION("""COMPUTED_VALUE"""),1291.0)</f>
        <v>1291</v>
      </c>
      <c r="Z5" s="37">
        <f>IFERROR(__xludf.DUMMYFUNCTION("""COMPUTED_VALUE"""),613299.0)</f>
        <v>613299</v>
      </c>
      <c r="AA5" s="37" t="str">
        <f>IFERROR(__xludf.DUMMYFUNCTION("""COMPUTED_VALUE"""),"管理中心")</f>
        <v>管理中心</v>
      </c>
      <c r="AB5" s="48" t="str">
        <f>IFERROR(__xludf.DUMMYFUNCTION("""COMPUTED_VALUE"""),"執行長室 : 管理中心 : 資訊部")</f>
        <v>執行長室 : 管理中心 : 資訊部</v>
      </c>
      <c r="AC5" s="48" t="str">
        <f>IFERROR(__xludf.DUMMYFUNCTION("""COMPUTED_VALUE"""),"No_Product_Line")</f>
        <v>No_Product_Line</v>
      </c>
      <c r="AD5" s="48" t="str">
        <f>IFERROR(__xludf.DUMMYFUNCTION("""COMPUTED_VALUE"""),"Baseline")</f>
        <v>Baseline</v>
      </c>
      <c r="AE5" s="48" t="str">
        <f>IFERROR(__xludf.DUMMYFUNCTION("""COMPUTED_VALUE"""),"Baseline")</f>
        <v>Baseline</v>
      </c>
      <c r="AF5" s="49">
        <f>IFERROR(__xludf.DUMMYFUNCTION("""COMPUTED_VALUE"""),9461.0)</f>
        <v>9461</v>
      </c>
      <c r="AG5" s="49">
        <f>IFERROR(__xludf.DUMMYFUNCTION("""COMPUTED_VALUE"""),60.0)</f>
        <v>60</v>
      </c>
      <c r="AH5" s="49">
        <f>IFERROR(__xludf.DUMMYFUNCTION("""COMPUTED_VALUE"""),8170.0)</f>
        <v>8170</v>
      </c>
      <c r="AI5" s="49">
        <f>IFERROR(__xludf.DUMMYFUNCTION("""COMPUTED_VALUE"""),4300.0)</f>
        <v>4300</v>
      </c>
      <c r="AJ5" s="49">
        <f>IFERROR(__xludf.DUMMYFUNCTION("""COMPUTED_VALUE"""),430.0)</f>
        <v>430</v>
      </c>
      <c r="AK5" s="49">
        <f>IFERROR(__xludf.DUMMYFUNCTION("""COMPUTED_VALUE"""),430.0)</f>
        <v>430</v>
      </c>
      <c r="AL5" s="49">
        <f>IFERROR(__xludf.DUMMYFUNCTION("""COMPUTED_VALUE"""),430.0)</f>
        <v>430</v>
      </c>
      <c r="AM5" s="49">
        <f>IFERROR(__xludf.DUMMYFUNCTION("""COMPUTED_VALUE"""),430.0)</f>
        <v>430</v>
      </c>
      <c r="AN5" s="49">
        <f>IFERROR(__xludf.DUMMYFUNCTION("""COMPUTED_VALUE"""),430.0)</f>
        <v>430</v>
      </c>
      <c r="AO5" s="49">
        <f>IFERROR(__xludf.DUMMYFUNCTION("""COMPUTED_VALUE"""),430.0)</f>
        <v>430</v>
      </c>
      <c r="AP5" s="49">
        <f>IFERROR(__xludf.DUMMYFUNCTION("""COMPUTED_VALUE"""),430.0)</f>
        <v>430</v>
      </c>
      <c r="AQ5" s="49">
        <f>IFERROR(__xludf.DUMMYFUNCTION("""COMPUTED_VALUE"""),430.0)</f>
        <v>430</v>
      </c>
      <c r="AR5" s="49">
        <f>IFERROR(__xludf.DUMMYFUNCTION("""COMPUTED_VALUE"""),430.0)</f>
        <v>430</v>
      </c>
      <c r="AS5" s="49">
        <f>IFERROR(__xludf.DUMMYFUNCTION("""COMPUTED_VALUE"""),430.0)</f>
        <v>430</v>
      </c>
      <c r="AT5" s="49">
        <f>IFERROR(__xludf.DUMMYFUNCTION("""COMPUTED_VALUE"""),430.0)</f>
        <v>430</v>
      </c>
      <c r="AU5" s="49">
        <f>IFERROR(__xludf.DUMMYFUNCTION("""COMPUTED_VALUE"""),431.0)</f>
        <v>431</v>
      </c>
      <c r="AV5" s="37"/>
      <c r="AW5" s="37"/>
      <c r="AX5" s="37"/>
      <c r="AY5" s="37"/>
      <c r="AZ5" s="37"/>
    </row>
    <row r="6">
      <c r="B6" s="37"/>
      <c r="C6" s="37"/>
      <c r="D6" s="37"/>
      <c r="E6" s="37"/>
      <c r="F6" s="37"/>
      <c r="G6" s="37"/>
      <c r="H6" s="37"/>
      <c r="I6" s="37">
        <f>IFERROR(__xludf.DUMMYFUNCTION("""COMPUTED_VALUE"""),2.0)</f>
        <v>2</v>
      </c>
      <c r="J6" s="37"/>
      <c r="K6" s="37"/>
      <c r="L6" s="37"/>
      <c r="M6" s="37" t="str">
        <f>IFERROR(__xludf.DUMMYFUNCTION("""COMPUTED_VALUE"""),"Bill")</f>
        <v>Bill</v>
      </c>
      <c r="N6" s="45">
        <f>IFERROR(__xludf.DUMMYFUNCTION("""COMPUTED_VALUE"""),44914.0)</f>
        <v>44914</v>
      </c>
      <c r="O6" s="37">
        <f>IFERROR(__xludf.DUMMYFUNCTION("""COMPUTED_VALUE"""),4618.0)</f>
        <v>4618</v>
      </c>
      <c r="P6" s="37"/>
      <c r="Q6" s="37"/>
      <c r="R6" s="37"/>
      <c r="S6" s="37"/>
      <c r="T6" s="37"/>
      <c r="U6" s="37" t="str">
        <f>IFERROR(__xludf.DUMMYFUNCTION("""COMPUTED_VALUE"""),"瀛睿律師事務所 11111 美國專利「虛擬出單系統的實施方法」第3.5~7.5年年費 (111/12/10-115/12/9)        ")</f>
        <v>瀛睿律師事務所 11111 美國專利「虛擬出單系統的實施方法」第3.5~7.5年年費 (111/12/10-115/12/9)        </v>
      </c>
      <c r="V6" s="37"/>
      <c r="W6" s="37"/>
      <c r="X6" s="37"/>
      <c r="Y6" s="49">
        <f>IFERROR(__xludf.DUMMYFUNCTION("""COMPUTED_VALUE"""),21721.0)</f>
        <v>21721</v>
      </c>
      <c r="Z6" s="37">
        <f>IFERROR(__xludf.DUMMYFUNCTION("""COMPUTED_VALUE"""),613299.0)</f>
        <v>613299</v>
      </c>
      <c r="AA6" s="37" t="str">
        <f>IFERROR(__xludf.DUMMYFUNCTION("""COMPUTED_VALUE"""),"管理中心")</f>
        <v>管理中心</v>
      </c>
      <c r="AB6" s="48" t="str">
        <f>IFERROR(__xludf.DUMMYFUNCTION("""COMPUTED_VALUE"""),"執行長室 : 管理中心 : 法務部")</f>
        <v>執行長室 : 管理中心 : 法務部</v>
      </c>
      <c r="AC6" s="48" t="str">
        <f>IFERROR(__xludf.DUMMYFUNCTION("""COMPUTED_VALUE"""),"No_Product_Line")</f>
        <v>No_Product_Line</v>
      </c>
      <c r="AD6" s="48" t="str">
        <f>IFERROR(__xludf.DUMMYFUNCTION("""COMPUTED_VALUE"""),"Baseline")</f>
        <v>Baseline</v>
      </c>
      <c r="AE6" s="48" t="str">
        <f>IFERROR(__xludf.DUMMYFUNCTION("""COMPUTED_VALUE"""),"Baseline")</f>
        <v>Baseline</v>
      </c>
      <c r="AF6" s="49">
        <f>IFERROR(__xludf.DUMMYFUNCTION("""COMPUTED_VALUE"""),37300.0)</f>
        <v>37300</v>
      </c>
      <c r="AG6" s="49">
        <f>IFERROR(__xludf.DUMMYFUNCTION("""COMPUTED_VALUE"""),48.0)</f>
        <v>48</v>
      </c>
      <c r="AH6" s="49">
        <f>IFERROR(__xludf.DUMMYFUNCTION("""COMPUTED_VALUE"""),15579.0)</f>
        <v>15579</v>
      </c>
      <c r="AI6" s="49">
        <f>IFERROR(__xludf.DUMMYFUNCTION("""COMPUTED_VALUE"""),1611.0)</f>
        <v>1611</v>
      </c>
      <c r="AJ6" s="49">
        <f>IFERROR(__xludf.DUMMYFUNCTION("""COMPUTED_VALUE"""),1552.0)</f>
        <v>1552</v>
      </c>
      <c r="AK6" s="49">
        <f>IFERROR(__xludf.DUMMYFUNCTION("""COMPUTED_VALUE"""),1552.0)</f>
        <v>1552</v>
      </c>
      <c r="AL6" s="49">
        <f>IFERROR(__xludf.DUMMYFUNCTION("""COMPUTED_VALUE"""),1552.0)</f>
        <v>1552</v>
      </c>
      <c r="AM6" s="49">
        <f>IFERROR(__xludf.DUMMYFUNCTION("""COMPUTED_VALUE"""),1552.0)</f>
        <v>1552</v>
      </c>
      <c r="AN6" s="49">
        <f>IFERROR(__xludf.DUMMYFUNCTION("""COMPUTED_VALUE"""),1552.0)</f>
        <v>1552</v>
      </c>
      <c r="AO6" s="49">
        <f>IFERROR(__xludf.DUMMYFUNCTION("""COMPUTED_VALUE"""),1552.0)</f>
        <v>1552</v>
      </c>
      <c r="AP6" s="49">
        <f>IFERROR(__xludf.DUMMYFUNCTION("""COMPUTED_VALUE"""),1552.0)</f>
        <v>1552</v>
      </c>
      <c r="AQ6" s="49">
        <f>IFERROR(__xludf.DUMMYFUNCTION("""COMPUTED_VALUE"""),1552.0)</f>
        <v>1552</v>
      </c>
      <c r="AR6" s="49">
        <f>IFERROR(__xludf.DUMMYFUNCTION("""COMPUTED_VALUE"""),1552.0)</f>
        <v>1552</v>
      </c>
      <c r="AS6" s="49">
        <f>IFERROR(__xludf.DUMMYFUNCTION("""COMPUTED_VALUE"""),1552.0)</f>
        <v>1552</v>
      </c>
      <c r="AT6" s="49">
        <f>IFERROR(__xludf.DUMMYFUNCTION("""COMPUTED_VALUE"""),1552.0)</f>
        <v>1552</v>
      </c>
      <c r="AU6" s="49">
        <f>IFERROR(__xludf.DUMMYFUNCTION("""COMPUTED_VALUE"""),1552.0)</f>
        <v>1552</v>
      </c>
      <c r="AV6" s="49">
        <f>IFERROR(__xludf.DUMMYFUNCTION("""COMPUTED_VALUE"""),1552.0)</f>
        <v>1552</v>
      </c>
      <c r="AW6" s="49">
        <f>IFERROR(__xludf.DUMMYFUNCTION("""COMPUTED_VALUE"""),1552.0)</f>
        <v>1552</v>
      </c>
      <c r="AX6" s="49">
        <f>IFERROR(__xludf.DUMMYFUNCTION("""COMPUTED_VALUE"""),1552.0)</f>
        <v>1552</v>
      </c>
      <c r="AY6" s="49">
        <f>IFERROR(__xludf.DUMMYFUNCTION("""COMPUTED_VALUE"""),1552.0)</f>
        <v>1552</v>
      </c>
      <c r="AZ6" s="49">
        <f>IFERROR(__xludf.DUMMYFUNCTION("""COMPUTED_VALUE"""),1552.0)</f>
        <v>1552</v>
      </c>
    </row>
    <row r="7">
      <c r="B7" s="37"/>
      <c r="C7" s="37"/>
      <c r="D7" s="37"/>
      <c r="E7" s="37"/>
      <c r="F7" s="37"/>
      <c r="G7" s="37"/>
      <c r="H7" s="37"/>
      <c r="I7" s="37">
        <f>IFERROR(__xludf.DUMMYFUNCTION("""COMPUTED_VALUE"""),3.0)</f>
        <v>3</v>
      </c>
      <c r="J7" s="37" t="str">
        <f>IFERROR(__xludf.DUMMYFUNCTION("""COMPUTED_VALUE"""),"Y")</f>
        <v>Y</v>
      </c>
      <c r="K7" s="37" t="str">
        <f>IFERROR(__xludf.DUMMYFUNCTION("""COMPUTED_VALUE"""),"Y")</f>
        <v>Y</v>
      </c>
      <c r="L7" s="37"/>
      <c r="M7" s="37" t="str">
        <f>IFERROR(__xludf.DUMMYFUNCTION("""COMPUTED_VALUE"""),"Journal")</f>
        <v>Journal</v>
      </c>
      <c r="N7" s="45">
        <f>IFERROR(__xludf.DUMMYFUNCTION("""COMPUTED_VALUE"""),45576.0)</f>
        <v>45576</v>
      </c>
      <c r="O7" s="37">
        <f>IFERROR(__xludf.DUMMYFUNCTION("""COMPUTED_VALUE"""),14725.0)</f>
        <v>14725</v>
      </c>
      <c r="P7" s="37"/>
      <c r="Q7" s="37"/>
      <c r="R7" s="37"/>
      <c r="S7" s="37"/>
      <c r="T7" s="37"/>
      <c r="U7" s="37" t="str">
        <f>IFERROR(__xludf.DUMMYFUNCTION("""COMPUTED_VALUE"""),"凱鈿行動科技股份有限公司 202410 點點簽發票(20241009-20251008)(沖)ER4137")</f>
        <v>凱鈿行動科技股份有限公司 202410 點點簽發票(20241009-20251008)(沖)ER4137</v>
      </c>
      <c r="V7" s="37"/>
      <c r="W7" s="37"/>
      <c r="X7" s="37"/>
      <c r="Y7" s="49">
        <f>IFERROR(__xludf.DUMMYFUNCTION("""COMPUTED_VALUE"""),0.0)</f>
        <v>0</v>
      </c>
      <c r="Z7" s="37">
        <f>IFERROR(__xludf.DUMMYFUNCTION("""COMPUTED_VALUE"""),603201.0)</f>
        <v>603201</v>
      </c>
      <c r="AA7" s="37" t="str">
        <f>IFERROR(__xludf.DUMMYFUNCTION("""COMPUTED_VALUE"""),"行銷營運中心")</f>
        <v>行銷營運中心</v>
      </c>
      <c r="AB7" s="48" t="str">
        <f>IFERROR(__xludf.DUMMYFUNCTION("""COMPUTED_VALUE"""),"執行長室 : 行銷營運中心 : 銷售營運部 : 成交營運團隊")</f>
        <v>執行長室 : 行銷營運中心 : 銷售營運部 : 成交營運團隊</v>
      </c>
      <c r="AC7" s="48" t="str">
        <f>IFERROR(__xludf.DUMMYFUNCTION("""COMPUTED_VALUE"""),"No_Product_Line")</f>
        <v>No_Product_Line</v>
      </c>
      <c r="AD7" s="48" t="str">
        <f>IFERROR(__xludf.DUMMYFUNCTION("""COMPUTED_VALUE"""),"Baseline")</f>
        <v>Baseline</v>
      </c>
      <c r="AE7" s="48" t="str">
        <f>IFERROR(__xludf.DUMMYFUNCTION("""COMPUTED_VALUE"""),"Baseline")</f>
        <v>Baseline</v>
      </c>
      <c r="AF7" s="49">
        <f>IFERROR(__xludf.DUMMYFUNCTION("""COMPUTED_VALUE"""),15429.0)</f>
        <v>15429</v>
      </c>
      <c r="AG7" s="49">
        <f>IFERROR(__xludf.DUMMYFUNCTION("""COMPUTED_VALUE"""),12.0)</f>
        <v>12</v>
      </c>
      <c r="AH7" s="49">
        <f>IFERROR(__xludf.DUMMYFUNCTION("""COMPUTED_VALUE"""),15429.0)</f>
        <v>15429</v>
      </c>
      <c r="AI7" s="49">
        <f>IFERROR(__xludf.DUMMYFUNCTION("""COMPUTED_VALUE"""),3861.0)</f>
        <v>3861</v>
      </c>
      <c r="AJ7" s="49">
        <f>IFERROR(__xludf.DUMMYFUNCTION("""COMPUTED_VALUE"""),1285.0)</f>
        <v>1285</v>
      </c>
      <c r="AK7" s="49">
        <f>IFERROR(__xludf.DUMMYFUNCTION("""COMPUTED_VALUE"""),1285.0)</f>
        <v>1285</v>
      </c>
      <c r="AL7" s="49">
        <f>IFERROR(__xludf.DUMMYFUNCTION("""COMPUTED_VALUE"""),1285.0)</f>
        <v>1285</v>
      </c>
      <c r="AM7" s="49">
        <f>IFERROR(__xludf.DUMMYFUNCTION("""COMPUTED_VALUE"""),1285.0)</f>
        <v>1285</v>
      </c>
      <c r="AN7" s="49">
        <f>IFERROR(__xludf.DUMMYFUNCTION("""COMPUTED_VALUE"""),1285.0)</f>
        <v>1285</v>
      </c>
      <c r="AO7" s="49">
        <f>IFERROR(__xludf.DUMMYFUNCTION("""COMPUTED_VALUE"""),1285.0)</f>
        <v>1285</v>
      </c>
      <c r="AP7" s="49">
        <f>IFERROR(__xludf.DUMMYFUNCTION("""COMPUTED_VALUE"""),1285.0)</f>
        <v>1285</v>
      </c>
      <c r="AQ7" s="49">
        <f>IFERROR(__xludf.DUMMYFUNCTION("""COMPUTED_VALUE"""),1285.0)</f>
        <v>1285</v>
      </c>
      <c r="AR7" s="49">
        <f>IFERROR(__xludf.DUMMYFUNCTION("""COMPUTED_VALUE"""),1288.0)</f>
        <v>1288</v>
      </c>
      <c r="AS7" s="37"/>
      <c r="AT7" s="37"/>
      <c r="AU7" s="37"/>
      <c r="AV7" s="37"/>
      <c r="AW7" s="37"/>
      <c r="AX7" s="37"/>
      <c r="AY7" s="37"/>
      <c r="AZ7" s="37"/>
    </row>
    <row r="8">
      <c r="B8" s="37"/>
      <c r="C8" s="37"/>
      <c r="D8" s="37"/>
      <c r="E8" s="37"/>
      <c r="F8" s="37"/>
      <c r="G8" s="37"/>
      <c r="H8" s="37"/>
      <c r="I8" s="37">
        <f>IFERROR(__xludf.DUMMYFUNCTION("""COMPUTED_VALUE"""),4.0)</f>
        <v>4</v>
      </c>
      <c r="J8" s="37"/>
      <c r="K8" s="37" t="str">
        <f>IFERROR(__xludf.DUMMYFUNCTION("""COMPUTED_VALUE"""),"Y")</f>
        <v>Y</v>
      </c>
      <c r="L8" s="37"/>
      <c r="M8" s="37" t="str">
        <f>IFERROR(__xludf.DUMMYFUNCTION("""COMPUTED_VALUE"""),"Journal")</f>
        <v>Journal</v>
      </c>
      <c r="N8" s="45">
        <f>IFERROR(__xludf.DUMMYFUNCTION("""COMPUTED_VALUE"""),45596.0)</f>
        <v>45596</v>
      </c>
      <c r="O8" s="37">
        <f>IFERROR(__xludf.DUMMYFUNCTION("""COMPUTED_VALUE"""),14846.0)</f>
        <v>14846</v>
      </c>
      <c r="P8" s="37"/>
      <c r="Q8" s="37"/>
      <c r="R8" s="37"/>
      <c r="S8" s="37"/>
      <c r="T8" s="37"/>
      <c r="U8" s="37" t="str">
        <f>IFERROR(__xludf.DUMMYFUNCTION("""COMPUTED_VALUE"""),"資廚管理顧問股份有限公司(公司卡)_202410_Zapier Team 20K (yearly)方案，占總額 3%(20241004-20251003)(沖)ER4162")</f>
        <v>資廚管理顧問股份有限公司(公司卡)_202410_Zapier Team 20K (yearly)方案，占總額 3%(20241004-20251003)(沖)ER4162</v>
      </c>
      <c r="V8" s="37"/>
      <c r="W8" s="37"/>
      <c r="X8" s="37"/>
      <c r="Y8" s="49">
        <f>IFERROR(__xludf.DUMMYFUNCTION("""COMPUTED_VALUE"""),0.0)</f>
        <v>0</v>
      </c>
      <c r="Z8" s="37">
        <f>IFERROR(__xludf.DUMMYFUNCTION("""COMPUTED_VALUE"""),603201.0)</f>
        <v>603201</v>
      </c>
      <c r="AA8" s="37" t="str">
        <f>IFERROR(__xludf.DUMMYFUNCTION("""COMPUTED_VALUE"""),"行銷營運中心")</f>
        <v>行銷營運中心</v>
      </c>
      <c r="AB8" s="48" t="str">
        <f>IFERROR(__xludf.DUMMYFUNCTION("""COMPUTED_VALUE"""),"執行長室 : 行銷營運中心 : 產品行銷部")</f>
        <v>執行長室 : 行銷營運中心 : 產品行銷部</v>
      </c>
      <c r="AC8" s="48" t="str">
        <f>IFERROR(__xludf.DUMMYFUNCTION("""COMPUTED_VALUE"""),"No_Product_Line")</f>
        <v>No_Product_Line</v>
      </c>
      <c r="AD8" s="48" t="str">
        <f>IFERROR(__xludf.DUMMYFUNCTION("""COMPUTED_VALUE"""),"Baseline")</f>
        <v>Baseline</v>
      </c>
      <c r="AE8" s="48" t="str">
        <f>IFERROR(__xludf.DUMMYFUNCTION("""COMPUTED_VALUE"""),"Baseline")</f>
        <v>Baseline</v>
      </c>
      <c r="AF8" s="49">
        <f>IFERROR(__xludf.DUMMYFUNCTION("""COMPUTED_VALUE"""),2476.0)</f>
        <v>2476</v>
      </c>
      <c r="AG8" s="49">
        <f>IFERROR(__xludf.DUMMYFUNCTION("""COMPUTED_VALUE"""),12.0)</f>
        <v>12</v>
      </c>
      <c r="AH8" s="49">
        <f>IFERROR(__xludf.DUMMYFUNCTION("""COMPUTED_VALUE"""),2476.0)</f>
        <v>2476</v>
      </c>
      <c r="AI8" s="49">
        <f>IFERROR(__xludf.DUMMYFUNCTION("""COMPUTED_VALUE"""),619.0)</f>
        <v>619</v>
      </c>
      <c r="AJ8" s="49">
        <f>IFERROR(__xludf.DUMMYFUNCTION("""COMPUTED_VALUE"""),206.0)</f>
        <v>206</v>
      </c>
      <c r="AK8" s="49">
        <f>IFERROR(__xludf.DUMMYFUNCTION("""COMPUTED_VALUE"""),206.0)</f>
        <v>206</v>
      </c>
      <c r="AL8" s="49">
        <f>IFERROR(__xludf.DUMMYFUNCTION("""COMPUTED_VALUE"""),206.0)</f>
        <v>206</v>
      </c>
      <c r="AM8" s="49">
        <f>IFERROR(__xludf.DUMMYFUNCTION("""COMPUTED_VALUE"""),206.0)</f>
        <v>206</v>
      </c>
      <c r="AN8" s="49">
        <f>IFERROR(__xludf.DUMMYFUNCTION("""COMPUTED_VALUE"""),206.0)</f>
        <v>206</v>
      </c>
      <c r="AO8" s="49">
        <f>IFERROR(__xludf.DUMMYFUNCTION("""COMPUTED_VALUE"""),206.0)</f>
        <v>206</v>
      </c>
      <c r="AP8" s="49">
        <f>IFERROR(__xludf.DUMMYFUNCTION("""COMPUTED_VALUE"""),206.0)</f>
        <v>206</v>
      </c>
      <c r="AQ8" s="49">
        <f>IFERROR(__xludf.DUMMYFUNCTION("""COMPUTED_VALUE"""),206.0)</f>
        <v>206</v>
      </c>
      <c r="AR8" s="49">
        <f>IFERROR(__xludf.DUMMYFUNCTION("""COMPUTED_VALUE"""),209.0)</f>
        <v>209</v>
      </c>
      <c r="AS8" s="37"/>
      <c r="AT8" s="37"/>
      <c r="AU8" s="37"/>
      <c r="AV8" s="37"/>
      <c r="AW8" s="37"/>
      <c r="AX8" s="37"/>
      <c r="AY8" s="37"/>
      <c r="AZ8" s="37"/>
    </row>
    <row r="9">
      <c r="B9" s="37"/>
      <c r="C9" s="37"/>
      <c r="D9" s="37"/>
      <c r="E9" s="37"/>
      <c r="F9" s="37"/>
      <c r="G9" s="37"/>
      <c r="H9" s="37"/>
      <c r="I9" s="37">
        <f>IFERROR(__xludf.DUMMYFUNCTION("""COMPUTED_VALUE"""),5.0)</f>
        <v>5</v>
      </c>
      <c r="J9" s="37"/>
      <c r="K9" s="37" t="str">
        <f>IFERROR(__xludf.DUMMYFUNCTION("""COMPUTED_VALUE"""),"Y")</f>
        <v>Y</v>
      </c>
      <c r="L9" s="37"/>
      <c r="M9" s="37" t="str">
        <f>IFERROR(__xludf.DUMMYFUNCTION("""COMPUTED_VALUE"""),"Journal")</f>
        <v>Journal</v>
      </c>
      <c r="N9" s="45">
        <f>IFERROR(__xludf.DUMMYFUNCTION("""COMPUTED_VALUE"""),45596.0)</f>
        <v>45596</v>
      </c>
      <c r="O9" s="37">
        <f>IFERROR(__xludf.DUMMYFUNCTION("""COMPUTED_VALUE"""),14846.0)</f>
        <v>14846</v>
      </c>
      <c r="P9" s="37"/>
      <c r="Q9" s="37"/>
      <c r="R9" s="37"/>
      <c r="S9" s="37"/>
      <c r="T9" s="37"/>
      <c r="U9" s="37" t="str">
        <f>IFERROR(__xludf.DUMMYFUNCTION("""COMPUTED_VALUE"""),"SpeedCurve_202410_網頁效能監測工具(年繳)(20241007-20251007)(沖)ER4174")</f>
        <v>SpeedCurve_202410_網頁效能監測工具(年繳)(20241007-20251007)(沖)ER4174</v>
      </c>
      <c r="V9" s="37"/>
      <c r="W9" s="37"/>
      <c r="X9" s="37"/>
      <c r="Y9" s="49">
        <f>IFERROR(__xludf.DUMMYFUNCTION("""COMPUTED_VALUE"""),0.0)</f>
        <v>0</v>
      </c>
      <c r="Z9" s="37">
        <f>IFERROR(__xludf.DUMMYFUNCTION("""COMPUTED_VALUE"""),520001.0)</f>
        <v>520001</v>
      </c>
      <c r="AA9" s="37" t="str">
        <f>IFERROR(__xludf.DUMMYFUNCTION("""COMPUTED_VALUE"""),"行銷營運中心")</f>
        <v>行銷營運中心</v>
      </c>
      <c r="AB9" s="48" t="str">
        <f>IFERROR(__xludf.DUMMYFUNCTION("""COMPUTED_VALUE"""),"執行長室 : 行銷營運中心 : 產品行銷部")</f>
        <v>執行長室 : 行銷營運中心 : 產品行銷部</v>
      </c>
      <c r="AC9" s="48" t="str">
        <f>IFERROR(__xludf.DUMMYFUNCTION("""COMPUTED_VALUE"""),"No_Product_Line")</f>
        <v>No_Product_Line</v>
      </c>
      <c r="AD9" s="48" t="str">
        <f>IFERROR(__xludf.DUMMYFUNCTION("""COMPUTED_VALUE"""),"Baseline")</f>
        <v>Baseline</v>
      </c>
      <c r="AE9" s="48" t="str">
        <f>IFERROR(__xludf.DUMMYFUNCTION("""COMPUTED_VALUE"""),"Baseline")</f>
        <v>Baseline</v>
      </c>
      <c r="AF9" s="49">
        <f>IFERROR(__xludf.DUMMYFUNCTION("""COMPUTED_VALUE"""),4658.0)</f>
        <v>4658</v>
      </c>
      <c r="AG9" s="49">
        <f>IFERROR(__xludf.DUMMYFUNCTION("""COMPUTED_VALUE"""),12.0)</f>
        <v>12</v>
      </c>
      <c r="AH9" s="49">
        <f>IFERROR(__xludf.DUMMYFUNCTION("""COMPUTED_VALUE"""),4658.0)</f>
        <v>4658</v>
      </c>
      <c r="AI9" s="49">
        <f>IFERROR(__xludf.DUMMYFUNCTION("""COMPUTED_VALUE"""),1166.0)</f>
        <v>1166</v>
      </c>
      <c r="AJ9" s="49">
        <f>IFERROR(__xludf.DUMMYFUNCTION("""COMPUTED_VALUE"""),388.0)</f>
        <v>388</v>
      </c>
      <c r="AK9" s="49">
        <f>IFERROR(__xludf.DUMMYFUNCTION("""COMPUTED_VALUE"""),388.0)</f>
        <v>388</v>
      </c>
      <c r="AL9" s="49">
        <f>IFERROR(__xludf.DUMMYFUNCTION("""COMPUTED_VALUE"""),388.0)</f>
        <v>388</v>
      </c>
      <c r="AM9" s="49">
        <f>IFERROR(__xludf.DUMMYFUNCTION("""COMPUTED_VALUE"""),388.0)</f>
        <v>388</v>
      </c>
      <c r="AN9" s="49">
        <f>IFERROR(__xludf.DUMMYFUNCTION("""COMPUTED_VALUE"""),388.0)</f>
        <v>388</v>
      </c>
      <c r="AO9" s="49">
        <f>IFERROR(__xludf.DUMMYFUNCTION("""COMPUTED_VALUE"""),388.0)</f>
        <v>388</v>
      </c>
      <c r="AP9" s="49">
        <f>IFERROR(__xludf.DUMMYFUNCTION("""COMPUTED_VALUE"""),388.0)</f>
        <v>388</v>
      </c>
      <c r="AQ9" s="49">
        <f>IFERROR(__xludf.DUMMYFUNCTION("""COMPUTED_VALUE"""),388.0)</f>
        <v>388</v>
      </c>
      <c r="AR9" s="49">
        <f>IFERROR(__xludf.DUMMYFUNCTION("""COMPUTED_VALUE"""),388.0)</f>
        <v>388</v>
      </c>
      <c r="AS9" s="37"/>
      <c r="AT9" s="37"/>
      <c r="AU9" s="37"/>
      <c r="AV9" s="37"/>
      <c r="AW9" s="37"/>
      <c r="AX9" s="37"/>
      <c r="AY9" s="37"/>
      <c r="AZ9" s="37"/>
    </row>
    <row r="10">
      <c r="B10" s="37"/>
      <c r="C10" s="37"/>
      <c r="D10" s="37"/>
      <c r="E10" s="37"/>
      <c r="F10" s="37"/>
      <c r="G10" s="37"/>
      <c r="H10" s="37"/>
      <c r="I10" s="37">
        <f>IFERROR(__xludf.DUMMYFUNCTION("""COMPUTED_VALUE"""),6.0)</f>
        <v>6</v>
      </c>
      <c r="J10" s="37"/>
      <c r="K10" s="37" t="str">
        <f>IFERROR(__xludf.DUMMYFUNCTION("""COMPUTED_VALUE"""),"Y")</f>
        <v>Y</v>
      </c>
      <c r="L10" s="37"/>
      <c r="M10" s="37" t="str">
        <f>IFERROR(__xludf.DUMMYFUNCTION("""COMPUTED_VALUE"""),"Journal")</f>
        <v>Journal</v>
      </c>
      <c r="N10" s="45">
        <f>IFERROR(__xludf.DUMMYFUNCTION("""COMPUTED_VALUE"""),45596.0)</f>
        <v>45596</v>
      </c>
      <c r="O10" s="37">
        <f>IFERROR(__xludf.DUMMYFUNCTION("""COMPUTED_VALUE"""),14846.0)</f>
        <v>14846</v>
      </c>
      <c r="P10" s="37"/>
      <c r="Q10" s="37"/>
      <c r="R10" s="37"/>
      <c r="S10" s="37"/>
      <c r="T10" s="37"/>
      <c r="U10" s="37" t="str">
        <f>IFERROR(__xludf.DUMMYFUNCTION("""COMPUTED_VALUE"""),"公司卡_202410_網站系統年費_icheftw.squarespace.com(20241018-20251018)(沖)ER4230")</f>
        <v>公司卡_202410_網站系統年費_icheftw.squarespace.com(20241018-20251018)(沖)ER4230</v>
      </c>
      <c r="V10" s="37"/>
      <c r="W10" s="37"/>
      <c r="X10" s="37"/>
      <c r="Y10" s="49">
        <f>IFERROR(__xludf.DUMMYFUNCTION("""COMPUTED_VALUE"""),0.0)</f>
        <v>0</v>
      </c>
      <c r="Z10" s="37">
        <f>IFERROR(__xludf.DUMMYFUNCTION("""COMPUTED_VALUE"""),603201.0)</f>
        <v>603201</v>
      </c>
      <c r="AA10" s="37" t="str">
        <f>IFERROR(__xludf.DUMMYFUNCTION("""COMPUTED_VALUE"""),"行銷營運中心")</f>
        <v>行銷營運中心</v>
      </c>
      <c r="AB10" s="48" t="str">
        <f>IFERROR(__xludf.DUMMYFUNCTION("""COMPUTED_VALUE"""),"執行長室 : 行銷營運中心 : 產品行銷部")</f>
        <v>執行長室 : 行銷營運中心 : 產品行銷部</v>
      </c>
      <c r="AC10" s="48" t="str">
        <f>IFERROR(__xludf.DUMMYFUNCTION("""COMPUTED_VALUE"""),"No_Product_Line")</f>
        <v>No_Product_Line</v>
      </c>
      <c r="AD10" s="48" t="str">
        <f>IFERROR(__xludf.DUMMYFUNCTION("""COMPUTED_VALUE"""),"Baseline")</f>
        <v>Baseline</v>
      </c>
      <c r="AE10" s="48" t="str">
        <f>IFERROR(__xludf.DUMMYFUNCTION("""COMPUTED_VALUE"""),"Baseline")</f>
        <v>Baseline</v>
      </c>
      <c r="AF10" s="49">
        <f>IFERROR(__xludf.DUMMYFUNCTION("""COMPUTED_VALUE"""),8850.0)</f>
        <v>8850</v>
      </c>
      <c r="AG10" s="49">
        <f>IFERROR(__xludf.DUMMYFUNCTION("""COMPUTED_VALUE"""),12.0)</f>
        <v>12</v>
      </c>
      <c r="AH10" s="49">
        <f>IFERROR(__xludf.DUMMYFUNCTION("""COMPUTED_VALUE"""),8850.0)</f>
        <v>8850</v>
      </c>
      <c r="AI10" s="49">
        <f>IFERROR(__xludf.DUMMYFUNCTION("""COMPUTED_VALUE"""),2215.0)</f>
        <v>2215</v>
      </c>
      <c r="AJ10" s="49">
        <f>IFERROR(__xludf.DUMMYFUNCTION("""COMPUTED_VALUE"""),737.0)</f>
        <v>737</v>
      </c>
      <c r="AK10" s="49">
        <f>IFERROR(__xludf.DUMMYFUNCTION("""COMPUTED_VALUE"""),737.0)</f>
        <v>737</v>
      </c>
      <c r="AL10" s="49">
        <f>IFERROR(__xludf.DUMMYFUNCTION("""COMPUTED_VALUE"""),737.0)</f>
        <v>737</v>
      </c>
      <c r="AM10" s="49">
        <f>IFERROR(__xludf.DUMMYFUNCTION("""COMPUTED_VALUE"""),737.0)</f>
        <v>737</v>
      </c>
      <c r="AN10" s="49">
        <f>IFERROR(__xludf.DUMMYFUNCTION("""COMPUTED_VALUE"""),737.0)</f>
        <v>737</v>
      </c>
      <c r="AO10" s="49">
        <f>IFERROR(__xludf.DUMMYFUNCTION("""COMPUTED_VALUE"""),737.0)</f>
        <v>737</v>
      </c>
      <c r="AP10" s="49">
        <f>IFERROR(__xludf.DUMMYFUNCTION("""COMPUTED_VALUE"""),737.0)</f>
        <v>737</v>
      </c>
      <c r="AQ10" s="49">
        <f>IFERROR(__xludf.DUMMYFUNCTION("""COMPUTED_VALUE"""),737.0)</f>
        <v>737</v>
      </c>
      <c r="AR10" s="49">
        <f>IFERROR(__xludf.DUMMYFUNCTION("""COMPUTED_VALUE"""),739.0)</f>
        <v>739</v>
      </c>
      <c r="AS10" s="37"/>
      <c r="AT10" s="37"/>
      <c r="AU10" s="37"/>
      <c r="AV10" s="37"/>
      <c r="AW10" s="37"/>
      <c r="AX10" s="37"/>
      <c r="AY10" s="37"/>
      <c r="AZ10" s="37"/>
    </row>
    <row r="11">
      <c r="B11" s="37"/>
      <c r="C11" s="37"/>
      <c r="D11" s="37"/>
      <c r="E11" s="37"/>
      <c r="F11" s="37"/>
      <c r="G11" s="37"/>
      <c r="H11" s="37"/>
      <c r="I11" s="37">
        <f>IFERROR(__xludf.DUMMYFUNCTION("""COMPUTED_VALUE"""),7.0)</f>
        <v>7</v>
      </c>
      <c r="J11" s="37"/>
      <c r="K11" s="37" t="str">
        <f>IFERROR(__xludf.DUMMYFUNCTION("""COMPUTED_VALUE"""),"Y")</f>
        <v>Y</v>
      </c>
      <c r="L11" s="37"/>
      <c r="M11" s="37" t="str">
        <f>IFERROR(__xludf.DUMMYFUNCTION("""COMPUTED_VALUE"""),"Journal")</f>
        <v>Journal</v>
      </c>
      <c r="N11" s="45">
        <f>IFERROR(__xludf.DUMMYFUNCTION("""COMPUTED_VALUE"""),45596.0)</f>
        <v>45596</v>
      </c>
      <c r="O11" s="37">
        <f>IFERROR(__xludf.DUMMYFUNCTION("""COMPUTED_VALUE"""),14846.0)</f>
        <v>14846</v>
      </c>
      <c r="P11" s="37"/>
      <c r="Q11" s="37"/>
      <c r="R11" s="37"/>
      <c r="S11" s="37"/>
      <c r="T11" s="37"/>
      <c r="U11" s="37" t="str">
        <f>IFERROR(__xludf.DUMMYFUNCTION("""COMPUTED_VALUE"""),"資廚管理顧問股份有限公司(公司卡)_202410_Zapier Team 20K (yearly)方案，占總額 23%(20241004-20251003)(沖)ER4162")</f>
        <v>資廚管理顧問股份有限公司(公司卡)_202410_Zapier Team 20K (yearly)方案，占總額 23%(20241004-20251003)(沖)ER4162</v>
      </c>
      <c r="V11" s="37"/>
      <c r="W11" s="37"/>
      <c r="X11" s="37"/>
      <c r="Y11" s="49">
        <f>IFERROR(__xludf.DUMMYFUNCTION("""COMPUTED_VALUE"""),0.0)</f>
        <v>0</v>
      </c>
      <c r="Z11" s="37">
        <f>IFERROR(__xludf.DUMMYFUNCTION("""COMPUTED_VALUE"""),603201.0)</f>
        <v>603201</v>
      </c>
      <c r="AA11" s="37" t="str">
        <f>IFERROR(__xludf.DUMMYFUNCTION("""COMPUTED_VALUE"""),"行銷營運中心")</f>
        <v>行銷營運中心</v>
      </c>
      <c r="AB11" s="48" t="str">
        <f>IFERROR(__xludf.DUMMYFUNCTION("""COMPUTED_VALUE"""),"執行長室 : 行銷營運中心 : 產品行銷部")</f>
        <v>執行長室 : 行銷營運中心 : 產品行銷部</v>
      </c>
      <c r="AC11" s="48" t="str">
        <f>IFERROR(__xludf.DUMMYFUNCTION("""COMPUTED_VALUE"""),"No_Product_Line")</f>
        <v>No_Product_Line</v>
      </c>
      <c r="AD11" s="48" t="str">
        <f>IFERROR(__xludf.DUMMYFUNCTION("""COMPUTED_VALUE"""),"Baseline")</f>
        <v>Baseline</v>
      </c>
      <c r="AE11" s="48" t="str">
        <f>IFERROR(__xludf.DUMMYFUNCTION("""COMPUTED_VALUE"""),"Baseline")</f>
        <v>Baseline</v>
      </c>
      <c r="AF11" s="49">
        <f>IFERROR(__xludf.DUMMYFUNCTION("""COMPUTED_VALUE"""),18981.0)</f>
        <v>18981</v>
      </c>
      <c r="AG11" s="49">
        <f>IFERROR(__xludf.DUMMYFUNCTION("""COMPUTED_VALUE"""),12.0)</f>
        <v>12</v>
      </c>
      <c r="AH11" s="49">
        <f>IFERROR(__xludf.DUMMYFUNCTION("""COMPUTED_VALUE"""),18981.0)</f>
        <v>18981</v>
      </c>
      <c r="AI11" s="49">
        <f>IFERROR(__xludf.DUMMYFUNCTION("""COMPUTED_VALUE"""),4751.0)</f>
        <v>4751</v>
      </c>
      <c r="AJ11" s="49">
        <f>IFERROR(__xludf.DUMMYFUNCTION("""COMPUTED_VALUE"""),1581.0)</f>
        <v>1581</v>
      </c>
      <c r="AK11" s="49">
        <f>IFERROR(__xludf.DUMMYFUNCTION("""COMPUTED_VALUE"""),1581.0)</f>
        <v>1581</v>
      </c>
      <c r="AL11" s="49">
        <f>IFERROR(__xludf.DUMMYFUNCTION("""COMPUTED_VALUE"""),1581.0)</f>
        <v>1581</v>
      </c>
      <c r="AM11" s="49">
        <f>IFERROR(__xludf.DUMMYFUNCTION("""COMPUTED_VALUE"""),1581.0)</f>
        <v>1581</v>
      </c>
      <c r="AN11" s="49">
        <f>IFERROR(__xludf.DUMMYFUNCTION("""COMPUTED_VALUE"""),1581.0)</f>
        <v>1581</v>
      </c>
      <c r="AO11" s="49">
        <f>IFERROR(__xludf.DUMMYFUNCTION("""COMPUTED_VALUE"""),1581.0)</f>
        <v>1581</v>
      </c>
      <c r="AP11" s="49">
        <f>IFERROR(__xludf.DUMMYFUNCTION("""COMPUTED_VALUE"""),1581.0)</f>
        <v>1581</v>
      </c>
      <c r="AQ11" s="49">
        <f>IFERROR(__xludf.DUMMYFUNCTION("""COMPUTED_VALUE"""),1581.0)</f>
        <v>1581</v>
      </c>
      <c r="AR11" s="49">
        <f>IFERROR(__xludf.DUMMYFUNCTION("""COMPUTED_VALUE"""),1582.0)</f>
        <v>1582</v>
      </c>
      <c r="AS11" s="37"/>
      <c r="AT11" s="37"/>
      <c r="AU11" s="37"/>
      <c r="AV11" s="37"/>
      <c r="AW11" s="37"/>
      <c r="AX11" s="37"/>
      <c r="AY11" s="37"/>
      <c r="AZ11" s="37"/>
    </row>
    <row r="12">
      <c r="B12" s="37"/>
      <c r="C12" s="37"/>
      <c r="D12" s="37"/>
      <c r="E12" s="37"/>
      <c r="F12" s="37"/>
      <c r="G12" s="37"/>
      <c r="H12" s="37"/>
      <c r="I12" s="37">
        <f>IFERROR(__xludf.DUMMYFUNCTION("""COMPUTED_VALUE"""),8.0)</f>
        <v>8</v>
      </c>
      <c r="J12" s="37"/>
      <c r="K12" s="37" t="str">
        <f>IFERROR(__xludf.DUMMYFUNCTION("""COMPUTED_VALUE"""),"Y")</f>
        <v>Y</v>
      </c>
      <c r="L12" s="37"/>
      <c r="M12" s="37" t="str">
        <f>IFERROR(__xludf.DUMMYFUNCTION("""COMPUTED_VALUE"""),"Journal")</f>
        <v>Journal</v>
      </c>
      <c r="N12" s="45">
        <f>IFERROR(__xludf.DUMMYFUNCTION("""COMPUTED_VALUE"""),45596.0)</f>
        <v>45596</v>
      </c>
      <c r="O12" s="37">
        <f>IFERROR(__xludf.DUMMYFUNCTION("""COMPUTED_VALUE"""),14846.0)</f>
        <v>14846</v>
      </c>
      <c r="P12" s="37"/>
      <c r="Q12" s="37"/>
      <c r="R12" s="37"/>
      <c r="S12" s="37"/>
      <c r="T12" s="37"/>
      <c r="U12" s="37" t="str">
        <f>IFERROR(__xludf.DUMMYFUNCTION("""COMPUTED_VALUE"""),"資廚管理顧問股份有限公司(公司卡)_202410_Zapier Team 20K (yearly)方案，占總額 74%(20241004-20251003)(沖)ER4162")</f>
        <v>資廚管理顧問股份有限公司(公司卡)_202410_Zapier Team 20K (yearly)方案，占總額 74%(20241004-20251003)(沖)ER4162</v>
      </c>
      <c r="V12" s="37"/>
      <c r="W12" s="37"/>
      <c r="X12" s="37"/>
      <c r="Y12" s="49">
        <f>IFERROR(__xludf.DUMMYFUNCTION("""COMPUTED_VALUE"""),0.0)</f>
        <v>0</v>
      </c>
      <c r="Z12" s="37">
        <f>IFERROR(__xludf.DUMMYFUNCTION("""COMPUTED_VALUE"""),623201.0)</f>
        <v>623201</v>
      </c>
      <c r="AA12" s="37" t="str">
        <f>IFERROR(__xludf.DUMMYFUNCTION("""COMPUTED_VALUE"""),"行銷營運中心")</f>
        <v>行銷營運中心</v>
      </c>
      <c r="AB12" s="48" t="str">
        <f>IFERROR(__xludf.DUMMYFUNCTION("""COMPUTED_VALUE"""),"執行長室 : 行銷營運中心 : 產品行銷部")</f>
        <v>執行長室 : 行銷營運中心 : 產品行銷部</v>
      </c>
      <c r="AC12" s="48" t="str">
        <f>IFERROR(__xludf.DUMMYFUNCTION("""COMPUTED_VALUE"""),"No_Product_Line")</f>
        <v>No_Product_Line</v>
      </c>
      <c r="AD12" s="48" t="str">
        <f>IFERROR(__xludf.DUMMYFUNCTION("""COMPUTED_VALUE"""),"Baseline")</f>
        <v>Baseline</v>
      </c>
      <c r="AE12" s="48" t="str">
        <f>IFERROR(__xludf.DUMMYFUNCTION("""COMPUTED_VALUE"""),"Baseline")</f>
        <v>Baseline</v>
      </c>
      <c r="AF12" s="49">
        <f>IFERROR(__xludf.DUMMYFUNCTION("""COMPUTED_VALUE"""),61070.0)</f>
        <v>61070</v>
      </c>
      <c r="AG12" s="49">
        <f>IFERROR(__xludf.DUMMYFUNCTION("""COMPUTED_VALUE"""),12.0)</f>
        <v>12</v>
      </c>
      <c r="AH12" s="49">
        <f>IFERROR(__xludf.DUMMYFUNCTION("""COMPUTED_VALUE"""),61070.0)</f>
        <v>61070</v>
      </c>
      <c r="AI12" s="49">
        <f>IFERROR(__xludf.DUMMYFUNCTION("""COMPUTED_VALUE"""),15286.0)</f>
        <v>15286</v>
      </c>
      <c r="AJ12" s="49">
        <f>IFERROR(__xludf.DUMMYFUNCTION("""COMPUTED_VALUE"""),5087.0)</f>
        <v>5087</v>
      </c>
      <c r="AK12" s="49">
        <f>IFERROR(__xludf.DUMMYFUNCTION("""COMPUTED_VALUE"""),5087.0)</f>
        <v>5087</v>
      </c>
      <c r="AL12" s="49">
        <f>IFERROR(__xludf.DUMMYFUNCTION("""COMPUTED_VALUE"""),5087.0)</f>
        <v>5087</v>
      </c>
      <c r="AM12" s="49">
        <f>IFERROR(__xludf.DUMMYFUNCTION("""COMPUTED_VALUE"""),5087.0)</f>
        <v>5087</v>
      </c>
      <c r="AN12" s="49">
        <f>IFERROR(__xludf.DUMMYFUNCTION("""COMPUTED_VALUE"""),5087.0)</f>
        <v>5087</v>
      </c>
      <c r="AO12" s="49">
        <f>IFERROR(__xludf.DUMMYFUNCTION("""COMPUTED_VALUE"""),5087.0)</f>
        <v>5087</v>
      </c>
      <c r="AP12" s="49">
        <f>IFERROR(__xludf.DUMMYFUNCTION("""COMPUTED_VALUE"""),5087.0)</f>
        <v>5087</v>
      </c>
      <c r="AQ12" s="49">
        <f>IFERROR(__xludf.DUMMYFUNCTION("""COMPUTED_VALUE"""),5087.0)</f>
        <v>5087</v>
      </c>
      <c r="AR12" s="49">
        <f>IFERROR(__xludf.DUMMYFUNCTION("""COMPUTED_VALUE"""),5088.0)</f>
        <v>5088</v>
      </c>
      <c r="AS12" s="37"/>
      <c r="AT12" s="37"/>
      <c r="AU12" s="37"/>
      <c r="AV12" s="37"/>
      <c r="AW12" s="37"/>
      <c r="AX12" s="37"/>
      <c r="AY12" s="37"/>
      <c r="AZ12" s="37"/>
    </row>
    <row r="13">
      <c r="B13" s="37"/>
      <c r="C13" s="37"/>
      <c r="D13" s="37"/>
      <c r="E13" s="37"/>
      <c r="F13" s="37"/>
      <c r="G13" s="37"/>
      <c r="H13" s="37"/>
      <c r="I13" s="37">
        <f>IFERROR(__xludf.DUMMYFUNCTION("""COMPUTED_VALUE"""),9.0)</f>
        <v>9</v>
      </c>
      <c r="J13" s="37"/>
      <c r="K13" s="37" t="str">
        <f>IFERROR(__xludf.DUMMYFUNCTION("""COMPUTED_VALUE"""),"Y")</f>
        <v>Y</v>
      </c>
      <c r="L13" s="37"/>
      <c r="M13" s="37" t="str">
        <f>IFERROR(__xludf.DUMMYFUNCTION("""COMPUTED_VALUE"""),"Journal")</f>
        <v>Journal</v>
      </c>
      <c r="N13" s="45">
        <f>IFERROR(__xludf.DUMMYFUNCTION("""COMPUTED_VALUE"""),45596.0)</f>
        <v>45596</v>
      </c>
      <c r="O13" s="37">
        <f>IFERROR(__xludf.DUMMYFUNCTION("""COMPUTED_VALUE"""),14846.0)</f>
        <v>14846</v>
      </c>
      <c r="P13" s="37"/>
      <c r="Q13" s="37"/>
      <c r="R13" s="37"/>
      <c r="S13" s="37"/>
      <c r="T13" s="37"/>
      <c r="U13" s="37" t="str">
        <f>IFERROR(__xludf.DUMMYFUNCTION("""COMPUTED_VALUE"""),"資廚管理顧問股份有限公司(公司卡) SetappLimitedviaPaddle.com年費(20241018-20251017(預估)(沖)J15004")</f>
        <v>資廚管理顧問股份有限公司(公司卡) SetappLimitedviaPaddle.com年費(20241018-20251017(預估)(沖)J15004</v>
      </c>
      <c r="V13" s="37"/>
      <c r="W13" s="37"/>
      <c r="X13" s="37"/>
      <c r="Y13" s="49">
        <f>IFERROR(__xludf.DUMMYFUNCTION("""COMPUTED_VALUE"""),0.0)</f>
        <v>0</v>
      </c>
      <c r="Z13" s="37">
        <f>IFERROR(__xludf.DUMMYFUNCTION("""COMPUTED_VALUE"""),520001.0)</f>
        <v>520001</v>
      </c>
      <c r="AA13" s="37" t="str">
        <f>IFERROR(__xludf.DUMMYFUNCTION("""COMPUTED_VALUE"""),"行銷營運中心")</f>
        <v>行銷營運中心</v>
      </c>
      <c r="AB13" s="48" t="str">
        <f>IFERROR(__xludf.DUMMYFUNCTION("""COMPUTED_VALUE"""),"執行長室 : 行銷營運中心 : 產品行銷部")</f>
        <v>執行長室 : 行銷營運中心 : 產品行銷部</v>
      </c>
      <c r="AC13" s="48" t="str">
        <f>IFERROR(__xludf.DUMMYFUNCTION("""COMPUTED_VALUE"""),"No_Product_Line")</f>
        <v>No_Product_Line</v>
      </c>
      <c r="AD13" s="48" t="str">
        <f>IFERROR(__xludf.DUMMYFUNCTION("""COMPUTED_VALUE"""),"Baseline")</f>
        <v>Baseline</v>
      </c>
      <c r="AE13" s="48" t="str">
        <f>IFERROR(__xludf.DUMMYFUNCTION("""COMPUTED_VALUE"""),"Baseline")</f>
        <v>Baseline</v>
      </c>
      <c r="AF13" s="49">
        <f>IFERROR(__xludf.DUMMYFUNCTION("""COMPUTED_VALUE"""),109198.0)</f>
        <v>109198</v>
      </c>
      <c r="AG13" s="49">
        <f>IFERROR(__xludf.DUMMYFUNCTION("""COMPUTED_VALUE"""),12.0)</f>
        <v>12</v>
      </c>
      <c r="AH13" s="49">
        <f>IFERROR(__xludf.DUMMYFUNCTION("""COMPUTED_VALUE"""),109198.0)</f>
        <v>109198</v>
      </c>
      <c r="AI13" s="49">
        <f>IFERROR(__xludf.DUMMYFUNCTION("""COMPUTED_VALUE"""),27332.0)</f>
        <v>27332</v>
      </c>
      <c r="AJ13" s="49">
        <f>IFERROR(__xludf.DUMMYFUNCTION("""COMPUTED_VALUE"""),9096.0)</f>
        <v>9096</v>
      </c>
      <c r="AK13" s="49">
        <f>IFERROR(__xludf.DUMMYFUNCTION("""COMPUTED_VALUE"""),9096.0)</f>
        <v>9096</v>
      </c>
      <c r="AL13" s="49">
        <f>IFERROR(__xludf.DUMMYFUNCTION("""COMPUTED_VALUE"""),9096.0)</f>
        <v>9096</v>
      </c>
      <c r="AM13" s="49">
        <f>IFERROR(__xludf.DUMMYFUNCTION("""COMPUTED_VALUE"""),9096.0)</f>
        <v>9096</v>
      </c>
      <c r="AN13" s="49">
        <f>IFERROR(__xludf.DUMMYFUNCTION("""COMPUTED_VALUE"""),9096.0)</f>
        <v>9096</v>
      </c>
      <c r="AO13" s="49">
        <f>IFERROR(__xludf.DUMMYFUNCTION("""COMPUTED_VALUE"""),9096.0)</f>
        <v>9096</v>
      </c>
      <c r="AP13" s="49">
        <f>IFERROR(__xludf.DUMMYFUNCTION("""COMPUTED_VALUE"""),9096.0)</f>
        <v>9096</v>
      </c>
      <c r="AQ13" s="49">
        <f>IFERROR(__xludf.DUMMYFUNCTION("""COMPUTED_VALUE"""),9096.0)</f>
        <v>9096</v>
      </c>
      <c r="AR13" s="49">
        <f>IFERROR(__xludf.DUMMYFUNCTION("""COMPUTED_VALUE"""),9098.0)</f>
        <v>9098</v>
      </c>
      <c r="AS13" s="37"/>
      <c r="AT13" s="37"/>
      <c r="AU13" s="37"/>
      <c r="AV13" s="37"/>
      <c r="AW13" s="37"/>
      <c r="AX13" s="37"/>
      <c r="AY13" s="37"/>
      <c r="AZ13" s="37"/>
    </row>
    <row r="14">
      <c r="B14" s="37"/>
      <c r="C14" s="37"/>
      <c r="D14" s="37"/>
      <c r="E14" s="37"/>
      <c r="F14" s="37"/>
      <c r="G14" s="37"/>
      <c r="H14" s="37"/>
      <c r="I14" s="37">
        <f>IFERROR(__xludf.DUMMYFUNCTION("""COMPUTED_VALUE"""),10.0)</f>
        <v>10</v>
      </c>
      <c r="J14" s="37" t="str">
        <f>IFERROR(__xludf.DUMMYFUNCTION("""COMPUTED_VALUE"""),"Y")</f>
        <v>Y</v>
      </c>
      <c r="K14" s="37" t="str">
        <f>IFERROR(__xludf.DUMMYFUNCTION("""COMPUTED_VALUE"""),"Y")</f>
        <v>Y</v>
      </c>
      <c r="L14" s="37"/>
      <c r="M14" s="37" t="str">
        <f>IFERROR(__xludf.DUMMYFUNCTION("""COMPUTED_VALUE"""),"Journal")</f>
        <v>Journal</v>
      </c>
      <c r="N14" s="45">
        <f>IFERROR(__xludf.DUMMYFUNCTION("""COMPUTED_VALUE"""),45596.0)</f>
        <v>45596</v>
      </c>
      <c r="O14" s="37">
        <f>IFERROR(__xludf.DUMMYFUNCTION("""COMPUTED_VALUE"""),14846.0)</f>
        <v>14846</v>
      </c>
      <c r="P14" s="37"/>
      <c r="Q14" s="37"/>
      <c r="R14" s="37"/>
      <c r="S14" s="37"/>
      <c r="T14" s="37"/>
      <c r="U14" s="37" t="str">
        <f>IFERROR(__xludf.DUMMYFUNCTION("""COMPUTED_VALUE"""),"資廚管理顧問股份有限公司(公司卡)_202410_Notion 續約款項_PCPR-1041：2025-04-01~2025-09-30(沖)ER4247")</f>
        <v>資廚管理顧問股份有限公司(公司卡)_202410_Notion 續約款項_PCPR-1041：2025-04-01~2025-09-30(沖)ER4247</v>
      </c>
      <c r="V14" s="37"/>
      <c r="W14" s="37"/>
      <c r="X14" s="37"/>
      <c r="Y14" s="49">
        <f>IFERROR(__xludf.DUMMYFUNCTION("""COMPUTED_VALUE"""),0.0)</f>
        <v>0</v>
      </c>
      <c r="Z14" s="37">
        <f>IFERROR(__xludf.DUMMYFUNCTION("""COMPUTED_VALUE"""),613201.0)</f>
        <v>613201</v>
      </c>
      <c r="AA14" s="37" t="str">
        <f>IFERROR(__xludf.DUMMYFUNCTION("""COMPUTED_VALUE"""),"行銷營運中心")</f>
        <v>行銷營運中心</v>
      </c>
      <c r="AB14" s="48" t="str">
        <f>IFERROR(__xludf.DUMMYFUNCTION("""COMPUTED_VALUE"""),"執行長室 : 行銷營運中心 : 產品行銷部")</f>
        <v>執行長室 : 行銷營運中心 : 產品行銷部</v>
      </c>
      <c r="AC14" s="48" t="str">
        <f>IFERROR(__xludf.DUMMYFUNCTION("""COMPUTED_VALUE"""),"No_Product_Line")</f>
        <v>No_Product_Line</v>
      </c>
      <c r="AD14" s="48" t="str">
        <f>IFERROR(__xludf.DUMMYFUNCTION("""COMPUTED_VALUE"""),"Baseline")</f>
        <v>Baseline</v>
      </c>
      <c r="AE14" s="48" t="str">
        <f>IFERROR(__xludf.DUMMYFUNCTION("""COMPUTED_VALUE"""),"Baseline")</f>
        <v>Baseline</v>
      </c>
      <c r="AF14" s="49">
        <f>IFERROR(__xludf.DUMMYFUNCTION("""COMPUTED_VALUE"""),250176.0)</f>
        <v>250176</v>
      </c>
      <c r="AG14" s="49">
        <f>IFERROR(__xludf.DUMMYFUNCTION("""COMPUTED_VALUE"""),6.0)</f>
        <v>6</v>
      </c>
      <c r="AH14" s="49">
        <f>IFERROR(__xludf.DUMMYFUNCTION("""COMPUTED_VALUE"""),250176.0)</f>
        <v>250176</v>
      </c>
      <c r="AI14" s="49">
        <f>IFERROR(__xludf.DUMMYFUNCTION("""COMPUTED_VALUE"""),0.0)</f>
        <v>0</v>
      </c>
      <c r="AJ14" s="37"/>
      <c r="AK14" s="37"/>
      <c r="AL14" s="37"/>
      <c r="AM14" s="49">
        <f>IFERROR(__xludf.DUMMYFUNCTION("""COMPUTED_VALUE"""),41679.0)</f>
        <v>41679</v>
      </c>
      <c r="AN14" s="49">
        <f>IFERROR(__xludf.DUMMYFUNCTION("""COMPUTED_VALUE"""),41679.0)</f>
        <v>41679</v>
      </c>
      <c r="AO14" s="49">
        <f>IFERROR(__xludf.DUMMYFUNCTION("""COMPUTED_VALUE"""),41679.0)</f>
        <v>41679</v>
      </c>
      <c r="AP14" s="49">
        <f>IFERROR(__xludf.DUMMYFUNCTION("""COMPUTED_VALUE"""),41679.0)</f>
        <v>41679</v>
      </c>
      <c r="AQ14" s="49">
        <f>IFERROR(__xludf.DUMMYFUNCTION("""COMPUTED_VALUE"""),41679.0)</f>
        <v>41679</v>
      </c>
      <c r="AR14" s="49">
        <f>IFERROR(__xludf.DUMMYFUNCTION("""COMPUTED_VALUE"""),41781.0)</f>
        <v>41781</v>
      </c>
      <c r="AS14" s="37"/>
      <c r="AT14" s="37"/>
      <c r="AU14" s="37"/>
      <c r="AV14" s="37"/>
      <c r="AW14" s="37"/>
      <c r="AX14" s="37"/>
      <c r="AY14" s="37"/>
      <c r="AZ14" s="37"/>
    </row>
    <row r="15">
      <c r="B15" s="37"/>
      <c r="C15" s="37"/>
      <c r="D15" s="37"/>
      <c r="E15" s="37"/>
      <c r="F15" s="37"/>
      <c r="G15" s="37"/>
      <c r="H15" s="37"/>
      <c r="I15" s="37">
        <f>IFERROR(__xludf.DUMMYFUNCTION("""COMPUTED_VALUE"""),11.0)</f>
        <v>11</v>
      </c>
      <c r="J15" s="37"/>
      <c r="K15" s="37" t="str">
        <f>IFERROR(__xludf.DUMMYFUNCTION("""COMPUTED_VALUE"""),"Y")</f>
        <v>Y</v>
      </c>
      <c r="L15" s="37"/>
      <c r="M15" s="37" t="str">
        <f>IFERROR(__xludf.DUMMYFUNCTION("""COMPUTED_VALUE"""),"Journal")</f>
        <v>Journal</v>
      </c>
      <c r="N15" s="45">
        <f>IFERROR(__xludf.DUMMYFUNCTION("""COMPUTED_VALUE"""),45622.0)</f>
        <v>45622</v>
      </c>
      <c r="O15" s="37">
        <f>IFERROR(__xludf.DUMMYFUNCTION("""COMPUTED_VALUE"""),15125.0)</f>
        <v>15125</v>
      </c>
      <c r="P15" s="37"/>
      <c r="Q15" s="37"/>
      <c r="R15" s="37"/>
      <c r="S15" s="37"/>
      <c r="T15" s="37"/>
      <c r="U15" s="50" t="str">
        <f>IFERROR(__xludf.DUMMYFUNCTION("""COMPUTED_VALUE"""),"資廚管理顧問股份有限公司(公司卡)_202411_Miro年費20241110-20251110(預估)(已攤分J15332)")</f>
        <v>資廚管理顧問股份有限公司(公司卡)_202411_Miro年費20241110-20251110(預估)(已攤分J15332)</v>
      </c>
      <c r="V15" s="37"/>
      <c r="W15" s="37"/>
      <c r="X15" s="37"/>
      <c r="Y15" s="49">
        <f>IFERROR(__xludf.DUMMYFUNCTION("""COMPUTED_VALUE"""),1757.0)</f>
        <v>1757</v>
      </c>
      <c r="Z15" s="37">
        <f>IFERROR(__xludf.DUMMYFUNCTION("""COMPUTED_VALUE"""),520001.0)</f>
        <v>520001</v>
      </c>
      <c r="AA15" s="37" t="str">
        <f>IFERROR(__xludf.DUMMYFUNCTION("""COMPUTED_VALUE"""),"研發中心")</f>
        <v>研發中心</v>
      </c>
      <c r="AB15" s="48" t="str">
        <f>IFERROR(__xludf.DUMMYFUNCTION("""COMPUTED_VALUE"""),"執行長室 : 研發中心 : 軟體工程部")</f>
        <v>執行長室 : 研發中心 : 軟體工程部</v>
      </c>
      <c r="AC15" s="48" t="str">
        <f>IFERROR(__xludf.DUMMYFUNCTION("""COMPUTED_VALUE"""),"No_Product_Line")</f>
        <v>No_Product_Line</v>
      </c>
      <c r="AD15" s="48" t="str">
        <f>IFERROR(__xludf.DUMMYFUNCTION("""COMPUTED_VALUE"""),"Baseline")</f>
        <v>Baseline</v>
      </c>
      <c r="AE15" s="48" t="str">
        <f>IFERROR(__xludf.DUMMYFUNCTION("""COMPUTED_VALUE"""),"Baseline")</f>
        <v>Baseline</v>
      </c>
      <c r="AF15" s="49">
        <f>IFERROR(__xludf.DUMMYFUNCTION("""COMPUTED_VALUE"""),21049.0)</f>
        <v>21049</v>
      </c>
      <c r="AG15" s="49">
        <f>IFERROR(__xludf.DUMMYFUNCTION("""COMPUTED_VALUE"""),12.0)</f>
        <v>12</v>
      </c>
      <c r="AH15" s="49">
        <f>IFERROR(__xludf.DUMMYFUNCTION("""COMPUTED_VALUE"""),19292.0)</f>
        <v>19292</v>
      </c>
      <c r="AI15" s="49">
        <f>IFERROR(__xludf.DUMMYFUNCTION("""COMPUTED_VALUE"""),3515.0)</f>
        <v>3515</v>
      </c>
      <c r="AJ15" s="49">
        <f>IFERROR(__xludf.DUMMYFUNCTION("""COMPUTED_VALUE"""),1753.0)</f>
        <v>1753</v>
      </c>
      <c r="AK15" s="49">
        <f>IFERROR(__xludf.DUMMYFUNCTION("""COMPUTED_VALUE"""),1753.0)</f>
        <v>1753</v>
      </c>
      <c r="AL15" s="49">
        <f>IFERROR(__xludf.DUMMYFUNCTION("""COMPUTED_VALUE"""),1753.0)</f>
        <v>1753</v>
      </c>
      <c r="AM15" s="49">
        <f>IFERROR(__xludf.DUMMYFUNCTION("""COMPUTED_VALUE"""),1753.0)</f>
        <v>1753</v>
      </c>
      <c r="AN15" s="49">
        <f>IFERROR(__xludf.DUMMYFUNCTION("""COMPUTED_VALUE"""),1753.0)</f>
        <v>1753</v>
      </c>
      <c r="AO15" s="49">
        <f>IFERROR(__xludf.DUMMYFUNCTION("""COMPUTED_VALUE"""),1753.0)</f>
        <v>1753</v>
      </c>
      <c r="AP15" s="49">
        <f>IFERROR(__xludf.DUMMYFUNCTION("""COMPUTED_VALUE"""),1753.0)</f>
        <v>1753</v>
      </c>
      <c r="AQ15" s="49">
        <f>IFERROR(__xludf.DUMMYFUNCTION("""COMPUTED_VALUE"""),1753.0)</f>
        <v>1753</v>
      </c>
      <c r="AR15" s="49">
        <f>IFERROR(__xludf.DUMMYFUNCTION("""COMPUTED_VALUE"""),1753.0)</f>
        <v>1753</v>
      </c>
      <c r="AS15" s="49">
        <f>IFERROR(__xludf.DUMMYFUNCTION("""COMPUTED_VALUE"""),1757.0)</f>
        <v>1757</v>
      </c>
      <c r="AT15" s="37"/>
      <c r="AU15" s="37"/>
      <c r="AV15" s="37"/>
      <c r="AW15" s="37"/>
      <c r="AX15" s="37"/>
      <c r="AY15" s="37"/>
      <c r="AZ15" s="37"/>
    </row>
    <row r="16">
      <c r="B16" s="37"/>
      <c r="C16" s="37"/>
      <c r="D16" s="37"/>
      <c r="E16" s="37"/>
      <c r="F16" s="37"/>
      <c r="G16" s="37"/>
      <c r="H16" s="37"/>
      <c r="I16" s="37">
        <f>IFERROR(__xludf.DUMMYFUNCTION("""COMPUTED_VALUE"""),12.0)</f>
        <v>12</v>
      </c>
      <c r="J16" s="37"/>
      <c r="K16" s="37" t="str">
        <f>IFERROR(__xludf.DUMMYFUNCTION("""COMPUTED_VALUE"""),"Y")</f>
        <v>Y</v>
      </c>
      <c r="L16" s="37"/>
      <c r="M16" s="37" t="str">
        <f>IFERROR(__xludf.DUMMYFUNCTION("""COMPUTED_VALUE"""),"Journal")</f>
        <v>Journal</v>
      </c>
      <c r="N16" s="45">
        <f>IFERROR(__xludf.DUMMYFUNCTION("""COMPUTED_VALUE"""),45622.0)</f>
        <v>45622</v>
      </c>
      <c r="O16" s="37">
        <f>IFERROR(__xludf.DUMMYFUNCTION("""COMPUTED_VALUE"""),15125.0)</f>
        <v>15125</v>
      </c>
      <c r="P16" s="37"/>
      <c r="Q16" s="37"/>
      <c r="R16" s="37"/>
      <c r="S16" s="37"/>
      <c r="T16" s="37"/>
      <c r="U16" s="37" t="str">
        <f>IFERROR(__xludf.DUMMYFUNCTION("""COMPUTED_VALUE"""),"資廚管理顧問股份有限公司(公司卡)_202411_Miro年費20241110-20251110(預估)(已攤分J15332)")</f>
        <v>資廚管理顧問股份有限公司(公司卡)_202411_Miro年費20241110-20251110(預估)(已攤分J15332)</v>
      </c>
      <c r="V16" s="37"/>
      <c r="W16" s="37"/>
      <c r="X16" s="37"/>
      <c r="Y16" s="49">
        <f>IFERROR(__xludf.DUMMYFUNCTION("""COMPUTED_VALUE"""),6172.0)</f>
        <v>6172</v>
      </c>
      <c r="Z16" s="37">
        <f>IFERROR(__xludf.DUMMYFUNCTION("""COMPUTED_VALUE"""),520001.0)</f>
        <v>520001</v>
      </c>
      <c r="AA16" s="37" t="str">
        <f>IFERROR(__xludf.DUMMYFUNCTION("""COMPUTED_VALUE"""),"研發中心")</f>
        <v>研發中心</v>
      </c>
      <c r="AB16" s="48" t="str">
        <f>IFERROR(__xludf.DUMMYFUNCTION("""COMPUTED_VALUE"""),"執行長室 : 研發中心 : 軟體工程部")</f>
        <v>執行長室 : 研發中心 : 軟體工程部</v>
      </c>
      <c r="AC16" s="48" t="str">
        <f>IFERROR(__xludf.DUMMYFUNCTION("""COMPUTED_VALUE"""),"No_Product_Line")</f>
        <v>No_Product_Line</v>
      </c>
      <c r="AD16" s="48" t="str">
        <f>IFERROR(__xludf.DUMMYFUNCTION("""COMPUTED_VALUE"""),"Baseline")</f>
        <v>Baseline</v>
      </c>
      <c r="AE16" s="48" t="str">
        <f>IFERROR(__xludf.DUMMYFUNCTION("""COMPUTED_VALUE"""),"Baseline")</f>
        <v>Baseline</v>
      </c>
      <c r="AF16" s="49">
        <f>IFERROR(__xludf.DUMMYFUNCTION("""COMPUTED_VALUE"""),74039.0)</f>
        <v>74039</v>
      </c>
      <c r="AG16" s="49">
        <f>IFERROR(__xludf.DUMMYFUNCTION("""COMPUTED_VALUE"""),12.0)</f>
        <v>12</v>
      </c>
      <c r="AH16" s="49">
        <f>IFERROR(__xludf.DUMMYFUNCTION("""COMPUTED_VALUE"""),67867.0)</f>
        <v>67867</v>
      </c>
      <c r="AI16" s="49">
        <f>IFERROR(__xludf.DUMMYFUNCTION("""COMPUTED_VALUE"""),12364.0)</f>
        <v>12364</v>
      </c>
      <c r="AJ16" s="49">
        <f>IFERROR(__xludf.DUMMYFUNCTION("""COMPUTED_VALUE"""),6167.0)</f>
        <v>6167</v>
      </c>
      <c r="AK16" s="49">
        <f>IFERROR(__xludf.DUMMYFUNCTION("""COMPUTED_VALUE"""),6167.0)</f>
        <v>6167</v>
      </c>
      <c r="AL16" s="49">
        <f>IFERROR(__xludf.DUMMYFUNCTION("""COMPUTED_VALUE"""),6167.0)</f>
        <v>6167</v>
      </c>
      <c r="AM16" s="49">
        <f>IFERROR(__xludf.DUMMYFUNCTION("""COMPUTED_VALUE"""),6167.0)</f>
        <v>6167</v>
      </c>
      <c r="AN16" s="49">
        <f>IFERROR(__xludf.DUMMYFUNCTION("""COMPUTED_VALUE"""),6167.0)</f>
        <v>6167</v>
      </c>
      <c r="AO16" s="49">
        <f>IFERROR(__xludf.DUMMYFUNCTION("""COMPUTED_VALUE"""),6167.0)</f>
        <v>6167</v>
      </c>
      <c r="AP16" s="49">
        <f>IFERROR(__xludf.DUMMYFUNCTION("""COMPUTED_VALUE"""),6167.0)</f>
        <v>6167</v>
      </c>
      <c r="AQ16" s="49">
        <f>IFERROR(__xludf.DUMMYFUNCTION("""COMPUTED_VALUE"""),6167.0)</f>
        <v>6167</v>
      </c>
      <c r="AR16" s="49">
        <f>IFERROR(__xludf.DUMMYFUNCTION("""COMPUTED_VALUE"""),6167.0)</f>
        <v>6167</v>
      </c>
      <c r="AS16" s="49">
        <f>IFERROR(__xludf.DUMMYFUNCTION("""COMPUTED_VALUE"""),6172.0)</f>
        <v>6172</v>
      </c>
      <c r="AT16" s="37"/>
      <c r="AU16" s="37"/>
      <c r="AV16" s="37"/>
      <c r="AW16" s="37"/>
      <c r="AX16" s="37"/>
      <c r="AY16" s="37"/>
      <c r="AZ16" s="37"/>
    </row>
    <row r="17">
      <c r="B17" s="37"/>
      <c r="C17" s="37"/>
      <c r="D17" s="37"/>
      <c r="E17" s="37"/>
      <c r="F17" s="37"/>
      <c r="G17" s="37"/>
      <c r="H17" s="37"/>
      <c r="I17" s="37">
        <f>IFERROR(__xludf.DUMMYFUNCTION("""COMPUTED_VALUE"""),13.0)</f>
        <v>13</v>
      </c>
      <c r="J17" s="37"/>
      <c r="K17" s="37" t="str">
        <f>IFERROR(__xludf.DUMMYFUNCTION("""COMPUTED_VALUE"""),"Y")</f>
        <v>Y</v>
      </c>
      <c r="L17" s="37"/>
      <c r="M17" s="37" t="str">
        <f>IFERROR(__xludf.DUMMYFUNCTION("""COMPUTED_VALUE"""),"Journal")</f>
        <v>Journal</v>
      </c>
      <c r="N17" s="45">
        <f>IFERROR(__xludf.DUMMYFUNCTION("""COMPUTED_VALUE"""),45622.0)</f>
        <v>45622</v>
      </c>
      <c r="O17" s="37">
        <f>IFERROR(__xludf.DUMMYFUNCTION("""COMPUTED_VALUE"""),15125.0)</f>
        <v>15125</v>
      </c>
      <c r="P17" s="37"/>
      <c r="Q17" s="37"/>
      <c r="R17" s="37"/>
      <c r="S17" s="37"/>
      <c r="T17" s="37"/>
      <c r="U17" s="37" t="str">
        <f>IFERROR(__xludf.DUMMYFUNCTION("""COMPUTED_VALUE"""),"Adobe 2024 續約約期 2024/11/24-2025/11/23（刷精靈卡）_PCPR-1878(沖)ER4448")</f>
        <v>Adobe 2024 續約約期 2024/11/24-2025/11/23（刷精靈卡）_PCPR-1878(沖)ER4448</v>
      </c>
      <c r="V17" s="37"/>
      <c r="W17" s="37"/>
      <c r="X17" s="37"/>
      <c r="Y17" s="49">
        <f>IFERROR(__xludf.DUMMYFUNCTION("""COMPUTED_VALUE"""),10849.0)</f>
        <v>10849</v>
      </c>
      <c r="Z17" s="37">
        <f>IFERROR(__xludf.DUMMYFUNCTION("""COMPUTED_VALUE"""),613201.0)</f>
        <v>613201</v>
      </c>
      <c r="AA17" s="37" t="str">
        <f>IFERROR(__xludf.DUMMYFUNCTION("""COMPUTED_VALUE"""),"研發中心")</f>
        <v>研發中心</v>
      </c>
      <c r="AB17" s="48" t="str">
        <f>IFERROR(__xludf.DUMMYFUNCTION("""COMPUTED_VALUE"""),"執行長室 : 研發中心 : 軟體工程部")</f>
        <v>執行長室 : 研發中心 : 軟體工程部</v>
      </c>
      <c r="AC17" s="48" t="str">
        <f>IFERROR(__xludf.DUMMYFUNCTION("""COMPUTED_VALUE"""),"No_Product_Line")</f>
        <v>No_Product_Line</v>
      </c>
      <c r="AD17" s="48" t="str">
        <f>IFERROR(__xludf.DUMMYFUNCTION("""COMPUTED_VALUE"""),"Baseline")</f>
        <v>Baseline</v>
      </c>
      <c r="AE17" s="48" t="str">
        <f>IFERROR(__xludf.DUMMYFUNCTION("""COMPUTED_VALUE"""),"Baseline")</f>
        <v>Baseline</v>
      </c>
      <c r="AF17" s="49">
        <f>IFERROR(__xludf.DUMMYFUNCTION("""COMPUTED_VALUE"""),130284.0)</f>
        <v>130284</v>
      </c>
      <c r="AG17" s="49">
        <f>IFERROR(__xludf.DUMMYFUNCTION("""COMPUTED_VALUE"""),12.0)</f>
        <v>12</v>
      </c>
      <c r="AH17" s="49">
        <f>IFERROR(__xludf.DUMMYFUNCTION("""COMPUTED_VALUE"""),119435.0)</f>
        <v>119435</v>
      </c>
      <c r="AI17" s="49">
        <f>IFERROR(__xludf.DUMMYFUNCTION("""COMPUTED_VALUE"""),21758.0)</f>
        <v>21758</v>
      </c>
      <c r="AJ17" s="49">
        <f>IFERROR(__xludf.DUMMYFUNCTION("""COMPUTED_VALUE"""),10853.0)</f>
        <v>10853</v>
      </c>
      <c r="AK17" s="49">
        <f>IFERROR(__xludf.DUMMYFUNCTION("""COMPUTED_VALUE"""),10853.0)</f>
        <v>10853</v>
      </c>
      <c r="AL17" s="49">
        <f>IFERROR(__xludf.DUMMYFUNCTION("""COMPUTED_VALUE"""),10853.0)</f>
        <v>10853</v>
      </c>
      <c r="AM17" s="49">
        <f>IFERROR(__xludf.DUMMYFUNCTION("""COMPUTED_VALUE"""),10853.0)</f>
        <v>10853</v>
      </c>
      <c r="AN17" s="49">
        <f>IFERROR(__xludf.DUMMYFUNCTION("""COMPUTED_VALUE"""),10853.0)</f>
        <v>10853</v>
      </c>
      <c r="AO17" s="49">
        <f>IFERROR(__xludf.DUMMYFUNCTION("""COMPUTED_VALUE"""),10853.0)</f>
        <v>10853</v>
      </c>
      <c r="AP17" s="49">
        <f>IFERROR(__xludf.DUMMYFUNCTION("""COMPUTED_VALUE"""),10853.0)</f>
        <v>10853</v>
      </c>
      <c r="AQ17" s="49">
        <f>IFERROR(__xludf.DUMMYFUNCTION("""COMPUTED_VALUE"""),10853.0)</f>
        <v>10853</v>
      </c>
      <c r="AR17" s="49">
        <f>IFERROR(__xludf.DUMMYFUNCTION("""COMPUTED_VALUE"""),10853.0)</f>
        <v>10853</v>
      </c>
      <c r="AS17" s="49">
        <f>IFERROR(__xludf.DUMMYFUNCTION("""COMPUTED_VALUE"""),10849.0)</f>
        <v>10849</v>
      </c>
      <c r="AT17" s="37"/>
      <c r="AU17" s="37"/>
      <c r="AV17" s="37"/>
      <c r="AW17" s="37"/>
      <c r="AX17" s="37"/>
      <c r="AY17" s="37"/>
      <c r="AZ17" s="37"/>
    </row>
    <row r="18">
      <c r="B18" s="37"/>
      <c r="C18" s="37"/>
      <c r="D18" s="37"/>
      <c r="E18" s="37"/>
      <c r="F18" s="37"/>
      <c r="G18" s="37"/>
      <c r="H18" s="37"/>
      <c r="I18" s="37">
        <f>IFERROR(__xludf.DUMMYFUNCTION("""COMPUTED_VALUE"""),14.0)</f>
        <v>14</v>
      </c>
      <c r="J18" s="37"/>
      <c r="K18" s="37" t="str">
        <f>IFERROR(__xludf.DUMMYFUNCTION("""COMPUTED_VALUE"""),"Y")</f>
        <v>Y</v>
      </c>
      <c r="L18" s="37"/>
      <c r="M18" s="37" t="str">
        <f>IFERROR(__xludf.DUMMYFUNCTION("""COMPUTED_VALUE"""),"Journal")</f>
        <v>Journal</v>
      </c>
      <c r="N18" s="45">
        <f>IFERROR(__xludf.DUMMYFUNCTION("""COMPUTED_VALUE"""),45622.0)</f>
        <v>45622</v>
      </c>
      <c r="O18" s="37">
        <f>IFERROR(__xludf.DUMMYFUNCTION("""COMPUTED_VALUE"""),15125.0)</f>
        <v>15125</v>
      </c>
      <c r="P18" s="37"/>
      <c r="Q18" s="37"/>
      <c r="R18" s="37"/>
      <c r="S18" s="37"/>
      <c r="T18" s="37"/>
      <c r="U18" s="50" t="str">
        <f>IFERROR(__xludf.DUMMYFUNCTION("""COMPUTED_VALUE"""),"資廚管理顧問股份有限公司(公司卡)_NewRelic_202410_帳單(續約年費)(20241103 - 20251102)(沖)ER4506")</f>
        <v>資廚管理顧問股份有限公司(公司卡)_NewRelic_202410_帳單(續約年費)(20241103 - 20251102)(沖)ER4506</v>
      </c>
      <c r="V18" s="37"/>
      <c r="W18" s="37"/>
      <c r="X18" s="37"/>
      <c r="Y18" s="49">
        <f>IFERROR(__xludf.DUMMYFUNCTION("""COMPUTED_VALUE"""),40489.0)</f>
        <v>40489</v>
      </c>
      <c r="Z18" s="37">
        <f>IFERROR(__xludf.DUMMYFUNCTION("""COMPUTED_VALUE"""),520001.0)</f>
        <v>520001</v>
      </c>
      <c r="AA18" s="37" t="str">
        <f>IFERROR(__xludf.DUMMYFUNCTION("""COMPUTED_VALUE"""),"研發中心")</f>
        <v>研發中心</v>
      </c>
      <c r="AB18" s="48" t="str">
        <f>IFERROR(__xludf.DUMMYFUNCTION("""COMPUTED_VALUE"""),"執行長室 : 研發中心 : 軟體工程部")</f>
        <v>執行長室 : 研發中心 : 軟體工程部</v>
      </c>
      <c r="AC18" s="48" t="str">
        <f>IFERROR(__xludf.DUMMYFUNCTION("""COMPUTED_VALUE"""),"No_Product_Line")</f>
        <v>No_Product_Line</v>
      </c>
      <c r="AD18" s="48" t="str">
        <f>IFERROR(__xludf.DUMMYFUNCTION("""COMPUTED_VALUE"""),"Baseline")</f>
        <v>Baseline</v>
      </c>
      <c r="AE18" s="48" t="str">
        <f>IFERROR(__xludf.DUMMYFUNCTION("""COMPUTED_VALUE"""),"Baseline")</f>
        <v>Baseline</v>
      </c>
      <c r="AF18" s="49">
        <f>IFERROR(__xludf.DUMMYFUNCTION("""COMPUTED_VALUE"""),486106.0)</f>
        <v>486106</v>
      </c>
      <c r="AG18" s="49">
        <f>IFERROR(__xludf.DUMMYFUNCTION("""COMPUTED_VALUE"""),12.0)</f>
        <v>12</v>
      </c>
      <c r="AH18" s="49">
        <f>IFERROR(__xludf.DUMMYFUNCTION("""COMPUTED_VALUE"""),445617.0)</f>
        <v>445617</v>
      </c>
      <c r="AI18" s="49">
        <f>IFERROR(__xludf.DUMMYFUNCTION("""COMPUTED_VALUE"""),81180.0)</f>
        <v>81180</v>
      </c>
      <c r="AJ18" s="49">
        <f>IFERROR(__xludf.DUMMYFUNCTION("""COMPUTED_VALUE"""),40493.0)</f>
        <v>40493</v>
      </c>
      <c r="AK18" s="49">
        <f>IFERROR(__xludf.DUMMYFUNCTION("""COMPUTED_VALUE"""),40493.0)</f>
        <v>40493</v>
      </c>
      <c r="AL18" s="49">
        <f>IFERROR(__xludf.DUMMYFUNCTION("""COMPUTED_VALUE"""),40493.0)</f>
        <v>40493</v>
      </c>
      <c r="AM18" s="49">
        <f>IFERROR(__xludf.DUMMYFUNCTION("""COMPUTED_VALUE"""),40493.0)</f>
        <v>40493</v>
      </c>
      <c r="AN18" s="49">
        <f>IFERROR(__xludf.DUMMYFUNCTION("""COMPUTED_VALUE"""),40493.0)</f>
        <v>40493</v>
      </c>
      <c r="AO18" s="49">
        <f>IFERROR(__xludf.DUMMYFUNCTION("""COMPUTED_VALUE"""),40493.0)</f>
        <v>40493</v>
      </c>
      <c r="AP18" s="49">
        <f>IFERROR(__xludf.DUMMYFUNCTION("""COMPUTED_VALUE"""),40493.0)</f>
        <v>40493</v>
      </c>
      <c r="AQ18" s="49">
        <f>IFERROR(__xludf.DUMMYFUNCTION("""COMPUTED_VALUE"""),40493.0)</f>
        <v>40493</v>
      </c>
      <c r="AR18" s="49">
        <f>IFERROR(__xludf.DUMMYFUNCTION("""COMPUTED_VALUE"""),40493.0)</f>
        <v>40493</v>
      </c>
      <c r="AS18" s="49">
        <f>IFERROR(__xludf.DUMMYFUNCTION("""COMPUTED_VALUE"""),40489.0)</f>
        <v>40489</v>
      </c>
      <c r="AT18" s="37"/>
      <c r="AU18" s="37"/>
      <c r="AV18" s="37"/>
      <c r="AW18" s="37"/>
      <c r="AX18" s="37"/>
      <c r="AY18" s="37"/>
      <c r="AZ18" s="37"/>
    </row>
    <row r="19">
      <c r="B19" s="37"/>
      <c r="C19" s="37"/>
      <c r="D19" s="37"/>
      <c r="E19" s="37"/>
      <c r="F19" s="37"/>
      <c r="G19" s="37"/>
      <c r="H19" s="37"/>
      <c r="I19" s="37">
        <f>IFERROR(__xludf.DUMMYFUNCTION("""COMPUTED_VALUE"""),15.0)</f>
        <v>15</v>
      </c>
      <c r="J19" s="37"/>
      <c r="K19" s="37" t="str">
        <f>IFERROR(__xludf.DUMMYFUNCTION("""COMPUTED_VALUE"""),"Y")</f>
        <v>Y</v>
      </c>
      <c r="L19" s="37"/>
      <c r="M19" s="37" t="str">
        <f>IFERROR(__xludf.DUMMYFUNCTION("""COMPUTED_VALUE"""),"Journal")</f>
        <v>Journal</v>
      </c>
      <c r="N19" s="45">
        <f>IFERROR(__xludf.DUMMYFUNCTION("""COMPUTED_VALUE"""),45622.0)</f>
        <v>45622</v>
      </c>
      <c r="O19" s="37">
        <f>IFERROR(__xludf.DUMMYFUNCTION("""COMPUTED_VALUE"""),15125.0)</f>
        <v>15125</v>
      </c>
      <c r="P19" s="37"/>
      <c r="Q19" s="37"/>
      <c r="R19" s="37"/>
      <c r="S19" s="37"/>
      <c r="T19" s="37"/>
      <c r="U19" s="37" t="str">
        <f>IFERROR(__xludf.DUMMYFUNCTION("""COMPUTED_VALUE"""),"伊雲谷數位科技股份有限公司_ECV_202410_AWS 雲端服務費用預付 2024/10/01~2025/09/30費用(USD30351.87 * 32.09)")</f>
        <v>伊雲谷數位科技股份有限公司_ECV_202410_AWS 雲端服務費用預付 2024/10/01~2025/09/30費用(USD30351.87 * 32.09)</v>
      </c>
      <c r="V19" s="37"/>
      <c r="W19" s="37"/>
      <c r="X19" s="37"/>
      <c r="Y19" s="49">
        <f>IFERROR(__xludf.DUMMYFUNCTION("""COMPUTED_VALUE"""),0.0)</f>
        <v>0</v>
      </c>
      <c r="Z19" s="37">
        <f>IFERROR(__xludf.DUMMYFUNCTION("""COMPUTED_VALUE"""),520001.0)</f>
        <v>520001</v>
      </c>
      <c r="AA19" s="37" t="str">
        <f>IFERROR(__xludf.DUMMYFUNCTION("""COMPUTED_VALUE"""),"研發中心")</f>
        <v>研發中心</v>
      </c>
      <c r="AB19" s="48" t="str">
        <f>IFERROR(__xludf.DUMMYFUNCTION("""COMPUTED_VALUE"""),"執行長室 : 研發中心 : 軟體工程部")</f>
        <v>執行長室 : 研發中心 : 軟體工程部</v>
      </c>
      <c r="AC19" s="48" t="str">
        <f>IFERROR(__xludf.DUMMYFUNCTION("""COMPUTED_VALUE"""),"No_Product_Line")</f>
        <v>No_Product_Line</v>
      </c>
      <c r="AD19" s="48" t="str">
        <f>IFERROR(__xludf.DUMMYFUNCTION("""COMPUTED_VALUE"""),"Baseline")</f>
        <v>Baseline</v>
      </c>
      <c r="AE19" s="48" t="str">
        <f>IFERROR(__xludf.DUMMYFUNCTION("""COMPUTED_VALUE"""),"Baseline")</f>
        <v>Baseline</v>
      </c>
      <c r="AF19" s="49">
        <f>IFERROR(__xludf.DUMMYFUNCTION("""COMPUTED_VALUE"""),973992.0)</f>
        <v>973992</v>
      </c>
      <c r="AG19" s="49">
        <f>IFERROR(__xludf.DUMMYFUNCTION("""COMPUTED_VALUE"""),12.0)</f>
        <v>12</v>
      </c>
      <c r="AH19" s="49">
        <f>IFERROR(__xludf.DUMMYFUNCTION("""COMPUTED_VALUE"""),973992.0)</f>
        <v>973992</v>
      </c>
      <c r="AI19" s="49">
        <f>IFERROR(__xludf.DUMMYFUNCTION("""COMPUTED_VALUE"""),243791.0)</f>
        <v>243791</v>
      </c>
      <c r="AJ19" s="49">
        <f>IFERROR(__xludf.DUMMYFUNCTION("""COMPUTED_VALUE"""),81134.0)</f>
        <v>81134</v>
      </c>
      <c r="AK19" s="49">
        <f>IFERROR(__xludf.DUMMYFUNCTION("""COMPUTED_VALUE"""),81134.0)</f>
        <v>81134</v>
      </c>
      <c r="AL19" s="49">
        <f>IFERROR(__xludf.DUMMYFUNCTION("""COMPUTED_VALUE"""),81134.0)</f>
        <v>81134</v>
      </c>
      <c r="AM19" s="49">
        <f>IFERROR(__xludf.DUMMYFUNCTION("""COMPUTED_VALUE"""),81134.0)</f>
        <v>81134</v>
      </c>
      <c r="AN19" s="49">
        <f>IFERROR(__xludf.DUMMYFUNCTION("""COMPUTED_VALUE"""),81134.0)</f>
        <v>81134</v>
      </c>
      <c r="AO19" s="49">
        <f>IFERROR(__xludf.DUMMYFUNCTION("""COMPUTED_VALUE"""),81134.0)</f>
        <v>81134</v>
      </c>
      <c r="AP19" s="49">
        <f>IFERROR(__xludf.DUMMYFUNCTION("""COMPUTED_VALUE"""),81134.0)</f>
        <v>81134</v>
      </c>
      <c r="AQ19" s="49">
        <f>IFERROR(__xludf.DUMMYFUNCTION("""COMPUTED_VALUE"""),81134.0)</f>
        <v>81134</v>
      </c>
      <c r="AR19" s="49">
        <f>IFERROR(__xludf.DUMMYFUNCTION("""COMPUTED_VALUE"""),81129.0)</f>
        <v>81129</v>
      </c>
      <c r="AS19" s="37"/>
      <c r="AT19" s="37"/>
      <c r="AU19" s="37"/>
      <c r="AV19" s="37"/>
      <c r="AW19" s="37"/>
      <c r="AX19" s="37"/>
      <c r="AY19" s="37"/>
      <c r="AZ19" s="37"/>
    </row>
    <row r="20">
      <c r="B20" s="37"/>
      <c r="C20" s="37"/>
      <c r="D20" s="37"/>
      <c r="E20" s="37"/>
      <c r="F20" s="37"/>
      <c r="G20" s="37"/>
      <c r="H20" s="37"/>
      <c r="I20" s="37">
        <f>IFERROR(__xludf.DUMMYFUNCTION("""COMPUTED_VALUE"""),16.0)</f>
        <v>16</v>
      </c>
      <c r="J20" s="37" t="str">
        <f>IFERROR(__xludf.DUMMYFUNCTION("""COMPUTED_VALUE"""),"Y")</f>
        <v>Y</v>
      </c>
      <c r="K20" s="37" t="str">
        <f>IFERROR(__xludf.DUMMYFUNCTION("""COMPUTED_VALUE"""),"Y")</f>
        <v>Y</v>
      </c>
      <c r="L20" s="37"/>
      <c r="M20" s="37" t="str">
        <f>IFERROR(__xludf.DUMMYFUNCTION("""COMPUTED_VALUE"""),"Journal")</f>
        <v>Journal</v>
      </c>
      <c r="N20" s="45">
        <f>IFERROR(__xludf.DUMMYFUNCTION("""COMPUTED_VALUE"""),45657.0)</f>
        <v>45657</v>
      </c>
      <c r="O20" s="37">
        <f>IFERROR(__xludf.DUMMYFUNCTION("""COMPUTED_VALUE"""),15475.0)</f>
        <v>15475</v>
      </c>
      <c r="P20" s="37"/>
      <c r="Q20" s="37"/>
      <c r="R20" s="37"/>
      <c r="S20" s="37"/>
      <c r="T20" s="37"/>
      <c r="U20" s="37" t="str">
        <f>IFERROR(__xludf.DUMMYFUNCTION("""COMPUTED_VALUE"""),"Notion_202412_核銷企業卡當月款項(20241111-20251002)(1/16扣款)12/16扣款)(沖ER4846)")</f>
        <v>Notion_202412_核銷企業卡當月款項(20241111-20251002)(1/16扣款)12/16扣款)(沖ER4846)</v>
      </c>
      <c r="V20" s="37"/>
      <c r="W20" s="37"/>
      <c r="X20" s="37"/>
      <c r="Y20" s="49">
        <f>IFERROR(__xludf.DUMMYFUNCTION("""COMPUTED_VALUE"""),0.0)</f>
        <v>0</v>
      </c>
      <c r="Z20" s="37">
        <f>IFERROR(__xludf.DUMMYFUNCTION("""COMPUTED_VALUE"""),613201.0)</f>
        <v>613201</v>
      </c>
      <c r="AA20" s="37" t="str">
        <f>IFERROR(__xludf.DUMMYFUNCTION("""COMPUTED_VALUE"""),"管理中心")</f>
        <v>管理中心</v>
      </c>
      <c r="AB20" s="48" t="str">
        <f>IFERROR(__xludf.DUMMYFUNCTION("""COMPUTED_VALUE"""),"執行長室 : 管理中心 : 行政總務部 : 行政總務團隊 : 行政總務組")</f>
        <v>執行長室 : 管理中心 : 行政總務部 : 行政總務團隊 : 行政總務組</v>
      </c>
      <c r="AC20" s="48" t="str">
        <f>IFERROR(__xludf.DUMMYFUNCTION("""COMPUTED_VALUE"""),"No_Product_Line")</f>
        <v>No_Product_Line</v>
      </c>
      <c r="AD20" s="48" t="str">
        <f>IFERROR(__xludf.DUMMYFUNCTION("""COMPUTED_VALUE"""),"Baseline")</f>
        <v>Baseline</v>
      </c>
      <c r="AE20" s="48" t="str">
        <f>IFERROR(__xludf.DUMMYFUNCTION("""COMPUTED_VALUE"""),"Baseline")</f>
        <v>Baseline</v>
      </c>
      <c r="AF20" s="49">
        <f>IFERROR(__xludf.DUMMYFUNCTION("""COMPUTED_VALUE"""),2778.0)</f>
        <v>2778</v>
      </c>
      <c r="AG20" s="49">
        <f>IFERROR(__xludf.DUMMYFUNCTION("""COMPUTED_VALUE"""),11.0)</f>
        <v>11</v>
      </c>
      <c r="AH20" s="49">
        <f>IFERROR(__xludf.DUMMYFUNCTION("""COMPUTED_VALUE"""),2778.0)</f>
        <v>2778</v>
      </c>
      <c r="AI20" s="49">
        <f>IFERROR(__xludf.DUMMYFUNCTION("""COMPUTED_VALUE"""),506.0)</f>
        <v>506</v>
      </c>
      <c r="AJ20" s="49">
        <f>IFERROR(__xludf.DUMMYFUNCTION("""COMPUTED_VALUE"""),253.0)</f>
        <v>253</v>
      </c>
      <c r="AK20" s="49">
        <f>IFERROR(__xludf.DUMMYFUNCTION("""COMPUTED_VALUE"""),253.0)</f>
        <v>253</v>
      </c>
      <c r="AL20" s="49">
        <f>IFERROR(__xludf.DUMMYFUNCTION("""COMPUTED_VALUE"""),253.0)</f>
        <v>253</v>
      </c>
      <c r="AM20" s="49">
        <f>IFERROR(__xludf.DUMMYFUNCTION("""COMPUTED_VALUE"""),253.0)</f>
        <v>253</v>
      </c>
      <c r="AN20" s="49">
        <f>IFERROR(__xludf.DUMMYFUNCTION("""COMPUTED_VALUE"""),253.0)</f>
        <v>253</v>
      </c>
      <c r="AO20" s="49">
        <f>IFERROR(__xludf.DUMMYFUNCTION("""COMPUTED_VALUE"""),253.0)</f>
        <v>253</v>
      </c>
      <c r="AP20" s="49">
        <f>IFERROR(__xludf.DUMMYFUNCTION("""COMPUTED_VALUE"""),253.0)</f>
        <v>253</v>
      </c>
      <c r="AQ20" s="49">
        <f>IFERROR(__xludf.DUMMYFUNCTION("""COMPUTED_VALUE"""),253.0)</f>
        <v>253</v>
      </c>
      <c r="AR20" s="49">
        <f>IFERROR(__xludf.DUMMYFUNCTION("""COMPUTED_VALUE"""),248.0)</f>
        <v>248</v>
      </c>
      <c r="AS20" s="37"/>
      <c r="AT20" s="37"/>
      <c r="AU20" s="37"/>
      <c r="AV20" s="37"/>
      <c r="AW20" s="37"/>
      <c r="AX20" s="37"/>
      <c r="AY20" s="37"/>
      <c r="AZ20" s="37"/>
    </row>
    <row r="21">
      <c r="B21" s="37"/>
      <c r="C21" s="37"/>
      <c r="D21" s="37"/>
      <c r="E21" s="37"/>
      <c r="F21" s="37"/>
      <c r="G21" s="37"/>
      <c r="H21" s="37"/>
      <c r="I21" s="37">
        <f>IFERROR(__xludf.DUMMYFUNCTION("""COMPUTED_VALUE"""),17.0)</f>
        <v>17</v>
      </c>
      <c r="J21" s="37"/>
      <c r="K21" s="37" t="str">
        <f>IFERROR(__xludf.DUMMYFUNCTION("""COMPUTED_VALUE"""),"Y")</f>
        <v>Y</v>
      </c>
      <c r="L21" s="37"/>
      <c r="M21" s="37" t="str">
        <f>IFERROR(__xludf.DUMMYFUNCTION("""COMPUTED_VALUE"""),"Journal")</f>
        <v>Journal</v>
      </c>
      <c r="N21" s="45">
        <f>IFERROR(__xludf.DUMMYFUNCTION("""COMPUTED_VALUE"""),45657.0)</f>
        <v>45657</v>
      </c>
      <c r="O21" s="37">
        <f>IFERROR(__xludf.DUMMYFUNCTION("""COMPUTED_VALUE"""),15704.0)</f>
        <v>15704</v>
      </c>
      <c r="P21" s="37"/>
      <c r="Q21" s="37"/>
      <c r="R21" s="37"/>
      <c r="S21" s="37"/>
      <c r="T21" s="37"/>
      <c r="U21" s="37" t="str">
        <f>IFERROR(__xludf.DUMMYFUNCTION("""COMPUTED_VALUE"""),"富邦產物保險股份有限公司_202412_商業火災保險費(113/10/29~114/10/29)(沖)ER4591")</f>
        <v>富邦產物保險股份有限公司_202412_商業火災保險費(113/10/29~114/10/29)(沖)ER4591</v>
      </c>
      <c r="V21" s="37"/>
      <c r="W21" s="37"/>
      <c r="X21" s="37"/>
      <c r="Y21" s="49">
        <f>IFERROR(__xludf.DUMMYFUNCTION("""COMPUTED_VALUE"""),0.0)</f>
        <v>0</v>
      </c>
      <c r="Z21" s="37">
        <f>IFERROR(__xludf.DUMMYFUNCTION("""COMPUTED_VALUE"""),611999.0)</f>
        <v>611999</v>
      </c>
      <c r="AA21" s="37" t="str">
        <f>IFERROR(__xludf.DUMMYFUNCTION("""COMPUTED_VALUE"""),"管理中心")</f>
        <v>管理中心</v>
      </c>
      <c r="AB21" s="48" t="str">
        <f>IFERROR(__xludf.DUMMYFUNCTION("""COMPUTED_VALUE"""),"執行長室 : 管理中心 : 行政總務部 : 行政總務團隊 : 行政總務組")</f>
        <v>執行長室 : 管理中心 : 行政總務部 : 行政總務團隊 : 行政總務組</v>
      </c>
      <c r="AC21" s="48" t="str">
        <f>IFERROR(__xludf.DUMMYFUNCTION("""COMPUTED_VALUE"""),"No_Product_Line")</f>
        <v>No_Product_Line</v>
      </c>
      <c r="AD21" s="48" t="str">
        <f>IFERROR(__xludf.DUMMYFUNCTION("""COMPUTED_VALUE"""),"Baseline")</f>
        <v>Baseline</v>
      </c>
      <c r="AE21" s="48" t="str">
        <f>IFERROR(__xludf.DUMMYFUNCTION("""COMPUTED_VALUE"""),"Baseline")</f>
        <v>Baseline</v>
      </c>
      <c r="AF21" s="49">
        <f>IFERROR(__xludf.DUMMYFUNCTION("""COMPUTED_VALUE"""),8352.0)</f>
        <v>8352</v>
      </c>
      <c r="AG21" s="49">
        <f>IFERROR(__xludf.DUMMYFUNCTION("""COMPUTED_VALUE"""),12.0)</f>
        <v>12</v>
      </c>
      <c r="AH21" s="49">
        <f>IFERROR(__xludf.DUMMYFUNCTION("""COMPUTED_VALUE"""),8352.0)</f>
        <v>8352</v>
      </c>
      <c r="AI21" s="49">
        <f>IFERROR(__xludf.DUMMYFUNCTION("""COMPUTED_VALUE"""),2091.0)</f>
        <v>2091</v>
      </c>
      <c r="AJ21" s="49">
        <f>IFERROR(__xludf.DUMMYFUNCTION("""COMPUTED_VALUE"""),696.0)</f>
        <v>696</v>
      </c>
      <c r="AK21" s="49">
        <f>IFERROR(__xludf.DUMMYFUNCTION("""COMPUTED_VALUE"""),696.0)</f>
        <v>696</v>
      </c>
      <c r="AL21" s="49">
        <f>IFERROR(__xludf.DUMMYFUNCTION("""COMPUTED_VALUE"""),696.0)</f>
        <v>696</v>
      </c>
      <c r="AM21" s="49">
        <f>IFERROR(__xludf.DUMMYFUNCTION("""COMPUTED_VALUE"""),696.0)</f>
        <v>696</v>
      </c>
      <c r="AN21" s="49">
        <f>IFERROR(__xludf.DUMMYFUNCTION("""COMPUTED_VALUE"""),696.0)</f>
        <v>696</v>
      </c>
      <c r="AO21" s="49">
        <f>IFERROR(__xludf.DUMMYFUNCTION("""COMPUTED_VALUE"""),696.0)</f>
        <v>696</v>
      </c>
      <c r="AP21" s="49">
        <f>IFERROR(__xludf.DUMMYFUNCTION("""COMPUTED_VALUE"""),696.0)</f>
        <v>696</v>
      </c>
      <c r="AQ21" s="49">
        <f>IFERROR(__xludf.DUMMYFUNCTION("""COMPUTED_VALUE"""),696.0)</f>
        <v>696</v>
      </c>
      <c r="AR21" s="49">
        <f>IFERROR(__xludf.DUMMYFUNCTION("""COMPUTED_VALUE"""),693.0)</f>
        <v>693</v>
      </c>
      <c r="AS21" s="37"/>
      <c r="AT21" s="37"/>
      <c r="AU21" s="37"/>
      <c r="AV21" s="37"/>
      <c r="AW21" s="37"/>
      <c r="AX21" s="37"/>
      <c r="AY21" s="37"/>
      <c r="AZ21" s="37"/>
    </row>
    <row r="22">
      <c r="B22" s="37"/>
      <c r="C22" s="37"/>
      <c r="D22" s="37"/>
      <c r="E22" s="37"/>
      <c r="F22" s="37"/>
      <c r="G22" s="37"/>
      <c r="H22" s="37"/>
      <c r="I22" s="37">
        <f>IFERROR(__xludf.DUMMYFUNCTION("""COMPUTED_VALUE"""),18.0)</f>
        <v>18</v>
      </c>
      <c r="J22" s="37" t="str">
        <f>IFERROR(__xludf.DUMMYFUNCTION("""COMPUTED_VALUE"""),"Y")</f>
        <v>Y</v>
      </c>
      <c r="K22" s="37" t="str">
        <f>IFERROR(__xludf.DUMMYFUNCTION("""COMPUTED_VALUE"""),"Y")</f>
        <v>Y</v>
      </c>
      <c r="L22" s="37"/>
      <c r="M22" s="37" t="str">
        <f>IFERROR(__xludf.DUMMYFUNCTION("""COMPUTED_VALUE"""),"Journal")</f>
        <v>Journal</v>
      </c>
      <c r="N22" s="45">
        <f>IFERROR(__xludf.DUMMYFUNCTION("""COMPUTED_VALUE"""),45657.0)</f>
        <v>45657</v>
      </c>
      <c r="O22" s="37">
        <f>IFERROR(__xludf.DUMMYFUNCTION("""COMPUTED_VALUE"""),15475.0)</f>
        <v>15475</v>
      </c>
      <c r="P22" s="37"/>
      <c r="Q22" s="37"/>
      <c r="R22" s="37"/>
      <c r="S22" s="37"/>
      <c r="T22" s="37"/>
      <c r="U22" s="37" t="str">
        <f>IFERROR(__xludf.DUMMYFUNCTION("""COMPUTED_VALUE"""),"Notion_202411_核銷企業卡當月款項(20241009-20251002)(12/16扣款)")</f>
        <v>Notion_202411_核銷企業卡當月款項(20241009-20251002)(12/16扣款)</v>
      </c>
      <c r="V22" s="37"/>
      <c r="W22" s="37"/>
      <c r="X22" s="37"/>
      <c r="Y22" s="49">
        <f>IFERROR(__xludf.DUMMYFUNCTION("""COMPUTED_VALUE"""),0.0)</f>
        <v>0</v>
      </c>
      <c r="Z22" s="37">
        <f>IFERROR(__xludf.DUMMYFUNCTION("""COMPUTED_VALUE"""),613201.0)</f>
        <v>613201</v>
      </c>
      <c r="AA22" s="37" t="str">
        <f>IFERROR(__xludf.DUMMYFUNCTION("""COMPUTED_VALUE"""),"管理中心")</f>
        <v>管理中心</v>
      </c>
      <c r="AB22" s="48" t="str">
        <f>IFERROR(__xludf.DUMMYFUNCTION("""COMPUTED_VALUE"""),"執行長室 : 管理中心 : 行政總務部 : 行政總務團隊 : 行政總務組")</f>
        <v>執行長室 : 管理中心 : 行政總務部 : 行政總務團隊 : 行政總務組</v>
      </c>
      <c r="AC22" s="48" t="str">
        <f>IFERROR(__xludf.DUMMYFUNCTION("""COMPUTED_VALUE"""),"No_Product_Line")</f>
        <v>No_Product_Line</v>
      </c>
      <c r="AD22" s="48" t="str">
        <f>IFERROR(__xludf.DUMMYFUNCTION("""COMPUTED_VALUE"""),"Baseline")</f>
        <v>Baseline</v>
      </c>
      <c r="AE22" s="48" t="str">
        <f>IFERROR(__xludf.DUMMYFUNCTION("""COMPUTED_VALUE"""),"Baseline")</f>
        <v>Baseline</v>
      </c>
      <c r="AF22" s="49">
        <f>IFERROR(__xludf.DUMMYFUNCTION("""COMPUTED_VALUE"""),14855.0)</f>
        <v>14855</v>
      </c>
      <c r="AG22" s="49">
        <f>IFERROR(__xludf.DUMMYFUNCTION("""COMPUTED_VALUE"""),12.0)</f>
        <v>12</v>
      </c>
      <c r="AH22" s="49">
        <f>IFERROR(__xludf.DUMMYFUNCTION("""COMPUTED_VALUE"""),14855.0)</f>
        <v>14855</v>
      </c>
      <c r="AI22" s="49">
        <f>IFERROR(__xludf.DUMMYFUNCTION("""COMPUTED_VALUE"""),3717.0)</f>
        <v>3717</v>
      </c>
      <c r="AJ22" s="49">
        <f>IFERROR(__xludf.DUMMYFUNCTION("""COMPUTED_VALUE"""),1237.0)</f>
        <v>1237</v>
      </c>
      <c r="AK22" s="49">
        <f>IFERROR(__xludf.DUMMYFUNCTION("""COMPUTED_VALUE"""),1237.0)</f>
        <v>1237</v>
      </c>
      <c r="AL22" s="49">
        <f>IFERROR(__xludf.DUMMYFUNCTION("""COMPUTED_VALUE"""),1237.0)</f>
        <v>1237</v>
      </c>
      <c r="AM22" s="49">
        <f>IFERROR(__xludf.DUMMYFUNCTION("""COMPUTED_VALUE"""),1237.0)</f>
        <v>1237</v>
      </c>
      <c r="AN22" s="49">
        <f>IFERROR(__xludf.DUMMYFUNCTION("""COMPUTED_VALUE"""),1237.0)</f>
        <v>1237</v>
      </c>
      <c r="AO22" s="49">
        <f>IFERROR(__xludf.DUMMYFUNCTION("""COMPUTED_VALUE"""),1237.0)</f>
        <v>1237</v>
      </c>
      <c r="AP22" s="49">
        <f>IFERROR(__xludf.DUMMYFUNCTION("""COMPUTED_VALUE"""),1237.0)</f>
        <v>1237</v>
      </c>
      <c r="AQ22" s="49">
        <f>IFERROR(__xludf.DUMMYFUNCTION("""COMPUTED_VALUE"""),1237.0)</f>
        <v>1237</v>
      </c>
      <c r="AR22" s="49">
        <f>IFERROR(__xludf.DUMMYFUNCTION("""COMPUTED_VALUE"""),1242.0)</f>
        <v>1242</v>
      </c>
      <c r="AS22" s="37"/>
      <c r="AT22" s="37"/>
      <c r="AU22" s="37"/>
      <c r="AV22" s="37"/>
      <c r="AW22" s="37"/>
      <c r="AX22" s="37"/>
      <c r="AY22" s="37"/>
      <c r="AZ22" s="37"/>
    </row>
    <row r="23">
      <c r="B23" s="37"/>
      <c r="C23" s="37"/>
      <c r="D23" s="37"/>
      <c r="E23" s="37"/>
      <c r="F23" s="37"/>
      <c r="G23" s="37"/>
      <c r="H23" s="37"/>
      <c r="I23" s="37">
        <f>IFERROR(__xludf.DUMMYFUNCTION("""COMPUTED_VALUE"""),19.0)</f>
        <v>19</v>
      </c>
      <c r="J23" s="37" t="str">
        <f>IFERROR(__xludf.DUMMYFUNCTION("""COMPUTED_VALUE"""),"Y")</f>
        <v>Y</v>
      </c>
      <c r="K23" s="37" t="str">
        <f>IFERROR(__xludf.DUMMYFUNCTION("""COMPUTED_VALUE"""),"Y")</f>
        <v>Y</v>
      </c>
      <c r="L23" s="37"/>
      <c r="M23" s="37" t="str">
        <f>IFERROR(__xludf.DUMMYFUNCTION("""COMPUTED_VALUE"""),"Bill")</f>
        <v>Bill</v>
      </c>
      <c r="N23" s="45">
        <f>IFERROR(__xludf.DUMMYFUNCTION("""COMPUTED_VALUE"""),45657.0)</f>
        <v>45657</v>
      </c>
      <c r="O23" s="37">
        <f>IFERROR(__xludf.DUMMYFUNCTION("""COMPUTED_VALUE"""),5852.0)</f>
        <v>5852</v>
      </c>
      <c r="P23" s="37"/>
      <c r="Q23" s="37"/>
      <c r="R23" s="37"/>
      <c r="S23" s="37"/>
      <c r="T23" s="37"/>
      <c r="U23" s="37" t="str">
        <f>IFERROR(__xludf.DUMMYFUNCTION("""COMPUTED_VALUE"""),"Salesforce.com Singapore Pte. Ltd 202412 款項_20241201-20251130_ (Slack Pro 帳號一年訂閱)[憑證在ER4778]")</f>
        <v>Salesforce.com Singapore Pte. Ltd 202412 款項_20241201-20251130_ (Slack Pro 帳號一年訂閱)[憑證在ER4778]</v>
      </c>
      <c r="V23" s="37"/>
      <c r="W23" s="37"/>
      <c r="X23" s="37"/>
      <c r="Y23" s="49">
        <f>IFERROR(__xludf.DUMMYFUNCTION("""COMPUTED_VALUE"""),85312.0)</f>
        <v>85312</v>
      </c>
      <c r="Z23" s="37">
        <f>IFERROR(__xludf.DUMMYFUNCTION("""COMPUTED_VALUE"""),613201.0)</f>
        <v>613201</v>
      </c>
      <c r="AA23" s="37" t="str">
        <f>IFERROR(__xludf.DUMMYFUNCTION("""COMPUTED_VALUE"""),"執行長室")</f>
        <v>執行長室</v>
      </c>
      <c r="AB23" s="48" t="str">
        <f>IFERROR(__xludf.DUMMYFUNCTION("""COMPUTED_VALUE"""),"執行長室 : 管理中心 : 資訊部")</f>
        <v>執行長室 : 管理中心 : 資訊部</v>
      </c>
      <c r="AC23" s="48" t="str">
        <f>IFERROR(__xludf.DUMMYFUNCTION("""COMPUTED_VALUE"""),"No_Product_Line")</f>
        <v>No_Product_Line</v>
      </c>
      <c r="AD23" s="48" t="str">
        <f>IFERROR(__xludf.DUMMYFUNCTION("""COMPUTED_VALUE"""),"Baseline")</f>
        <v>Baseline</v>
      </c>
      <c r="AE23" s="48" t="str">
        <f>IFERROR(__xludf.DUMMYFUNCTION("""COMPUTED_VALUE"""),"Baseline")</f>
        <v>Baseline</v>
      </c>
      <c r="AF23" s="49">
        <f>IFERROR(__xludf.DUMMYFUNCTION("""COMPUTED_VALUE"""),512087.0)</f>
        <v>512087</v>
      </c>
      <c r="AG23" s="49">
        <f>IFERROR(__xludf.DUMMYFUNCTION("""COMPUTED_VALUE"""),12.0)</f>
        <v>12</v>
      </c>
      <c r="AH23" s="49">
        <f>IFERROR(__xludf.DUMMYFUNCTION("""COMPUTED_VALUE"""),426775.0)</f>
        <v>426775</v>
      </c>
      <c r="AI23" s="49">
        <f>IFERROR(__xludf.DUMMYFUNCTION("""COMPUTED_VALUE"""),42862.0)</f>
        <v>42862</v>
      </c>
      <c r="AJ23" s="49">
        <f>IFERROR(__xludf.DUMMYFUNCTION("""COMPUTED_VALUE"""),42657.0)</f>
        <v>42657</v>
      </c>
      <c r="AK23" s="49">
        <f>IFERROR(__xludf.DUMMYFUNCTION("""COMPUTED_VALUE"""),42657.0)</f>
        <v>42657</v>
      </c>
      <c r="AL23" s="49">
        <f>IFERROR(__xludf.DUMMYFUNCTION("""COMPUTED_VALUE"""),42657.0)</f>
        <v>42657</v>
      </c>
      <c r="AM23" s="49">
        <f>IFERROR(__xludf.DUMMYFUNCTION("""COMPUTED_VALUE"""),42657.0)</f>
        <v>42657</v>
      </c>
      <c r="AN23" s="49">
        <f>IFERROR(__xludf.DUMMYFUNCTION("""COMPUTED_VALUE"""),42657.0)</f>
        <v>42657</v>
      </c>
      <c r="AO23" s="49">
        <f>IFERROR(__xludf.DUMMYFUNCTION("""COMPUTED_VALUE"""),42657.0)</f>
        <v>42657</v>
      </c>
      <c r="AP23" s="49">
        <f>IFERROR(__xludf.DUMMYFUNCTION("""COMPUTED_VALUE"""),42657.0)</f>
        <v>42657</v>
      </c>
      <c r="AQ23" s="49">
        <f>IFERROR(__xludf.DUMMYFUNCTION("""COMPUTED_VALUE"""),42657.0)</f>
        <v>42657</v>
      </c>
      <c r="AR23" s="49">
        <f>IFERROR(__xludf.DUMMYFUNCTION("""COMPUTED_VALUE"""),42657.0)</f>
        <v>42657</v>
      </c>
      <c r="AS23" s="49">
        <f>IFERROR(__xludf.DUMMYFUNCTION("""COMPUTED_VALUE"""),42657.0)</f>
        <v>42657</v>
      </c>
      <c r="AT23" s="49">
        <f>IFERROR(__xludf.DUMMYFUNCTION("""COMPUTED_VALUE"""),42655.0)</f>
        <v>42655</v>
      </c>
      <c r="AU23" s="37"/>
      <c r="AV23" s="37"/>
      <c r="AW23" s="37"/>
      <c r="AX23" s="37"/>
      <c r="AY23" s="37"/>
      <c r="AZ23" s="37"/>
    </row>
    <row r="24">
      <c r="B24" s="37"/>
      <c r="C24" s="37"/>
      <c r="D24" s="37"/>
      <c r="E24" s="37"/>
      <c r="F24" s="37"/>
      <c r="G24" s="37"/>
      <c r="H24" s="37"/>
      <c r="I24" s="37">
        <f>IFERROR(__xludf.DUMMYFUNCTION("""COMPUTED_VALUE"""),20.0)</f>
        <v>20</v>
      </c>
      <c r="J24" s="37" t="str">
        <f>IFERROR(__xludf.DUMMYFUNCTION("""COMPUTED_VALUE"""),"Y")</f>
        <v>Y</v>
      </c>
      <c r="K24" s="37" t="str">
        <f>IFERROR(__xludf.DUMMYFUNCTION("""COMPUTED_VALUE"""),"Y")</f>
        <v>Y</v>
      </c>
      <c r="L24" s="37"/>
      <c r="M24" s="37" t="str">
        <f>IFERROR(__xludf.DUMMYFUNCTION("""COMPUTED_VALUE"""),"Journal")</f>
        <v>Journal</v>
      </c>
      <c r="N24" s="45">
        <f>IFERROR(__xludf.DUMMYFUNCTION("""COMPUTED_VALUE"""),45657.0)</f>
        <v>45657</v>
      </c>
      <c r="O24" s="37">
        <f>IFERROR(__xludf.DUMMYFUNCTION("""COMPUTED_VALUE"""),15602.0)</f>
        <v>15602</v>
      </c>
      <c r="P24" s="37"/>
      <c r="Q24" s="37"/>
      <c r="R24" s="37"/>
      <c r="S24" s="37"/>
      <c r="T24" s="37"/>
      <c r="U24" s="37" t="str">
        <f>IFERROR(__xludf.DUMMYFUNCTION("""COMPUTED_VALUE"""),"馬來西亞商思想科技有限公司台灣分公司 2024-12 GWS(20250106-1231)_PCAR-1768(沖)ER4777")</f>
        <v>馬來西亞商思想科技有限公司台灣分公司 2024-12 GWS(20250106-1231)_PCAR-1768(沖)ER4777</v>
      </c>
      <c r="V24" s="37"/>
      <c r="W24" s="37"/>
      <c r="X24" s="37"/>
      <c r="Y24" s="49">
        <f>IFERROR(__xludf.DUMMYFUNCTION("""COMPUTED_VALUE"""),206488.0)</f>
        <v>206488</v>
      </c>
      <c r="Z24" s="37">
        <f>IFERROR(__xludf.DUMMYFUNCTION("""COMPUTED_VALUE"""),613201.0)</f>
        <v>613201</v>
      </c>
      <c r="AA24" s="37" t="str">
        <f>IFERROR(__xludf.DUMMYFUNCTION("""COMPUTED_VALUE"""),"管理中心")</f>
        <v>管理中心</v>
      </c>
      <c r="AB24" s="48" t="str">
        <f>IFERROR(__xludf.DUMMYFUNCTION("""COMPUTED_VALUE"""),"執行長室 : 管理中心 : 資訊部")</f>
        <v>執行長室 : 管理中心 : 資訊部</v>
      </c>
      <c r="AC24" s="48" t="str">
        <f>IFERROR(__xludf.DUMMYFUNCTION("""COMPUTED_VALUE"""),"No_Product_Line")</f>
        <v>No_Product_Line</v>
      </c>
      <c r="AD24" s="48" t="str">
        <f>IFERROR(__xludf.DUMMYFUNCTION("""COMPUTED_VALUE"""),"Baseline")</f>
        <v>Baseline</v>
      </c>
      <c r="AE24" s="48" t="str">
        <f>IFERROR(__xludf.DUMMYFUNCTION("""COMPUTED_VALUE"""),"Baseline")</f>
        <v>Baseline</v>
      </c>
      <c r="AF24" s="49">
        <f>IFERROR(__xludf.DUMMYFUNCTION("""COMPUTED_VALUE"""),826280.0)</f>
        <v>826280</v>
      </c>
      <c r="AG24" s="49">
        <f>IFERROR(__xludf.DUMMYFUNCTION("""COMPUTED_VALUE"""),12.0)</f>
        <v>12</v>
      </c>
      <c r="AH24" s="49">
        <f>IFERROR(__xludf.DUMMYFUNCTION("""COMPUTED_VALUE"""),619792.0)</f>
        <v>619792</v>
      </c>
      <c r="AI24" s="49">
        <f>IFERROR(__xludf.DUMMYFUNCTION("""COMPUTED_VALUE"""),0.0)</f>
        <v>0</v>
      </c>
      <c r="AJ24" s="49">
        <f>IFERROR(__xludf.DUMMYFUNCTION("""COMPUTED_VALUE"""),69160.0)</f>
        <v>69160</v>
      </c>
      <c r="AK24" s="49">
        <f>IFERROR(__xludf.DUMMYFUNCTION("""COMPUTED_VALUE"""),68829.0)</f>
        <v>68829</v>
      </c>
      <c r="AL24" s="49">
        <f>IFERROR(__xludf.DUMMYFUNCTION("""COMPUTED_VALUE"""),68829.0)</f>
        <v>68829</v>
      </c>
      <c r="AM24" s="49">
        <f>IFERROR(__xludf.DUMMYFUNCTION("""COMPUTED_VALUE"""),68829.0)</f>
        <v>68829</v>
      </c>
      <c r="AN24" s="49">
        <f>IFERROR(__xludf.DUMMYFUNCTION("""COMPUTED_VALUE"""),68829.0)</f>
        <v>68829</v>
      </c>
      <c r="AO24" s="49">
        <f>IFERROR(__xludf.DUMMYFUNCTION("""COMPUTED_VALUE"""),68829.0)</f>
        <v>68829</v>
      </c>
      <c r="AP24" s="49">
        <f>IFERROR(__xludf.DUMMYFUNCTION("""COMPUTED_VALUE"""),68829.0)</f>
        <v>68829</v>
      </c>
      <c r="AQ24" s="49">
        <f>IFERROR(__xludf.DUMMYFUNCTION("""COMPUTED_VALUE"""),68829.0)</f>
        <v>68829</v>
      </c>
      <c r="AR24" s="49">
        <f>IFERROR(__xludf.DUMMYFUNCTION("""COMPUTED_VALUE"""),68829.0)</f>
        <v>68829</v>
      </c>
      <c r="AS24" s="49">
        <f>IFERROR(__xludf.DUMMYFUNCTION("""COMPUTED_VALUE"""),68829.0)</f>
        <v>68829</v>
      </c>
      <c r="AT24" s="49">
        <f>IFERROR(__xludf.DUMMYFUNCTION("""COMPUTED_VALUE"""),68829.0)</f>
        <v>68829</v>
      </c>
      <c r="AU24" s="49">
        <f>IFERROR(__xludf.DUMMYFUNCTION("""COMPUTED_VALUE"""),68830.0)</f>
        <v>68830</v>
      </c>
      <c r="AV24" s="37"/>
      <c r="AW24" s="37"/>
      <c r="AX24" s="37"/>
      <c r="AY24" s="37"/>
      <c r="AZ24" s="37"/>
    </row>
    <row r="25">
      <c r="B25" s="37"/>
      <c r="C25" s="37"/>
      <c r="D25" s="37"/>
      <c r="E25" s="37"/>
      <c r="F25" s="37"/>
      <c r="G25" s="37"/>
      <c r="H25" s="37"/>
      <c r="I25" s="37">
        <f>IFERROR(__xludf.DUMMYFUNCTION("""COMPUTED_VALUE"""),21.0)</f>
        <v>21</v>
      </c>
      <c r="J25" s="37" t="str">
        <f>IFERROR(__xludf.DUMMYFUNCTION("""COMPUTED_VALUE"""),"Y")</f>
        <v>Y</v>
      </c>
      <c r="K25" s="37" t="str">
        <f>IFERROR(__xludf.DUMMYFUNCTION("""COMPUTED_VALUE"""),"Y")</f>
        <v>Y</v>
      </c>
      <c r="L25" s="37"/>
      <c r="M25" s="37" t="str">
        <f>IFERROR(__xludf.DUMMYFUNCTION("""COMPUTED_VALUE"""),"Journal")</f>
        <v>Journal</v>
      </c>
      <c r="N25" s="45">
        <f>IFERROR(__xludf.DUMMYFUNCTION("""COMPUTED_VALUE"""),45657.0)</f>
        <v>45657</v>
      </c>
      <c r="O25" s="37">
        <f>IFERROR(__xludf.DUMMYFUNCTION("""COMPUTED_VALUE"""),15602.0)</f>
        <v>15602</v>
      </c>
      <c r="P25" s="37"/>
      <c r="Q25" s="37"/>
      <c r="R25" s="37"/>
      <c r="S25" s="37"/>
      <c r="T25" s="37"/>
      <c r="U25" s="37" t="str">
        <f>IFERROR(__xludf.DUMMYFUNCTION("""COMPUTED_VALUE"""),"馬來西亞商思想科技有限公司台灣分公司 2024-12 Jamf(20250101-1231)_PCAR-1648(沖)ER4777")</f>
        <v>馬來西亞商思想科技有限公司台灣分公司 2024-12 Jamf(20250101-1231)_PCAR-1648(沖)ER4777</v>
      </c>
      <c r="V25" s="37"/>
      <c r="W25" s="37"/>
      <c r="X25" s="37"/>
      <c r="Y25" s="49">
        <f>IFERROR(__xludf.DUMMYFUNCTION("""COMPUTED_VALUE"""),232257.0)</f>
        <v>232257</v>
      </c>
      <c r="Z25" s="37">
        <f>IFERROR(__xludf.DUMMYFUNCTION("""COMPUTED_VALUE"""),613201.0)</f>
        <v>613201</v>
      </c>
      <c r="AA25" s="37" t="str">
        <f>IFERROR(__xludf.DUMMYFUNCTION("""COMPUTED_VALUE"""),"管理中心")</f>
        <v>管理中心</v>
      </c>
      <c r="AB25" s="48" t="str">
        <f>IFERROR(__xludf.DUMMYFUNCTION("""COMPUTED_VALUE"""),"執行長室 : 管理中心 : 資訊部")</f>
        <v>執行長室 : 管理中心 : 資訊部</v>
      </c>
      <c r="AC25" s="48" t="str">
        <f>IFERROR(__xludf.DUMMYFUNCTION("""COMPUTED_VALUE"""),"No_Product_Line")</f>
        <v>No_Product_Line</v>
      </c>
      <c r="AD25" s="48" t="str">
        <f>IFERROR(__xludf.DUMMYFUNCTION("""COMPUTED_VALUE"""),"Baseline")</f>
        <v>Baseline</v>
      </c>
      <c r="AE25" s="48" t="str">
        <f>IFERROR(__xludf.DUMMYFUNCTION("""COMPUTED_VALUE"""),"Baseline")</f>
        <v>Baseline</v>
      </c>
      <c r="AF25" s="49">
        <f>IFERROR(__xludf.DUMMYFUNCTION("""COMPUTED_VALUE"""),929400.0)</f>
        <v>929400</v>
      </c>
      <c r="AG25" s="49">
        <f>IFERROR(__xludf.DUMMYFUNCTION("""COMPUTED_VALUE"""),12.0)</f>
        <v>12</v>
      </c>
      <c r="AH25" s="49">
        <f>IFERROR(__xludf.DUMMYFUNCTION("""COMPUTED_VALUE"""),697143.0)</f>
        <v>697143</v>
      </c>
      <c r="AI25" s="49">
        <f>IFERROR(__xludf.DUMMYFUNCTION("""COMPUTED_VALUE"""),0.0)</f>
        <v>0</v>
      </c>
      <c r="AJ25" s="49">
        <f>IFERROR(__xludf.DUMMYFUNCTION("""COMPUTED_VALUE"""),77791.0)</f>
        <v>77791</v>
      </c>
      <c r="AK25" s="49">
        <f>IFERROR(__xludf.DUMMYFUNCTION("""COMPUTED_VALUE"""),77419.0)</f>
        <v>77419</v>
      </c>
      <c r="AL25" s="49">
        <f>IFERROR(__xludf.DUMMYFUNCTION("""COMPUTED_VALUE"""),77419.0)</f>
        <v>77419</v>
      </c>
      <c r="AM25" s="49">
        <f>IFERROR(__xludf.DUMMYFUNCTION("""COMPUTED_VALUE"""),77419.0)</f>
        <v>77419</v>
      </c>
      <c r="AN25" s="49">
        <f>IFERROR(__xludf.DUMMYFUNCTION("""COMPUTED_VALUE"""),77419.0)</f>
        <v>77419</v>
      </c>
      <c r="AO25" s="49">
        <f>IFERROR(__xludf.DUMMYFUNCTION("""COMPUTED_VALUE"""),77419.0)</f>
        <v>77419</v>
      </c>
      <c r="AP25" s="49">
        <f>IFERROR(__xludf.DUMMYFUNCTION("""COMPUTED_VALUE"""),77419.0)</f>
        <v>77419</v>
      </c>
      <c r="AQ25" s="49">
        <f>IFERROR(__xludf.DUMMYFUNCTION("""COMPUTED_VALUE"""),77419.0)</f>
        <v>77419</v>
      </c>
      <c r="AR25" s="49">
        <f>IFERROR(__xludf.DUMMYFUNCTION("""COMPUTED_VALUE"""),77419.0)</f>
        <v>77419</v>
      </c>
      <c r="AS25" s="49">
        <f>IFERROR(__xludf.DUMMYFUNCTION("""COMPUTED_VALUE"""),77419.0)</f>
        <v>77419</v>
      </c>
      <c r="AT25" s="49">
        <f>IFERROR(__xludf.DUMMYFUNCTION("""COMPUTED_VALUE"""),77419.0)</f>
        <v>77419</v>
      </c>
      <c r="AU25" s="49">
        <f>IFERROR(__xludf.DUMMYFUNCTION("""COMPUTED_VALUE"""),77419.0)</f>
        <v>77419</v>
      </c>
      <c r="AV25" s="37"/>
      <c r="AW25" s="37"/>
      <c r="AX25" s="37"/>
      <c r="AY25" s="37"/>
      <c r="AZ25" s="37"/>
    </row>
    <row r="26">
      <c r="B26" s="37"/>
      <c r="C26" s="37"/>
      <c r="D26" s="37"/>
      <c r="E26" s="37"/>
      <c r="F26" s="37"/>
      <c r="G26" s="37"/>
      <c r="H26" s="37"/>
      <c r="I26" s="37">
        <f>IFERROR(__xludf.DUMMYFUNCTION("""COMPUTED_VALUE"""),22.0)</f>
        <v>22</v>
      </c>
      <c r="J26" s="37" t="str">
        <f>IFERROR(__xludf.DUMMYFUNCTION("""COMPUTED_VALUE"""),"Y")</f>
        <v>Y</v>
      </c>
      <c r="K26" s="37" t="str">
        <f>IFERROR(__xludf.DUMMYFUNCTION("""COMPUTED_VALUE"""),"Y")</f>
        <v>Y</v>
      </c>
      <c r="L26" s="37"/>
      <c r="M26" s="37" t="str">
        <f>IFERROR(__xludf.DUMMYFUNCTION("""COMPUTED_VALUE"""),"Journal")</f>
        <v>Journal</v>
      </c>
      <c r="N26" s="45">
        <f>IFERROR(__xludf.DUMMYFUNCTION("""COMPUTED_VALUE"""),45657.0)</f>
        <v>45657</v>
      </c>
      <c r="O26" s="37">
        <f>IFERROR(__xludf.DUMMYFUNCTION("""COMPUTED_VALUE"""),15602.0)</f>
        <v>15602</v>
      </c>
      <c r="P26" s="37"/>
      <c r="Q26" s="37"/>
      <c r="R26" s="37"/>
      <c r="S26" s="37"/>
      <c r="T26" s="37"/>
      <c r="U26" s="37" t="str">
        <f>IFERROR(__xludf.DUMMYFUNCTION("""COMPUTED_VALUE"""),"馬來西亞商思想科技有限公司台灣分公司 2024-12 GWS(20250106-1231)_PCAR-1768(沖)ER4777")</f>
        <v>馬來西亞商思想科技有限公司台灣分公司 2024-12 GWS(20250106-1231)_PCAR-1768(沖)ER4777</v>
      </c>
      <c r="V26" s="37"/>
      <c r="W26" s="37"/>
      <c r="X26" s="37"/>
      <c r="Y26" s="49">
        <f>IFERROR(__xludf.DUMMYFUNCTION("""COMPUTED_VALUE"""),287674.0)</f>
        <v>287674</v>
      </c>
      <c r="Z26" s="37">
        <f>IFERROR(__xludf.DUMMYFUNCTION("""COMPUTED_VALUE"""),613201.0)</f>
        <v>613201</v>
      </c>
      <c r="AA26" s="37" t="str">
        <f>IFERROR(__xludf.DUMMYFUNCTION("""COMPUTED_VALUE"""),"管理中心")</f>
        <v>管理中心</v>
      </c>
      <c r="AB26" s="48" t="str">
        <f>IFERROR(__xludf.DUMMYFUNCTION("""COMPUTED_VALUE"""),"執行長室 : 管理中心 : 資訊部")</f>
        <v>執行長室 : 管理中心 : 資訊部</v>
      </c>
      <c r="AC26" s="48" t="str">
        <f>IFERROR(__xludf.DUMMYFUNCTION("""COMPUTED_VALUE"""),"No_Product_Line")</f>
        <v>No_Product_Line</v>
      </c>
      <c r="AD26" s="48" t="str">
        <f>IFERROR(__xludf.DUMMYFUNCTION("""COMPUTED_VALUE"""),"Baseline")</f>
        <v>Baseline</v>
      </c>
      <c r="AE26" s="48" t="str">
        <f>IFERROR(__xludf.DUMMYFUNCTION("""COMPUTED_VALUE"""),"Baseline")</f>
        <v>Baseline</v>
      </c>
      <c r="AF26" s="49">
        <f>IFERROR(__xludf.DUMMYFUNCTION("""COMPUTED_VALUE"""),1726725.0)</f>
        <v>1726725</v>
      </c>
      <c r="AG26" s="49">
        <f>IFERROR(__xludf.DUMMYFUNCTION("""COMPUTED_VALUE"""),12.0)</f>
        <v>12</v>
      </c>
      <c r="AH26" s="49">
        <f>IFERROR(__xludf.DUMMYFUNCTION("""COMPUTED_VALUE"""),1439051.0)</f>
        <v>1439051</v>
      </c>
      <c r="AI26" s="49">
        <f>IFERROR(__xludf.DUMMYFUNCTION("""COMPUTED_VALUE"""),144527.0)</f>
        <v>144527</v>
      </c>
      <c r="AJ26" s="49">
        <f>IFERROR(__xludf.DUMMYFUNCTION("""COMPUTED_VALUE"""),143836.0)</f>
        <v>143836</v>
      </c>
      <c r="AK26" s="49">
        <f>IFERROR(__xludf.DUMMYFUNCTION("""COMPUTED_VALUE"""),143836.0)</f>
        <v>143836</v>
      </c>
      <c r="AL26" s="49">
        <f>IFERROR(__xludf.DUMMYFUNCTION("""COMPUTED_VALUE"""),143836.0)</f>
        <v>143836</v>
      </c>
      <c r="AM26" s="49">
        <f>IFERROR(__xludf.DUMMYFUNCTION("""COMPUTED_VALUE"""),143836.0)</f>
        <v>143836</v>
      </c>
      <c r="AN26" s="49">
        <f>IFERROR(__xludf.DUMMYFUNCTION("""COMPUTED_VALUE"""),143836.0)</f>
        <v>143836</v>
      </c>
      <c r="AO26" s="49">
        <f>IFERROR(__xludf.DUMMYFUNCTION("""COMPUTED_VALUE"""),143836.0)</f>
        <v>143836</v>
      </c>
      <c r="AP26" s="49">
        <f>IFERROR(__xludf.DUMMYFUNCTION("""COMPUTED_VALUE"""),143836.0)</f>
        <v>143836</v>
      </c>
      <c r="AQ26" s="49">
        <f>IFERROR(__xludf.DUMMYFUNCTION("""COMPUTED_VALUE"""),143836.0)</f>
        <v>143836</v>
      </c>
      <c r="AR26" s="49">
        <f>IFERROR(__xludf.DUMMYFUNCTION("""COMPUTED_VALUE"""),143836.0)</f>
        <v>143836</v>
      </c>
      <c r="AS26" s="49">
        <f>IFERROR(__xludf.DUMMYFUNCTION("""COMPUTED_VALUE"""),143836.0)</f>
        <v>143836</v>
      </c>
      <c r="AT26" s="49">
        <f>IFERROR(__xludf.DUMMYFUNCTION("""COMPUTED_VALUE"""),143838.0)</f>
        <v>143838</v>
      </c>
      <c r="AU26" s="37"/>
      <c r="AV26" s="37"/>
      <c r="AW26" s="37"/>
      <c r="AX26" s="37"/>
      <c r="AY26" s="37"/>
      <c r="AZ26" s="37"/>
    </row>
    <row r="27">
      <c r="B27" s="37"/>
      <c r="C27" s="37"/>
      <c r="D27" s="37"/>
      <c r="E27" s="37"/>
      <c r="F27" s="37"/>
      <c r="G27" s="37"/>
      <c r="H27" s="37"/>
      <c r="I27" s="37">
        <f>IFERROR(__xludf.DUMMYFUNCTION("""COMPUTED_VALUE"""),23.0)</f>
        <v>23</v>
      </c>
      <c r="J27" s="37" t="str">
        <f>IFERROR(__xludf.DUMMYFUNCTION("""COMPUTED_VALUE"""),"Y")</f>
        <v>Y</v>
      </c>
      <c r="K27" s="37" t="str">
        <f>IFERROR(__xludf.DUMMYFUNCTION("""COMPUTED_VALUE"""),"Y")</f>
        <v>Y</v>
      </c>
      <c r="L27" s="37"/>
      <c r="M27" s="37" t="str">
        <f>IFERROR(__xludf.DUMMYFUNCTION("""COMPUTED_VALUE"""),"Journal")</f>
        <v>Journal</v>
      </c>
      <c r="N27" s="45">
        <f>IFERROR(__xludf.DUMMYFUNCTION("""COMPUTED_VALUE"""),45715.0)</f>
        <v>45715</v>
      </c>
      <c r="O27" s="37">
        <f>IFERROR(__xludf.DUMMYFUNCTION("""COMPUTED_VALUE"""),16289.0)</f>
        <v>16289</v>
      </c>
      <c r="P27" s="37"/>
      <c r="Q27" s="37"/>
      <c r="R27" s="37"/>
      <c r="S27" s="37"/>
      <c r="T27" s="37"/>
      <c r="U27" s="37" t="str">
        <f>IFERROR(__xludf.DUMMYFUNCTION("""COMPUTED_VALUE"""),"大綜電腦系統股份有限公司 202502 M365軟體_PCAR-2229(20250130-20260129)(沖)ER5250")</f>
        <v>大綜電腦系統股份有限公司 202502 M365軟體_PCAR-2229(20250130-20260129)(沖)ER5250</v>
      </c>
      <c r="V27" s="37"/>
      <c r="W27" s="37"/>
      <c r="X27" s="37"/>
      <c r="Y27" s="49">
        <f>IFERROR(__xludf.DUMMYFUNCTION("""COMPUTED_VALUE"""),852.0)</f>
        <v>852</v>
      </c>
      <c r="Z27" s="37">
        <f>IFERROR(__xludf.DUMMYFUNCTION("""COMPUTED_VALUE"""),613201.0)</f>
        <v>613201</v>
      </c>
      <c r="AA27" s="37" t="str">
        <f>IFERROR(__xludf.DUMMYFUNCTION("""COMPUTED_VALUE"""),"執行長室")</f>
        <v>執行長室</v>
      </c>
      <c r="AB27" s="48" t="str">
        <f>IFERROR(__xludf.DUMMYFUNCTION("""COMPUTED_VALUE"""),"執行長室")</f>
        <v>執行長室</v>
      </c>
      <c r="AC27" s="48" t="str">
        <f>IFERROR(__xludf.DUMMYFUNCTION("""COMPUTED_VALUE"""),"No_Product_Line")</f>
        <v>No_Product_Line</v>
      </c>
      <c r="AD27" s="48" t="str">
        <f>IFERROR(__xludf.DUMMYFUNCTION("""COMPUTED_VALUE"""),"Baseline")</f>
        <v>Baseline</v>
      </c>
      <c r="AE27" s="48" t="str">
        <f>IFERROR(__xludf.DUMMYFUNCTION("""COMPUTED_VALUE"""),"Baseline")</f>
        <v>Baseline</v>
      </c>
      <c r="AF27" s="49">
        <f>IFERROR(__xludf.DUMMYFUNCTION("""COMPUTED_VALUE"""),3418.0)</f>
        <v>3418</v>
      </c>
      <c r="AG27" s="49">
        <f>IFERROR(__xludf.DUMMYFUNCTION("""COMPUTED_VALUE"""),12.0)</f>
        <v>12</v>
      </c>
      <c r="AH27" s="49">
        <f>IFERROR(__xludf.DUMMYFUNCTION("""COMPUTED_VALUE"""),2566.0)</f>
        <v>2566</v>
      </c>
      <c r="AI27" s="49">
        <f>IFERROR(__xludf.DUMMYFUNCTION("""COMPUTED_VALUE"""),0.0)</f>
        <v>0</v>
      </c>
      <c r="AJ27" s="37"/>
      <c r="AK27" s="49">
        <f>IFERROR(__xludf.DUMMYFUNCTION("""COMPUTED_VALUE"""),571.0)</f>
        <v>571</v>
      </c>
      <c r="AL27" s="49">
        <f>IFERROR(__xludf.DUMMYFUNCTION("""COMPUTED_VALUE"""),285.0)</f>
        <v>285</v>
      </c>
      <c r="AM27" s="49">
        <f>IFERROR(__xludf.DUMMYFUNCTION("""COMPUTED_VALUE"""),285.0)</f>
        <v>285</v>
      </c>
      <c r="AN27" s="49">
        <f>IFERROR(__xludf.DUMMYFUNCTION("""COMPUTED_VALUE"""),285.0)</f>
        <v>285</v>
      </c>
      <c r="AO27" s="49">
        <f>IFERROR(__xludf.DUMMYFUNCTION("""COMPUTED_VALUE"""),285.0)</f>
        <v>285</v>
      </c>
      <c r="AP27" s="49">
        <f>IFERROR(__xludf.DUMMYFUNCTION("""COMPUTED_VALUE"""),285.0)</f>
        <v>285</v>
      </c>
      <c r="AQ27" s="49">
        <f>IFERROR(__xludf.DUMMYFUNCTION("""COMPUTED_VALUE"""),285.0)</f>
        <v>285</v>
      </c>
      <c r="AR27" s="49">
        <f>IFERROR(__xludf.DUMMYFUNCTION("""COMPUTED_VALUE"""),285.0)</f>
        <v>285</v>
      </c>
      <c r="AS27" s="49">
        <f>IFERROR(__xludf.DUMMYFUNCTION("""COMPUTED_VALUE"""),285.0)</f>
        <v>285</v>
      </c>
      <c r="AT27" s="49">
        <f>IFERROR(__xludf.DUMMYFUNCTION("""COMPUTED_VALUE"""),285.0)</f>
        <v>285</v>
      </c>
      <c r="AU27" s="49">
        <f>IFERROR(__xludf.DUMMYFUNCTION("""COMPUTED_VALUE"""),282.0)</f>
        <v>282</v>
      </c>
      <c r="AV27" s="37"/>
      <c r="AW27" s="37"/>
      <c r="AX27" s="37"/>
      <c r="AY27" s="37"/>
      <c r="AZ27" s="37"/>
    </row>
    <row r="28">
      <c r="B28" s="37"/>
      <c r="C28" s="37"/>
      <c r="D28" s="37"/>
      <c r="E28" s="37"/>
      <c r="F28" s="37"/>
      <c r="G28" s="37"/>
      <c r="H28" s="37"/>
      <c r="I28" s="37">
        <f>IFERROR(__xludf.DUMMYFUNCTION("""COMPUTED_VALUE"""),24.0)</f>
        <v>24</v>
      </c>
      <c r="J28" s="37" t="str">
        <f>IFERROR(__xludf.DUMMYFUNCTION("""COMPUTED_VALUE"""),"Y")</f>
        <v>Y</v>
      </c>
      <c r="K28" s="37" t="str">
        <f>IFERROR(__xludf.DUMMYFUNCTION("""COMPUTED_VALUE"""),"Y")</f>
        <v>Y</v>
      </c>
      <c r="L28" s="37"/>
      <c r="M28" s="37" t="str">
        <f>IFERROR(__xludf.DUMMYFUNCTION("""COMPUTED_VALUE"""),"Journal")</f>
        <v>Journal</v>
      </c>
      <c r="N28" s="45">
        <f>IFERROR(__xludf.DUMMYFUNCTION("""COMPUTED_VALUE"""),45715.0)</f>
        <v>45715</v>
      </c>
      <c r="O28" s="37">
        <f>IFERROR(__xludf.DUMMYFUNCTION("""COMPUTED_VALUE"""),16289.0)</f>
        <v>16289</v>
      </c>
      <c r="P28" s="37"/>
      <c r="Q28" s="37"/>
      <c r="R28" s="37"/>
      <c r="S28" s="37"/>
      <c r="T28" s="37"/>
      <c r="U28" s="37" t="str">
        <f>IFERROR(__xludf.DUMMYFUNCTION("""COMPUTED_VALUE"""),"大綜電腦系統股份有限公司 202502 M365軟體_PCAR-2229(20250130-20260129)(沖)ER5250")</f>
        <v>大綜電腦系統股份有限公司 202502 M365軟體_PCAR-2229(20250130-20260129)(沖)ER5250</v>
      </c>
      <c r="V28" s="37"/>
      <c r="W28" s="37"/>
      <c r="X28" s="37"/>
      <c r="Y28" s="49">
        <f>IFERROR(__xludf.DUMMYFUNCTION("""COMPUTED_VALUE"""),852.0)</f>
        <v>852</v>
      </c>
      <c r="Z28" s="37">
        <f>IFERROR(__xludf.DUMMYFUNCTION("""COMPUTED_VALUE"""),613201.0)</f>
        <v>613201</v>
      </c>
      <c r="AA28" s="37" t="str">
        <f>IFERROR(__xludf.DUMMYFUNCTION("""COMPUTED_VALUE"""),"策略資料中心")</f>
        <v>策略資料中心</v>
      </c>
      <c r="AB28" s="48" t="str">
        <f>IFERROR(__xludf.DUMMYFUNCTION("""COMPUTED_VALUE"""),"執行長室 : 策略資料中心 : 策略資料中心")</f>
        <v>執行長室 : 策略資料中心 : 策略資料中心</v>
      </c>
      <c r="AC28" s="48" t="str">
        <f>IFERROR(__xludf.DUMMYFUNCTION("""COMPUTED_VALUE"""),"No_Product_Line")</f>
        <v>No_Product_Line</v>
      </c>
      <c r="AD28" s="48" t="str">
        <f>IFERROR(__xludf.DUMMYFUNCTION("""COMPUTED_VALUE"""),"Baseline")</f>
        <v>Baseline</v>
      </c>
      <c r="AE28" s="48" t="str">
        <f>IFERROR(__xludf.DUMMYFUNCTION("""COMPUTED_VALUE"""),"Baseline")</f>
        <v>Baseline</v>
      </c>
      <c r="AF28" s="49">
        <f>IFERROR(__xludf.DUMMYFUNCTION("""COMPUTED_VALUE"""),3418.0)</f>
        <v>3418</v>
      </c>
      <c r="AG28" s="49">
        <f>IFERROR(__xludf.DUMMYFUNCTION("""COMPUTED_VALUE"""),12.0)</f>
        <v>12</v>
      </c>
      <c r="AH28" s="49">
        <f>IFERROR(__xludf.DUMMYFUNCTION("""COMPUTED_VALUE"""),2566.0)</f>
        <v>2566</v>
      </c>
      <c r="AI28" s="49">
        <f>IFERROR(__xludf.DUMMYFUNCTION("""COMPUTED_VALUE"""),0.0)</f>
        <v>0</v>
      </c>
      <c r="AJ28" s="37"/>
      <c r="AK28" s="49">
        <f>IFERROR(__xludf.DUMMYFUNCTION("""COMPUTED_VALUE"""),571.0)</f>
        <v>571</v>
      </c>
      <c r="AL28" s="49">
        <f>IFERROR(__xludf.DUMMYFUNCTION("""COMPUTED_VALUE"""),285.0)</f>
        <v>285</v>
      </c>
      <c r="AM28" s="49">
        <f>IFERROR(__xludf.DUMMYFUNCTION("""COMPUTED_VALUE"""),285.0)</f>
        <v>285</v>
      </c>
      <c r="AN28" s="49">
        <f>IFERROR(__xludf.DUMMYFUNCTION("""COMPUTED_VALUE"""),285.0)</f>
        <v>285</v>
      </c>
      <c r="AO28" s="49">
        <f>IFERROR(__xludf.DUMMYFUNCTION("""COMPUTED_VALUE"""),285.0)</f>
        <v>285</v>
      </c>
      <c r="AP28" s="49">
        <f>IFERROR(__xludf.DUMMYFUNCTION("""COMPUTED_VALUE"""),285.0)</f>
        <v>285</v>
      </c>
      <c r="AQ28" s="49">
        <f>IFERROR(__xludf.DUMMYFUNCTION("""COMPUTED_VALUE"""),285.0)</f>
        <v>285</v>
      </c>
      <c r="AR28" s="49">
        <f>IFERROR(__xludf.DUMMYFUNCTION("""COMPUTED_VALUE"""),285.0)</f>
        <v>285</v>
      </c>
      <c r="AS28" s="49">
        <f>IFERROR(__xludf.DUMMYFUNCTION("""COMPUTED_VALUE"""),285.0)</f>
        <v>285</v>
      </c>
      <c r="AT28" s="49">
        <f>IFERROR(__xludf.DUMMYFUNCTION("""COMPUTED_VALUE"""),285.0)</f>
        <v>285</v>
      </c>
      <c r="AU28" s="49">
        <f>IFERROR(__xludf.DUMMYFUNCTION("""COMPUTED_VALUE"""),282.0)</f>
        <v>282</v>
      </c>
      <c r="AV28" s="37"/>
      <c r="AW28" s="37"/>
      <c r="AX28" s="37"/>
      <c r="AY28" s="37"/>
      <c r="AZ28" s="37"/>
    </row>
    <row r="29">
      <c r="B29" s="37"/>
      <c r="C29" s="37"/>
      <c r="D29" s="37"/>
      <c r="E29" s="37"/>
      <c r="F29" s="37"/>
      <c r="G29" s="37"/>
      <c r="H29" s="37"/>
      <c r="I29" s="37">
        <f>IFERROR(__xludf.DUMMYFUNCTION("""COMPUTED_VALUE"""),25.0)</f>
        <v>25</v>
      </c>
      <c r="J29" s="37" t="str">
        <f>IFERROR(__xludf.DUMMYFUNCTION("""COMPUTED_VALUE"""),"Y")</f>
        <v>Y</v>
      </c>
      <c r="K29" s="37" t="str">
        <f>IFERROR(__xludf.DUMMYFUNCTION("""COMPUTED_VALUE"""),"Y")</f>
        <v>Y</v>
      </c>
      <c r="L29" s="37"/>
      <c r="M29" s="37" t="str">
        <f>IFERROR(__xludf.DUMMYFUNCTION("""COMPUTED_VALUE"""),"Journal")</f>
        <v>Journal</v>
      </c>
      <c r="N29" s="45">
        <f>IFERROR(__xludf.DUMMYFUNCTION("""COMPUTED_VALUE"""),45715.0)</f>
        <v>45715</v>
      </c>
      <c r="O29" s="37">
        <f>IFERROR(__xludf.DUMMYFUNCTION("""COMPUTED_VALUE"""),16289.0)</f>
        <v>16289</v>
      </c>
      <c r="P29" s="37"/>
      <c r="Q29" s="37"/>
      <c r="R29" s="37"/>
      <c r="S29" s="37"/>
      <c r="T29" s="37"/>
      <c r="U29" s="37" t="str">
        <f>IFERROR(__xludf.DUMMYFUNCTION("""COMPUTED_VALUE"""),"大綜電腦系統股份有限公司 202502 M365軟體_PCAR-2229(20250130-20260129)(沖)ER5250")</f>
        <v>大綜電腦系統股份有限公司 202502 M365軟體_PCAR-2229(20250130-20260129)(沖)ER5250</v>
      </c>
      <c r="V29" s="37"/>
      <c r="W29" s="37"/>
      <c r="X29" s="37"/>
      <c r="Y29" s="49">
        <f>IFERROR(__xludf.DUMMYFUNCTION("""COMPUTED_VALUE"""),2560.0)</f>
        <v>2560</v>
      </c>
      <c r="Z29" s="37">
        <f>IFERROR(__xludf.DUMMYFUNCTION("""COMPUTED_VALUE"""),613201.0)</f>
        <v>613201</v>
      </c>
      <c r="AA29" s="37" t="str">
        <f>IFERROR(__xludf.DUMMYFUNCTION("""COMPUTED_VALUE"""),"財務中心")</f>
        <v>財務中心</v>
      </c>
      <c r="AB29" s="48" t="str">
        <f>IFERROR(__xludf.DUMMYFUNCTION("""COMPUTED_VALUE"""),"執行長室 : 財務中心 : 財務中心")</f>
        <v>執行長室 : 財務中心 : 財務中心</v>
      </c>
      <c r="AC29" s="48" t="str">
        <f>IFERROR(__xludf.DUMMYFUNCTION("""COMPUTED_VALUE"""),"No_Product_Line")</f>
        <v>No_Product_Line</v>
      </c>
      <c r="AD29" s="48" t="str">
        <f>IFERROR(__xludf.DUMMYFUNCTION("""COMPUTED_VALUE"""),"Baseline")</f>
        <v>Baseline</v>
      </c>
      <c r="AE29" s="48" t="str">
        <f>IFERROR(__xludf.DUMMYFUNCTION("""COMPUTED_VALUE"""),"Baseline")</f>
        <v>Baseline</v>
      </c>
      <c r="AF29" s="49">
        <f>IFERROR(__xludf.DUMMYFUNCTION("""COMPUTED_VALUE"""),10250.0)</f>
        <v>10250</v>
      </c>
      <c r="AG29" s="49">
        <f>IFERROR(__xludf.DUMMYFUNCTION("""COMPUTED_VALUE"""),12.0)</f>
        <v>12</v>
      </c>
      <c r="AH29" s="49">
        <f>IFERROR(__xludf.DUMMYFUNCTION("""COMPUTED_VALUE"""),7690.0)</f>
        <v>7690</v>
      </c>
      <c r="AI29" s="49">
        <f>IFERROR(__xludf.DUMMYFUNCTION("""COMPUTED_VALUE"""),0.0)</f>
        <v>0</v>
      </c>
      <c r="AJ29" s="37"/>
      <c r="AK29" s="49">
        <f>IFERROR(__xludf.DUMMYFUNCTION("""COMPUTED_VALUE"""),1712.0)</f>
        <v>1712</v>
      </c>
      <c r="AL29" s="49">
        <f>IFERROR(__xludf.DUMMYFUNCTION("""COMPUTED_VALUE"""),854.0)</f>
        <v>854</v>
      </c>
      <c r="AM29" s="49">
        <f>IFERROR(__xludf.DUMMYFUNCTION("""COMPUTED_VALUE"""),854.0)</f>
        <v>854</v>
      </c>
      <c r="AN29" s="49">
        <f>IFERROR(__xludf.DUMMYFUNCTION("""COMPUTED_VALUE"""),854.0)</f>
        <v>854</v>
      </c>
      <c r="AO29" s="49">
        <f>IFERROR(__xludf.DUMMYFUNCTION("""COMPUTED_VALUE"""),854.0)</f>
        <v>854</v>
      </c>
      <c r="AP29" s="49">
        <f>IFERROR(__xludf.DUMMYFUNCTION("""COMPUTED_VALUE"""),854.0)</f>
        <v>854</v>
      </c>
      <c r="AQ29" s="49">
        <f>IFERROR(__xludf.DUMMYFUNCTION("""COMPUTED_VALUE"""),854.0)</f>
        <v>854</v>
      </c>
      <c r="AR29" s="49">
        <f>IFERROR(__xludf.DUMMYFUNCTION("""COMPUTED_VALUE"""),854.0)</f>
        <v>854</v>
      </c>
      <c r="AS29" s="49">
        <f>IFERROR(__xludf.DUMMYFUNCTION("""COMPUTED_VALUE"""),854.0)</f>
        <v>854</v>
      </c>
      <c r="AT29" s="49">
        <f>IFERROR(__xludf.DUMMYFUNCTION("""COMPUTED_VALUE"""),854.0)</f>
        <v>854</v>
      </c>
      <c r="AU29" s="49">
        <f>IFERROR(__xludf.DUMMYFUNCTION("""COMPUTED_VALUE"""),852.0)</f>
        <v>852</v>
      </c>
      <c r="AV29" s="37"/>
      <c r="AW29" s="37"/>
      <c r="AX29" s="37"/>
      <c r="AY29" s="37"/>
      <c r="AZ29" s="37"/>
    </row>
    <row r="30">
      <c r="B30" s="37"/>
      <c r="C30" s="37"/>
      <c r="D30" s="37"/>
      <c r="E30" s="37"/>
      <c r="F30" s="37"/>
      <c r="G30" s="37"/>
      <c r="H30" s="37"/>
      <c r="I30" s="37">
        <f>IFERROR(__xludf.DUMMYFUNCTION("""COMPUTED_VALUE"""),26.0)</f>
        <v>26</v>
      </c>
      <c r="J30" s="37" t="str">
        <f>IFERROR(__xludf.DUMMYFUNCTION("""COMPUTED_VALUE"""),"Y")</f>
        <v>Y</v>
      </c>
      <c r="K30" s="37" t="str">
        <f>IFERROR(__xludf.DUMMYFUNCTION("""COMPUTED_VALUE"""),"Y")</f>
        <v>Y</v>
      </c>
      <c r="L30" s="37"/>
      <c r="M30" s="37" t="str">
        <f>IFERROR(__xludf.DUMMYFUNCTION("""COMPUTED_VALUE"""),"Journal")</f>
        <v>Journal</v>
      </c>
      <c r="N30" s="45">
        <f>IFERROR(__xludf.DUMMYFUNCTION("""COMPUTED_VALUE"""),45715.0)</f>
        <v>45715</v>
      </c>
      <c r="O30" s="37">
        <f>IFERROR(__xludf.DUMMYFUNCTION("""COMPUTED_VALUE"""),16289.0)</f>
        <v>16289</v>
      </c>
      <c r="P30" s="37"/>
      <c r="Q30" s="37"/>
      <c r="R30" s="37"/>
      <c r="S30" s="37"/>
      <c r="T30" s="37"/>
      <c r="U30" s="37" t="str">
        <f>IFERROR(__xludf.DUMMYFUNCTION("""COMPUTED_VALUE"""),"大綜電腦系統股份有限公司 202502 M365軟體_PCAR-2229(20250130-20260129)(沖)ER5250")</f>
        <v>大綜電腦系統股份有限公司 202502 M365軟體_PCAR-2229(20250130-20260129)(沖)ER5250</v>
      </c>
      <c r="V30" s="37"/>
      <c r="W30" s="37"/>
      <c r="X30" s="37"/>
      <c r="Y30" s="49">
        <f>IFERROR(__xludf.DUMMYFUNCTION("""COMPUTED_VALUE"""),6832.0)</f>
        <v>6832</v>
      </c>
      <c r="Z30" s="37">
        <f>IFERROR(__xludf.DUMMYFUNCTION("""COMPUTED_VALUE"""),603201.0)</f>
        <v>603201</v>
      </c>
      <c r="AA30" s="37" t="str">
        <f>IFERROR(__xludf.DUMMYFUNCTION("""COMPUTED_VALUE"""),"管理中心")</f>
        <v>管理中心</v>
      </c>
      <c r="AB30" s="48" t="str">
        <f>IFERROR(__xludf.DUMMYFUNCTION("""COMPUTED_VALUE"""),"執行長室 : 管理中心 : 管理中心")</f>
        <v>執行長室 : 管理中心 : 管理中心</v>
      </c>
      <c r="AC30" s="48" t="str">
        <f>IFERROR(__xludf.DUMMYFUNCTION("""COMPUTED_VALUE"""),"No_Product_Line")</f>
        <v>No_Product_Line</v>
      </c>
      <c r="AD30" s="48" t="str">
        <f>IFERROR(__xludf.DUMMYFUNCTION("""COMPUTED_VALUE"""),"Baseline")</f>
        <v>Baseline</v>
      </c>
      <c r="AE30" s="48" t="str">
        <f>IFERROR(__xludf.DUMMYFUNCTION("""COMPUTED_VALUE"""),"Baseline")</f>
        <v>Baseline</v>
      </c>
      <c r="AF30" s="49">
        <f>IFERROR(__xludf.DUMMYFUNCTION("""COMPUTED_VALUE"""),27345.0)</f>
        <v>27345</v>
      </c>
      <c r="AG30" s="49">
        <f>IFERROR(__xludf.DUMMYFUNCTION("""COMPUTED_VALUE"""),12.0)</f>
        <v>12</v>
      </c>
      <c r="AH30" s="49">
        <f>IFERROR(__xludf.DUMMYFUNCTION("""COMPUTED_VALUE"""),20513.0)</f>
        <v>20513</v>
      </c>
      <c r="AI30" s="49">
        <f>IFERROR(__xludf.DUMMYFUNCTION("""COMPUTED_VALUE"""),0.0)</f>
        <v>0</v>
      </c>
      <c r="AJ30" s="37"/>
      <c r="AK30" s="49">
        <f>IFERROR(__xludf.DUMMYFUNCTION("""COMPUTED_VALUE"""),4567.0)</f>
        <v>4567</v>
      </c>
      <c r="AL30" s="49">
        <f>IFERROR(__xludf.DUMMYFUNCTION("""COMPUTED_VALUE"""),2278.0)</f>
        <v>2278</v>
      </c>
      <c r="AM30" s="49">
        <f>IFERROR(__xludf.DUMMYFUNCTION("""COMPUTED_VALUE"""),2278.0)</f>
        <v>2278</v>
      </c>
      <c r="AN30" s="49">
        <f>IFERROR(__xludf.DUMMYFUNCTION("""COMPUTED_VALUE"""),2278.0)</f>
        <v>2278</v>
      </c>
      <c r="AO30" s="49">
        <f>IFERROR(__xludf.DUMMYFUNCTION("""COMPUTED_VALUE"""),2278.0)</f>
        <v>2278</v>
      </c>
      <c r="AP30" s="49">
        <f>IFERROR(__xludf.DUMMYFUNCTION("""COMPUTED_VALUE"""),2278.0)</f>
        <v>2278</v>
      </c>
      <c r="AQ30" s="49">
        <f>IFERROR(__xludf.DUMMYFUNCTION("""COMPUTED_VALUE"""),2278.0)</f>
        <v>2278</v>
      </c>
      <c r="AR30" s="49">
        <f>IFERROR(__xludf.DUMMYFUNCTION("""COMPUTED_VALUE"""),2278.0)</f>
        <v>2278</v>
      </c>
      <c r="AS30" s="49">
        <f>IFERROR(__xludf.DUMMYFUNCTION("""COMPUTED_VALUE"""),2278.0)</f>
        <v>2278</v>
      </c>
      <c r="AT30" s="49">
        <f>IFERROR(__xludf.DUMMYFUNCTION("""COMPUTED_VALUE"""),2278.0)</f>
        <v>2278</v>
      </c>
      <c r="AU30" s="49">
        <f>IFERROR(__xludf.DUMMYFUNCTION("""COMPUTED_VALUE"""),2276.0)</f>
        <v>2276</v>
      </c>
      <c r="AV30" s="37"/>
      <c r="AW30" s="37"/>
      <c r="AX30" s="37"/>
      <c r="AY30" s="37"/>
      <c r="AZ30" s="37"/>
    </row>
    <row r="31">
      <c r="B31" s="37"/>
      <c r="C31" s="37"/>
      <c r="D31" s="37"/>
      <c r="E31" s="37"/>
      <c r="F31" s="37"/>
      <c r="G31" s="37"/>
      <c r="H31" s="37"/>
      <c r="I31" s="37">
        <f>IFERROR(__xludf.DUMMYFUNCTION("""COMPUTED_VALUE"""),27.0)</f>
        <v>27</v>
      </c>
      <c r="J31" s="37"/>
      <c r="K31" s="37" t="str">
        <f>IFERROR(__xludf.DUMMYFUNCTION("""COMPUTED_VALUE"""),"Y")</f>
        <v>Y</v>
      </c>
      <c r="L31" s="37"/>
      <c r="M31" s="37" t="str">
        <f>IFERROR(__xludf.DUMMYFUNCTION("""COMPUTED_VALUE"""),"Journal")</f>
        <v>Journal</v>
      </c>
      <c r="N31" s="45">
        <f>IFERROR(__xludf.DUMMYFUNCTION("""COMPUTED_VALUE"""),45715.0)</f>
        <v>45715</v>
      </c>
      <c r="O31" s="37">
        <f>IFERROR(__xludf.DUMMYFUNCTION("""COMPUTED_VALUE"""),16283.0)</f>
        <v>16283</v>
      </c>
      <c r="P31" s="37"/>
      <c r="Q31" s="37"/>
      <c r="R31" s="37"/>
      <c r="S31" s="37"/>
      <c r="T31" s="37"/>
      <c r="U31" s="37" t="str">
        <f>IFERROR(__xludf.DUMMYFUNCTION("""COMPUTED_VALUE"""),"資廚管理顧問股份有限公司(公司卡) 202501 Usetiful (2025/01/09-2026/01/09)")</f>
        <v>資廚管理顧問股份有限公司(公司卡) 202501 Usetiful (2025/01/09-2026/01/09)</v>
      </c>
      <c r="V31" s="37"/>
      <c r="W31" s="37"/>
      <c r="X31" s="37"/>
      <c r="Y31" s="49">
        <f>IFERROR(__xludf.DUMMYFUNCTION("""COMPUTED_VALUE"""),6880.0)</f>
        <v>6880</v>
      </c>
      <c r="Z31" s="37">
        <f>IFERROR(__xludf.DUMMYFUNCTION("""COMPUTED_VALUE"""),520001.0)</f>
        <v>520001</v>
      </c>
      <c r="AA31" s="37" t="str">
        <f>IFERROR(__xludf.DUMMYFUNCTION("""COMPUTED_VALUE"""),"研發中心")</f>
        <v>研發中心</v>
      </c>
      <c r="AB31" s="48" t="str">
        <f>IFERROR(__xludf.DUMMYFUNCTION("""COMPUTED_VALUE"""),"執行長室 : 研發中心 : 軟體工程部")</f>
        <v>執行長室 : 研發中心 : 軟體工程部</v>
      </c>
      <c r="AC31" s="48" t="str">
        <f>IFERROR(__xludf.DUMMYFUNCTION("""COMPUTED_VALUE"""),"No_Product_Line")</f>
        <v>No_Product_Line</v>
      </c>
      <c r="AD31" s="48" t="str">
        <f>IFERROR(__xludf.DUMMYFUNCTION("""COMPUTED_VALUE"""),"Baseline")</f>
        <v>Baseline</v>
      </c>
      <c r="AE31" s="48" t="str">
        <f>IFERROR(__xludf.DUMMYFUNCTION("""COMPUTED_VALUE"""),"Baseline")</f>
        <v>Baseline</v>
      </c>
      <c r="AF31" s="49">
        <f>IFERROR(__xludf.DUMMYFUNCTION("""COMPUTED_VALUE"""),27537.0)</f>
        <v>27537</v>
      </c>
      <c r="AG31" s="49">
        <f>IFERROR(__xludf.DUMMYFUNCTION("""COMPUTED_VALUE"""),12.0)</f>
        <v>12</v>
      </c>
      <c r="AH31" s="49">
        <f>IFERROR(__xludf.DUMMYFUNCTION("""COMPUTED_VALUE"""),20657.0)</f>
        <v>20657</v>
      </c>
      <c r="AI31" s="49">
        <f>IFERROR(__xludf.DUMMYFUNCTION("""COMPUTED_VALUE"""),0.0)</f>
        <v>0</v>
      </c>
      <c r="AJ31" s="37"/>
      <c r="AK31" s="49">
        <f>IFERROR(__xludf.DUMMYFUNCTION("""COMPUTED_VALUE"""),4599.0)</f>
        <v>4599</v>
      </c>
      <c r="AL31" s="49">
        <f>IFERROR(__xludf.DUMMYFUNCTION("""COMPUTED_VALUE"""),2294.0)</f>
        <v>2294</v>
      </c>
      <c r="AM31" s="49">
        <f>IFERROR(__xludf.DUMMYFUNCTION("""COMPUTED_VALUE"""),2294.0)</f>
        <v>2294</v>
      </c>
      <c r="AN31" s="49">
        <f>IFERROR(__xludf.DUMMYFUNCTION("""COMPUTED_VALUE"""),2294.0)</f>
        <v>2294</v>
      </c>
      <c r="AO31" s="49">
        <f>IFERROR(__xludf.DUMMYFUNCTION("""COMPUTED_VALUE"""),2294.0)</f>
        <v>2294</v>
      </c>
      <c r="AP31" s="49">
        <f>IFERROR(__xludf.DUMMYFUNCTION("""COMPUTED_VALUE"""),2294.0)</f>
        <v>2294</v>
      </c>
      <c r="AQ31" s="49">
        <f>IFERROR(__xludf.DUMMYFUNCTION("""COMPUTED_VALUE"""),2294.0)</f>
        <v>2294</v>
      </c>
      <c r="AR31" s="49">
        <f>IFERROR(__xludf.DUMMYFUNCTION("""COMPUTED_VALUE"""),2294.0)</f>
        <v>2294</v>
      </c>
      <c r="AS31" s="49">
        <f>IFERROR(__xludf.DUMMYFUNCTION("""COMPUTED_VALUE"""),2294.0)</f>
        <v>2294</v>
      </c>
      <c r="AT31" s="49">
        <f>IFERROR(__xludf.DUMMYFUNCTION("""COMPUTED_VALUE"""),2294.0)</f>
        <v>2294</v>
      </c>
      <c r="AU31" s="49">
        <f>IFERROR(__xludf.DUMMYFUNCTION("""COMPUTED_VALUE"""),2292.0)</f>
        <v>2292</v>
      </c>
      <c r="AV31" s="37"/>
      <c r="AW31" s="37"/>
      <c r="AX31" s="37"/>
      <c r="AY31" s="37"/>
      <c r="AZ31" s="37"/>
    </row>
    <row r="32">
      <c r="B32" s="37"/>
      <c r="C32" s="37"/>
      <c r="D32" s="37"/>
      <c r="E32" s="37"/>
      <c r="F32" s="37"/>
      <c r="G32" s="37"/>
      <c r="H32" s="37"/>
      <c r="I32" s="37">
        <f>IFERROR(__xludf.DUMMYFUNCTION("""COMPUTED_VALUE"""),28.0)</f>
        <v>28</v>
      </c>
      <c r="J32" s="37" t="str">
        <f>IFERROR(__xludf.DUMMYFUNCTION("""COMPUTED_VALUE"""),"Y")</f>
        <v>Y</v>
      </c>
      <c r="K32" s="37" t="str">
        <f>IFERROR(__xludf.DUMMYFUNCTION("""COMPUTED_VALUE"""),"Y")</f>
        <v>Y</v>
      </c>
      <c r="L32" s="37"/>
      <c r="M32" s="37" t="str">
        <f>IFERROR(__xludf.DUMMYFUNCTION("""COMPUTED_VALUE"""),"Journal")</f>
        <v>Journal</v>
      </c>
      <c r="N32" s="45">
        <f>IFERROR(__xludf.DUMMYFUNCTION("""COMPUTED_VALUE"""),45715.0)</f>
        <v>45715</v>
      </c>
      <c r="O32" s="37">
        <f>IFERROR(__xludf.DUMMYFUNCTION("""COMPUTED_VALUE"""),16289.0)</f>
        <v>16289</v>
      </c>
      <c r="P32" s="37"/>
      <c r="Q32" s="37"/>
      <c r="R32" s="37"/>
      <c r="S32" s="37"/>
      <c r="T32" s="37"/>
      <c r="U32" s="37" t="str">
        <f>IFERROR(__xludf.DUMMYFUNCTION("""COMPUTED_VALUE"""),"大綜電腦系統股份有限公司 202502 M365軟體_PCAR-2229(20250130-20260129)(沖)ER5250")</f>
        <v>大綜電腦系統股份有限公司 202502 M365軟體_PCAR-2229(20250130-20260129)(沖)ER5250</v>
      </c>
      <c r="V32" s="37"/>
      <c r="W32" s="37"/>
      <c r="X32" s="37"/>
      <c r="Y32" s="49">
        <f>IFERROR(__xludf.DUMMYFUNCTION("""COMPUTED_VALUE"""),14513.0)</f>
        <v>14513</v>
      </c>
      <c r="Z32" s="37">
        <f>IFERROR(__xludf.DUMMYFUNCTION("""COMPUTED_VALUE"""),623201.0)</f>
        <v>623201</v>
      </c>
      <c r="AA32" s="37" t="str">
        <f>IFERROR(__xludf.DUMMYFUNCTION("""COMPUTED_VALUE"""),"客戶價值中心")</f>
        <v>客戶價值中心</v>
      </c>
      <c r="AB32" s="48" t="str">
        <f>IFERROR(__xludf.DUMMYFUNCTION("""COMPUTED_VALUE"""),"執行長室 : 客戶價值中心 : 客戶價值中心")</f>
        <v>執行長室 : 客戶價值中心 : 客戶價值中心</v>
      </c>
      <c r="AC32" s="48" t="str">
        <f>IFERROR(__xludf.DUMMYFUNCTION("""COMPUTED_VALUE"""),"No_Product_Line")</f>
        <v>No_Product_Line</v>
      </c>
      <c r="AD32" s="48" t="str">
        <f>IFERROR(__xludf.DUMMYFUNCTION("""COMPUTED_VALUE"""),"Baseline")</f>
        <v>Baseline</v>
      </c>
      <c r="AE32" s="48" t="str">
        <f>IFERROR(__xludf.DUMMYFUNCTION("""COMPUTED_VALUE"""),"Baseline")</f>
        <v>Baseline</v>
      </c>
      <c r="AF32" s="49">
        <f>IFERROR(__xludf.DUMMYFUNCTION("""COMPUTED_VALUE"""),58087.0)</f>
        <v>58087</v>
      </c>
      <c r="AG32" s="49">
        <f>IFERROR(__xludf.DUMMYFUNCTION("""COMPUTED_VALUE"""),12.0)</f>
        <v>12</v>
      </c>
      <c r="AH32" s="49">
        <f>IFERROR(__xludf.DUMMYFUNCTION("""COMPUTED_VALUE"""),43574.0)</f>
        <v>43574</v>
      </c>
      <c r="AI32" s="49">
        <f>IFERROR(__xludf.DUMMYFUNCTION("""COMPUTED_VALUE"""),0.0)</f>
        <v>0</v>
      </c>
      <c r="AJ32" s="37"/>
      <c r="AK32" s="49">
        <f>IFERROR(__xludf.DUMMYFUNCTION("""COMPUTED_VALUE"""),9701.0)</f>
        <v>9701</v>
      </c>
      <c r="AL32" s="49">
        <f>IFERROR(__xludf.DUMMYFUNCTION("""COMPUTED_VALUE"""),4839.0)</f>
        <v>4839</v>
      </c>
      <c r="AM32" s="49">
        <f>IFERROR(__xludf.DUMMYFUNCTION("""COMPUTED_VALUE"""),4839.0)</f>
        <v>4839</v>
      </c>
      <c r="AN32" s="49">
        <f>IFERROR(__xludf.DUMMYFUNCTION("""COMPUTED_VALUE"""),4839.0)</f>
        <v>4839</v>
      </c>
      <c r="AO32" s="49">
        <f>IFERROR(__xludf.DUMMYFUNCTION("""COMPUTED_VALUE"""),4839.0)</f>
        <v>4839</v>
      </c>
      <c r="AP32" s="49">
        <f>IFERROR(__xludf.DUMMYFUNCTION("""COMPUTED_VALUE"""),4839.0)</f>
        <v>4839</v>
      </c>
      <c r="AQ32" s="49">
        <f>IFERROR(__xludf.DUMMYFUNCTION("""COMPUTED_VALUE"""),4839.0)</f>
        <v>4839</v>
      </c>
      <c r="AR32" s="49">
        <f>IFERROR(__xludf.DUMMYFUNCTION("""COMPUTED_VALUE"""),4839.0)</f>
        <v>4839</v>
      </c>
      <c r="AS32" s="49">
        <f>IFERROR(__xludf.DUMMYFUNCTION("""COMPUTED_VALUE"""),4839.0)</f>
        <v>4839</v>
      </c>
      <c r="AT32" s="49">
        <f>IFERROR(__xludf.DUMMYFUNCTION("""COMPUTED_VALUE"""),4839.0)</f>
        <v>4839</v>
      </c>
      <c r="AU32" s="49">
        <f>IFERROR(__xludf.DUMMYFUNCTION("""COMPUTED_VALUE"""),4835.0)</f>
        <v>4835</v>
      </c>
      <c r="AV32" s="37"/>
      <c r="AW32" s="37"/>
      <c r="AX32" s="37"/>
      <c r="AY32" s="37"/>
      <c r="AZ32" s="37"/>
    </row>
    <row r="33">
      <c r="B33" s="37"/>
      <c r="C33" s="37"/>
      <c r="D33" s="37"/>
      <c r="E33" s="37"/>
      <c r="F33" s="37"/>
      <c r="G33" s="37"/>
      <c r="H33" s="37"/>
      <c r="I33" s="37">
        <f>IFERROR(__xludf.DUMMYFUNCTION("""COMPUTED_VALUE"""),29.0)</f>
        <v>29</v>
      </c>
      <c r="J33" s="37" t="str">
        <f>IFERROR(__xludf.DUMMYFUNCTION("""COMPUTED_VALUE"""),"Y")</f>
        <v>Y</v>
      </c>
      <c r="K33" s="37" t="str">
        <f>IFERROR(__xludf.DUMMYFUNCTION("""COMPUTED_VALUE"""),"Y")</f>
        <v>Y</v>
      </c>
      <c r="L33" s="37"/>
      <c r="M33" s="37" t="str">
        <f>IFERROR(__xludf.DUMMYFUNCTION("""COMPUTED_VALUE"""),"Journal")</f>
        <v>Journal</v>
      </c>
      <c r="N33" s="45">
        <f>IFERROR(__xludf.DUMMYFUNCTION("""COMPUTED_VALUE"""),45715.0)</f>
        <v>45715</v>
      </c>
      <c r="O33" s="37">
        <f>IFERROR(__xludf.DUMMYFUNCTION("""COMPUTED_VALUE"""),16289.0)</f>
        <v>16289</v>
      </c>
      <c r="P33" s="37"/>
      <c r="Q33" s="37"/>
      <c r="R33" s="37"/>
      <c r="S33" s="37"/>
      <c r="T33" s="37"/>
      <c r="U33" s="37" t="str">
        <f>IFERROR(__xludf.DUMMYFUNCTION("""COMPUTED_VALUE"""),"大綜電腦系統股份有限公司 202502 M365軟體_PCAR-2229(20250130-20260129)(沖)ER5250")</f>
        <v>大綜電腦系統股份有限公司 202502 M365軟體_PCAR-2229(20250130-20260129)(沖)ER5250</v>
      </c>
      <c r="V33" s="37"/>
      <c r="W33" s="37"/>
      <c r="X33" s="37"/>
      <c r="Y33" s="49">
        <f>IFERROR(__xludf.DUMMYFUNCTION("""COMPUTED_VALUE"""),14513.0)</f>
        <v>14513</v>
      </c>
      <c r="Z33" s="37">
        <f>IFERROR(__xludf.DUMMYFUNCTION("""COMPUTED_VALUE"""),603201.0)</f>
        <v>603201</v>
      </c>
      <c r="AA33" s="37" t="str">
        <f>IFERROR(__xludf.DUMMYFUNCTION("""COMPUTED_VALUE"""),"行銷營運中心")</f>
        <v>行銷營運中心</v>
      </c>
      <c r="AB33" s="48" t="str">
        <f>IFERROR(__xludf.DUMMYFUNCTION("""COMPUTED_VALUE"""),"執行長室 : 行銷營運中心 : 行銷營運中心")</f>
        <v>執行長室 : 行銷營運中心 : 行銷營運中心</v>
      </c>
      <c r="AC33" s="48" t="str">
        <f>IFERROR(__xludf.DUMMYFUNCTION("""COMPUTED_VALUE"""),"No_Product_Line")</f>
        <v>No_Product_Line</v>
      </c>
      <c r="AD33" s="48" t="str">
        <f>IFERROR(__xludf.DUMMYFUNCTION("""COMPUTED_VALUE"""),"Baseline")</f>
        <v>Baseline</v>
      </c>
      <c r="AE33" s="48" t="str">
        <f>IFERROR(__xludf.DUMMYFUNCTION("""COMPUTED_VALUE"""),"Baseline")</f>
        <v>Baseline</v>
      </c>
      <c r="AF33" s="49">
        <f>IFERROR(__xludf.DUMMYFUNCTION("""COMPUTED_VALUE"""),58087.0)</f>
        <v>58087</v>
      </c>
      <c r="AG33" s="49">
        <f>IFERROR(__xludf.DUMMYFUNCTION("""COMPUTED_VALUE"""),12.0)</f>
        <v>12</v>
      </c>
      <c r="AH33" s="49">
        <f>IFERROR(__xludf.DUMMYFUNCTION("""COMPUTED_VALUE"""),43574.0)</f>
        <v>43574</v>
      </c>
      <c r="AI33" s="49">
        <f>IFERROR(__xludf.DUMMYFUNCTION("""COMPUTED_VALUE"""),0.0)</f>
        <v>0</v>
      </c>
      <c r="AJ33" s="37"/>
      <c r="AK33" s="49">
        <f>IFERROR(__xludf.DUMMYFUNCTION("""COMPUTED_VALUE"""),9701.0)</f>
        <v>9701</v>
      </c>
      <c r="AL33" s="49">
        <f>IFERROR(__xludf.DUMMYFUNCTION("""COMPUTED_VALUE"""),4839.0)</f>
        <v>4839</v>
      </c>
      <c r="AM33" s="49">
        <f>IFERROR(__xludf.DUMMYFUNCTION("""COMPUTED_VALUE"""),4839.0)</f>
        <v>4839</v>
      </c>
      <c r="AN33" s="49">
        <f>IFERROR(__xludf.DUMMYFUNCTION("""COMPUTED_VALUE"""),4839.0)</f>
        <v>4839</v>
      </c>
      <c r="AO33" s="49">
        <f>IFERROR(__xludf.DUMMYFUNCTION("""COMPUTED_VALUE"""),4839.0)</f>
        <v>4839</v>
      </c>
      <c r="AP33" s="49">
        <f>IFERROR(__xludf.DUMMYFUNCTION("""COMPUTED_VALUE"""),4839.0)</f>
        <v>4839</v>
      </c>
      <c r="AQ33" s="49">
        <f>IFERROR(__xludf.DUMMYFUNCTION("""COMPUTED_VALUE"""),4839.0)</f>
        <v>4839</v>
      </c>
      <c r="AR33" s="49">
        <f>IFERROR(__xludf.DUMMYFUNCTION("""COMPUTED_VALUE"""),4839.0)</f>
        <v>4839</v>
      </c>
      <c r="AS33" s="49">
        <f>IFERROR(__xludf.DUMMYFUNCTION("""COMPUTED_VALUE"""),4839.0)</f>
        <v>4839</v>
      </c>
      <c r="AT33" s="49">
        <f>IFERROR(__xludf.DUMMYFUNCTION("""COMPUTED_VALUE"""),4839.0)</f>
        <v>4839</v>
      </c>
      <c r="AU33" s="49">
        <f>IFERROR(__xludf.DUMMYFUNCTION("""COMPUTED_VALUE"""),4835.0)</f>
        <v>4835</v>
      </c>
      <c r="AV33" s="37"/>
      <c r="AW33" s="37"/>
      <c r="AX33" s="37"/>
      <c r="AY33" s="37"/>
      <c r="AZ33" s="37"/>
    </row>
    <row r="34">
      <c r="B34" s="37"/>
      <c r="C34" s="37"/>
      <c r="D34" s="37"/>
      <c r="E34" s="37"/>
      <c r="F34" s="37"/>
      <c r="G34" s="37"/>
      <c r="H34" s="37"/>
      <c r="I34" s="37">
        <f>IFERROR(__xludf.DUMMYFUNCTION("""COMPUTED_VALUE"""),30.0)</f>
        <v>30</v>
      </c>
      <c r="J34" s="37"/>
      <c r="K34" s="37"/>
      <c r="L34" s="37"/>
      <c r="M34" s="37" t="str">
        <f>IFERROR(__xludf.DUMMYFUNCTION("""COMPUTED_VALUE"""),"Journal")</f>
        <v>Journal</v>
      </c>
      <c r="N34" s="45">
        <f>IFERROR(__xludf.DUMMYFUNCTION("""COMPUTED_VALUE"""),45726.0)</f>
        <v>45726</v>
      </c>
      <c r="O34" s="37">
        <f>IFERROR(__xludf.DUMMYFUNCTION("""COMPUTED_VALUE"""),16556.0)</f>
        <v>16556</v>
      </c>
      <c r="P34" s="37"/>
      <c r="Q34" s="37"/>
      <c r="R34" s="37"/>
      <c r="S34" s="37"/>
      <c r="T34" s="37"/>
      <c r="U34" s="37" t="str">
        <f>IFERROR(__xludf.DUMMYFUNCTION("""COMPUTED_VALUE"""),"資廚(公司卡) 202502 Cursor AI 程式碼編輯器(20250209-20260209)")</f>
        <v>資廚(公司卡) 202502 Cursor AI 程式碼編輯器(20250209-20260209)</v>
      </c>
      <c r="V34" s="37"/>
      <c r="W34" s="37"/>
      <c r="X34" s="37"/>
      <c r="Y34" s="49">
        <f>IFERROR(__xludf.DUMMYFUNCTION("""COMPUTED_VALUE"""),4207.0)</f>
        <v>4207</v>
      </c>
      <c r="Z34" s="37">
        <f>IFERROR(__xludf.DUMMYFUNCTION("""COMPUTED_VALUE"""),520001.0)</f>
        <v>520001</v>
      </c>
      <c r="AA34" s="37" t="str">
        <f>IFERROR(__xludf.DUMMYFUNCTION("""COMPUTED_VALUE"""),"研發中心")</f>
        <v>研發中心</v>
      </c>
      <c r="AB34" s="48" t="str">
        <f>IFERROR(__xludf.DUMMYFUNCTION("""COMPUTED_VALUE"""),"執行長室 : 研發中心 : 軟體工程部")</f>
        <v>執行長室 : 研發中心 : 軟體工程部</v>
      </c>
      <c r="AC34" s="48" t="str">
        <f>IFERROR(__xludf.DUMMYFUNCTION("""COMPUTED_VALUE"""),"No_Product_Line")</f>
        <v>No_Product_Line</v>
      </c>
      <c r="AD34" s="48" t="str">
        <f>IFERROR(__xludf.DUMMYFUNCTION("""COMPUTED_VALUE"""),"Baseline")</f>
        <v>Baseline</v>
      </c>
      <c r="AE34" s="48" t="str">
        <f>IFERROR(__xludf.DUMMYFUNCTION("""COMPUTED_VALUE"""),"Baseline")</f>
        <v>Baseline</v>
      </c>
      <c r="AF34" s="49">
        <f>IFERROR(__xludf.DUMMYFUNCTION("""COMPUTED_VALUE"""),12620.0)</f>
        <v>12620</v>
      </c>
      <c r="AG34" s="49">
        <f>IFERROR(__xludf.DUMMYFUNCTION("""COMPUTED_VALUE"""),12.0)</f>
        <v>12</v>
      </c>
      <c r="AH34" s="49">
        <f>IFERROR(__xludf.DUMMYFUNCTION("""COMPUTED_VALUE"""),8413.0)</f>
        <v>8413</v>
      </c>
      <c r="AI34" s="49">
        <f>IFERROR(__xludf.DUMMYFUNCTION("""COMPUTED_VALUE"""),0.0)</f>
        <v>0</v>
      </c>
      <c r="AJ34" s="37"/>
      <c r="AK34" s="37"/>
      <c r="AL34" s="49">
        <f>IFERROR(__xludf.DUMMYFUNCTION("""COMPUTED_VALUE"""),2107.0)</f>
        <v>2107</v>
      </c>
      <c r="AM34" s="49">
        <f>IFERROR(__xludf.DUMMYFUNCTION("""COMPUTED_VALUE"""),1051.0)</f>
        <v>1051</v>
      </c>
      <c r="AN34" s="49">
        <f>IFERROR(__xludf.DUMMYFUNCTION("""COMPUTED_VALUE"""),1051.0)</f>
        <v>1051</v>
      </c>
      <c r="AO34" s="49">
        <f>IFERROR(__xludf.DUMMYFUNCTION("""COMPUTED_VALUE"""),1051.0)</f>
        <v>1051</v>
      </c>
      <c r="AP34" s="49">
        <f>IFERROR(__xludf.DUMMYFUNCTION("""COMPUTED_VALUE"""),1051.0)</f>
        <v>1051</v>
      </c>
      <c r="AQ34" s="49">
        <f>IFERROR(__xludf.DUMMYFUNCTION("""COMPUTED_VALUE"""),1051.0)</f>
        <v>1051</v>
      </c>
      <c r="AR34" s="49">
        <f>IFERROR(__xludf.DUMMYFUNCTION("""COMPUTED_VALUE"""),1051.0)</f>
        <v>1051</v>
      </c>
      <c r="AS34" s="49">
        <f>IFERROR(__xludf.DUMMYFUNCTION("""COMPUTED_VALUE"""),1051.0)</f>
        <v>1051</v>
      </c>
      <c r="AT34" s="49">
        <f>IFERROR(__xludf.DUMMYFUNCTION("""COMPUTED_VALUE"""),1051.0)</f>
        <v>1051</v>
      </c>
      <c r="AU34" s="49">
        <f>IFERROR(__xludf.DUMMYFUNCTION("""COMPUTED_VALUE"""),1051.0)</f>
        <v>1051</v>
      </c>
      <c r="AV34" s="49">
        <f>IFERROR(__xludf.DUMMYFUNCTION("""COMPUTED_VALUE"""),1054.0)</f>
        <v>1054</v>
      </c>
      <c r="AW34" s="37"/>
      <c r="AX34" s="37"/>
      <c r="AY34" s="37"/>
      <c r="AZ34" s="37"/>
    </row>
    <row r="35">
      <c r="B35" s="37"/>
      <c r="C35" s="37"/>
      <c r="D35" s="37"/>
      <c r="E35" s="37"/>
      <c r="F35" s="37"/>
      <c r="G35" s="37"/>
      <c r="H35" s="37"/>
      <c r="I35" s="37">
        <f>IFERROR(__xludf.DUMMYFUNCTION("""COMPUTED_VALUE"""),31.0)</f>
        <v>31</v>
      </c>
      <c r="J35" s="37"/>
      <c r="K35" s="37"/>
      <c r="L35" s="37"/>
      <c r="M35" s="37" t="str">
        <f>IFERROR(__xludf.DUMMYFUNCTION("""COMPUTED_VALUE"""),"Journal")</f>
        <v>Journal</v>
      </c>
      <c r="N35" s="45">
        <f>IFERROR(__xludf.DUMMYFUNCTION("""COMPUTED_VALUE"""),45726.0)</f>
        <v>45726</v>
      </c>
      <c r="O35" s="37">
        <f>IFERROR(__xludf.DUMMYFUNCTION("""COMPUTED_VALUE"""),16556.0)</f>
        <v>16556</v>
      </c>
      <c r="P35" s="37"/>
      <c r="Q35" s="37"/>
      <c r="R35" s="37"/>
      <c r="S35" s="37"/>
      <c r="T35" s="37"/>
      <c r="U35" s="37" t="str">
        <f>IFERROR(__xludf.DUMMYFUNCTION("""COMPUTED_VALUE"""),"資廚(公司卡) 202502 Cursor AI 程式碼編輯器(20250209-20260209)")</f>
        <v>資廚(公司卡) 202502 Cursor AI 程式碼編輯器(20250209-20260209)</v>
      </c>
      <c r="V35" s="37"/>
      <c r="W35" s="37"/>
      <c r="X35" s="37"/>
      <c r="Y35" s="49">
        <f>IFERROR(__xludf.DUMMYFUNCTION("""COMPUTED_VALUE"""),4207.0)</f>
        <v>4207</v>
      </c>
      <c r="Z35" s="37">
        <f>IFERROR(__xludf.DUMMYFUNCTION("""COMPUTED_VALUE"""),520001.0)</f>
        <v>520001</v>
      </c>
      <c r="AA35" s="37" t="str">
        <f>IFERROR(__xludf.DUMMYFUNCTION("""COMPUTED_VALUE"""),"研發中心")</f>
        <v>研發中心</v>
      </c>
      <c r="AB35" s="48" t="str">
        <f>IFERROR(__xludf.DUMMYFUNCTION("""COMPUTED_VALUE"""),"執行長室 : 研發中心 : 軟體工程部")</f>
        <v>執行長室 : 研發中心 : 軟體工程部</v>
      </c>
      <c r="AC35" s="48" t="str">
        <f>IFERROR(__xludf.DUMMYFUNCTION("""COMPUTED_VALUE"""),"No_Product_Line")</f>
        <v>No_Product_Line</v>
      </c>
      <c r="AD35" s="48" t="str">
        <f>IFERROR(__xludf.DUMMYFUNCTION("""COMPUTED_VALUE"""),"Baseline")</f>
        <v>Baseline</v>
      </c>
      <c r="AE35" s="48" t="str">
        <f>IFERROR(__xludf.DUMMYFUNCTION("""COMPUTED_VALUE"""),"Baseline")</f>
        <v>Baseline</v>
      </c>
      <c r="AF35" s="49">
        <f>IFERROR(__xludf.DUMMYFUNCTION("""COMPUTED_VALUE"""),12620.0)</f>
        <v>12620</v>
      </c>
      <c r="AG35" s="49">
        <f>IFERROR(__xludf.DUMMYFUNCTION("""COMPUTED_VALUE"""),12.0)</f>
        <v>12</v>
      </c>
      <c r="AH35" s="49">
        <f>IFERROR(__xludf.DUMMYFUNCTION("""COMPUTED_VALUE"""),8413.0)</f>
        <v>8413</v>
      </c>
      <c r="AI35" s="49">
        <f>IFERROR(__xludf.DUMMYFUNCTION("""COMPUTED_VALUE"""),0.0)</f>
        <v>0</v>
      </c>
      <c r="AJ35" s="37"/>
      <c r="AK35" s="37"/>
      <c r="AL35" s="49">
        <f>IFERROR(__xludf.DUMMYFUNCTION("""COMPUTED_VALUE"""),2107.0)</f>
        <v>2107</v>
      </c>
      <c r="AM35" s="49">
        <f>IFERROR(__xludf.DUMMYFUNCTION("""COMPUTED_VALUE"""),1051.0)</f>
        <v>1051</v>
      </c>
      <c r="AN35" s="49">
        <f>IFERROR(__xludf.DUMMYFUNCTION("""COMPUTED_VALUE"""),1051.0)</f>
        <v>1051</v>
      </c>
      <c r="AO35" s="49">
        <f>IFERROR(__xludf.DUMMYFUNCTION("""COMPUTED_VALUE"""),1051.0)</f>
        <v>1051</v>
      </c>
      <c r="AP35" s="49">
        <f>IFERROR(__xludf.DUMMYFUNCTION("""COMPUTED_VALUE"""),1051.0)</f>
        <v>1051</v>
      </c>
      <c r="AQ35" s="49">
        <f>IFERROR(__xludf.DUMMYFUNCTION("""COMPUTED_VALUE"""),1051.0)</f>
        <v>1051</v>
      </c>
      <c r="AR35" s="49">
        <f>IFERROR(__xludf.DUMMYFUNCTION("""COMPUTED_VALUE"""),1051.0)</f>
        <v>1051</v>
      </c>
      <c r="AS35" s="49">
        <f>IFERROR(__xludf.DUMMYFUNCTION("""COMPUTED_VALUE"""),1051.0)</f>
        <v>1051</v>
      </c>
      <c r="AT35" s="49">
        <f>IFERROR(__xludf.DUMMYFUNCTION("""COMPUTED_VALUE"""),1051.0)</f>
        <v>1051</v>
      </c>
      <c r="AU35" s="49">
        <f>IFERROR(__xludf.DUMMYFUNCTION("""COMPUTED_VALUE"""),1051.0)</f>
        <v>1051</v>
      </c>
      <c r="AV35" s="49">
        <f>IFERROR(__xludf.DUMMYFUNCTION("""COMPUTED_VALUE"""),1054.0)</f>
        <v>1054</v>
      </c>
      <c r="AW35" s="37"/>
      <c r="AX35" s="37"/>
      <c r="AY35" s="37"/>
      <c r="AZ35" s="37"/>
    </row>
    <row r="36">
      <c r="B36" s="37"/>
      <c r="C36" s="37"/>
      <c r="D36" s="37"/>
      <c r="E36" s="37"/>
      <c r="F36" s="37"/>
      <c r="G36" s="37"/>
      <c r="H36" s="37"/>
      <c r="I36" s="37">
        <f>IFERROR(__xludf.DUMMYFUNCTION("""COMPUTED_VALUE"""),32.0)</f>
        <v>32</v>
      </c>
      <c r="J36" s="37"/>
      <c r="K36" s="37"/>
      <c r="L36" s="37"/>
      <c r="M36" s="37" t="str">
        <f>IFERROR(__xludf.DUMMYFUNCTION("""COMPUTED_VALUE"""),"Journal")</f>
        <v>Journal</v>
      </c>
      <c r="N36" s="45">
        <f>IFERROR(__xludf.DUMMYFUNCTION("""COMPUTED_VALUE"""),45726.0)</f>
        <v>45726</v>
      </c>
      <c r="O36" s="37">
        <f>IFERROR(__xludf.DUMMYFUNCTION("""COMPUTED_VALUE"""),16556.0)</f>
        <v>16556</v>
      </c>
      <c r="P36" s="37"/>
      <c r="Q36" s="37"/>
      <c r="R36" s="37"/>
      <c r="S36" s="37"/>
      <c r="T36" s="37"/>
      <c r="U36" s="37" t="str">
        <f>IFERROR(__xludf.DUMMYFUNCTION("""COMPUTED_VALUE"""),"資廚(公司卡) 202502 Cursor AI 程式碼編輯器(20250209-20260209)")</f>
        <v>資廚(公司卡) 202502 Cursor AI 程式碼編輯器(20250209-20260209)</v>
      </c>
      <c r="V36" s="37"/>
      <c r="W36" s="37"/>
      <c r="X36" s="37"/>
      <c r="Y36" s="49">
        <f>IFERROR(__xludf.DUMMYFUNCTION("""COMPUTED_VALUE"""),4207.0)</f>
        <v>4207</v>
      </c>
      <c r="Z36" s="37">
        <f>IFERROR(__xludf.DUMMYFUNCTION("""COMPUTED_VALUE"""),520001.0)</f>
        <v>520001</v>
      </c>
      <c r="AA36" s="37" t="str">
        <f>IFERROR(__xludf.DUMMYFUNCTION("""COMPUTED_VALUE"""),"研發中心")</f>
        <v>研發中心</v>
      </c>
      <c r="AB36" s="48" t="str">
        <f>IFERROR(__xludf.DUMMYFUNCTION("""COMPUTED_VALUE"""),"執行長室 : 研發中心 : 軟體工程部")</f>
        <v>執行長室 : 研發中心 : 軟體工程部</v>
      </c>
      <c r="AC36" s="48" t="str">
        <f>IFERROR(__xludf.DUMMYFUNCTION("""COMPUTED_VALUE"""),"No_Product_Line")</f>
        <v>No_Product_Line</v>
      </c>
      <c r="AD36" s="48" t="str">
        <f>IFERROR(__xludf.DUMMYFUNCTION("""COMPUTED_VALUE"""),"Baseline")</f>
        <v>Baseline</v>
      </c>
      <c r="AE36" s="48" t="str">
        <f>IFERROR(__xludf.DUMMYFUNCTION("""COMPUTED_VALUE"""),"Baseline")</f>
        <v>Baseline</v>
      </c>
      <c r="AF36" s="49">
        <f>IFERROR(__xludf.DUMMYFUNCTION("""COMPUTED_VALUE"""),12620.0)</f>
        <v>12620</v>
      </c>
      <c r="AG36" s="49">
        <f>IFERROR(__xludf.DUMMYFUNCTION("""COMPUTED_VALUE"""),12.0)</f>
        <v>12</v>
      </c>
      <c r="AH36" s="49">
        <f>IFERROR(__xludf.DUMMYFUNCTION("""COMPUTED_VALUE"""),8413.0)</f>
        <v>8413</v>
      </c>
      <c r="AI36" s="49">
        <f>IFERROR(__xludf.DUMMYFUNCTION("""COMPUTED_VALUE"""),0.0)</f>
        <v>0</v>
      </c>
      <c r="AJ36" s="37"/>
      <c r="AK36" s="37"/>
      <c r="AL36" s="49">
        <f>IFERROR(__xludf.DUMMYFUNCTION("""COMPUTED_VALUE"""),2107.0)</f>
        <v>2107</v>
      </c>
      <c r="AM36" s="49">
        <f>IFERROR(__xludf.DUMMYFUNCTION("""COMPUTED_VALUE"""),1051.0)</f>
        <v>1051</v>
      </c>
      <c r="AN36" s="49">
        <f>IFERROR(__xludf.DUMMYFUNCTION("""COMPUTED_VALUE"""),1051.0)</f>
        <v>1051</v>
      </c>
      <c r="AO36" s="49">
        <f>IFERROR(__xludf.DUMMYFUNCTION("""COMPUTED_VALUE"""),1051.0)</f>
        <v>1051</v>
      </c>
      <c r="AP36" s="49">
        <f>IFERROR(__xludf.DUMMYFUNCTION("""COMPUTED_VALUE"""),1051.0)</f>
        <v>1051</v>
      </c>
      <c r="AQ36" s="49">
        <f>IFERROR(__xludf.DUMMYFUNCTION("""COMPUTED_VALUE"""),1051.0)</f>
        <v>1051</v>
      </c>
      <c r="AR36" s="49">
        <f>IFERROR(__xludf.DUMMYFUNCTION("""COMPUTED_VALUE"""),1051.0)</f>
        <v>1051</v>
      </c>
      <c r="AS36" s="49">
        <f>IFERROR(__xludf.DUMMYFUNCTION("""COMPUTED_VALUE"""),1051.0)</f>
        <v>1051</v>
      </c>
      <c r="AT36" s="49">
        <f>IFERROR(__xludf.DUMMYFUNCTION("""COMPUTED_VALUE"""),1051.0)</f>
        <v>1051</v>
      </c>
      <c r="AU36" s="49">
        <f>IFERROR(__xludf.DUMMYFUNCTION("""COMPUTED_VALUE"""),1051.0)</f>
        <v>1051</v>
      </c>
      <c r="AV36" s="49">
        <f>IFERROR(__xludf.DUMMYFUNCTION("""COMPUTED_VALUE"""),1054.0)</f>
        <v>1054</v>
      </c>
      <c r="AW36" s="37"/>
      <c r="AX36" s="37"/>
      <c r="AY36" s="37"/>
      <c r="AZ36" s="37"/>
    </row>
    <row r="37">
      <c r="B37" s="37"/>
      <c r="C37" s="37"/>
      <c r="D37" s="37"/>
      <c r="E37" s="37"/>
      <c r="F37" s="37"/>
      <c r="G37" s="37"/>
      <c r="H37" s="37"/>
      <c r="I37" s="37">
        <f>IFERROR(__xludf.DUMMYFUNCTION("""COMPUTED_VALUE"""),33.0)</f>
        <v>33</v>
      </c>
      <c r="J37" s="37"/>
      <c r="K37" s="37"/>
      <c r="L37" s="37"/>
      <c r="M37" s="37" t="str">
        <f>IFERROR(__xludf.DUMMYFUNCTION("""COMPUTED_VALUE"""),"Journal")</f>
        <v>Journal</v>
      </c>
      <c r="N37" s="45">
        <f>IFERROR(__xludf.DUMMYFUNCTION("""COMPUTED_VALUE"""),45726.0)</f>
        <v>45726</v>
      </c>
      <c r="O37" s="37">
        <f>IFERROR(__xludf.DUMMYFUNCTION("""COMPUTED_VALUE"""),16556.0)</f>
        <v>16556</v>
      </c>
      <c r="P37" s="37"/>
      <c r="Q37" s="37"/>
      <c r="R37" s="37"/>
      <c r="S37" s="37"/>
      <c r="T37" s="37"/>
      <c r="U37" s="50" t="str">
        <f>IFERROR(__xludf.DUMMYFUNCTION("""COMPUTED_VALUE"""),"資廚(公司卡) 202502 Cursor AI 程式碼編輯器(20250209-20260209)")</f>
        <v>資廚(公司卡) 202502 Cursor AI 程式碼編輯器(20250209-20260209)</v>
      </c>
      <c r="V37" s="37"/>
      <c r="W37" s="37"/>
      <c r="X37" s="37"/>
      <c r="Y37" s="49">
        <f>IFERROR(__xludf.DUMMYFUNCTION("""COMPUTED_VALUE"""),4207.0)</f>
        <v>4207</v>
      </c>
      <c r="Z37" s="37">
        <f>IFERROR(__xludf.DUMMYFUNCTION("""COMPUTED_VALUE"""),520001.0)</f>
        <v>520001</v>
      </c>
      <c r="AA37" s="37" t="str">
        <f>IFERROR(__xludf.DUMMYFUNCTION("""COMPUTED_VALUE"""),"研發中心")</f>
        <v>研發中心</v>
      </c>
      <c r="AB37" s="48" t="str">
        <f>IFERROR(__xludf.DUMMYFUNCTION("""COMPUTED_VALUE"""),"執行長室 : 研發中心 : 軟體工程部")</f>
        <v>執行長室 : 研發中心 : 軟體工程部</v>
      </c>
      <c r="AC37" s="48" t="str">
        <f>IFERROR(__xludf.DUMMYFUNCTION("""COMPUTED_VALUE"""),"No_Product_Line")</f>
        <v>No_Product_Line</v>
      </c>
      <c r="AD37" s="48" t="str">
        <f>IFERROR(__xludf.DUMMYFUNCTION("""COMPUTED_VALUE"""),"Baseline")</f>
        <v>Baseline</v>
      </c>
      <c r="AE37" s="48" t="str">
        <f>IFERROR(__xludf.DUMMYFUNCTION("""COMPUTED_VALUE"""),"Baseline")</f>
        <v>Baseline</v>
      </c>
      <c r="AF37" s="49">
        <f>IFERROR(__xludf.DUMMYFUNCTION("""COMPUTED_VALUE"""),12620.0)</f>
        <v>12620</v>
      </c>
      <c r="AG37" s="49">
        <f>IFERROR(__xludf.DUMMYFUNCTION("""COMPUTED_VALUE"""),12.0)</f>
        <v>12</v>
      </c>
      <c r="AH37" s="49">
        <f>IFERROR(__xludf.DUMMYFUNCTION("""COMPUTED_VALUE"""),8413.0)</f>
        <v>8413</v>
      </c>
      <c r="AI37" s="49">
        <f>IFERROR(__xludf.DUMMYFUNCTION("""COMPUTED_VALUE"""),0.0)</f>
        <v>0</v>
      </c>
      <c r="AJ37" s="37"/>
      <c r="AK37" s="37"/>
      <c r="AL37" s="49">
        <f>IFERROR(__xludf.DUMMYFUNCTION("""COMPUTED_VALUE"""),2107.0)</f>
        <v>2107</v>
      </c>
      <c r="AM37" s="49">
        <f>IFERROR(__xludf.DUMMYFUNCTION("""COMPUTED_VALUE"""),1051.0)</f>
        <v>1051</v>
      </c>
      <c r="AN37" s="49">
        <f>IFERROR(__xludf.DUMMYFUNCTION("""COMPUTED_VALUE"""),1051.0)</f>
        <v>1051</v>
      </c>
      <c r="AO37" s="49">
        <f>IFERROR(__xludf.DUMMYFUNCTION("""COMPUTED_VALUE"""),1051.0)</f>
        <v>1051</v>
      </c>
      <c r="AP37" s="49">
        <f>IFERROR(__xludf.DUMMYFUNCTION("""COMPUTED_VALUE"""),1051.0)</f>
        <v>1051</v>
      </c>
      <c r="AQ37" s="49">
        <f>IFERROR(__xludf.DUMMYFUNCTION("""COMPUTED_VALUE"""),1051.0)</f>
        <v>1051</v>
      </c>
      <c r="AR37" s="49">
        <f>IFERROR(__xludf.DUMMYFUNCTION("""COMPUTED_VALUE"""),1051.0)</f>
        <v>1051</v>
      </c>
      <c r="AS37" s="49">
        <f>IFERROR(__xludf.DUMMYFUNCTION("""COMPUTED_VALUE"""),1051.0)</f>
        <v>1051</v>
      </c>
      <c r="AT37" s="49">
        <f>IFERROR(__xludf.DUMMYFUNCTION("""COMPUTED_VALUE"""),1051.0)</f>
        <v>1051</v>
      </c>
      <c r="AU37" s="49">
        <f>IFERROR(__xludf.DUMMYFUNCTION("""COMPUTED_VALUE"""),1051.0)</f>
        <v>1051</v>
      </c>
      <c r="AV37" s="49">
        <f>IFERROR(__xludf.DUMMYFUNCTION("""COMPUTED_VALUE"""),1054.0)</f>
        <v>1054</v>
      </c>
      <c r="AW37" s="37"/>
      <c r="AX37" s="37"/>
      <c r="AY37" s="37"/>
      <c r="AZ37" s="37"/>
    </row>
    <row r="38">
      <c r="B38" s="37"/>
      <c r="C38" s="37"/>
      <c r="D38" s="37"/>
      <c r="E38" s="37"/>
      <c r="F38" s="37"/>
      <c r="G38" s="37"/>
      <c r="H38" s="37"/>
      <c r="I38" s="37">
        <f>IFERROR(__xludf.DUMMYFUNCTION("""COMPUTED_VALUE"""),34.0)</f>
        <v>34</v>
      </c>
      <c r="J38" s="37"/>
      <c r="K38" s="37"/>
      <c r="L38" s="37"/>
      <c r="M38" s="37" t="str">
        <f>IFERROR(__xludf.DUMMYFUNCTION("""COMPUTED_VALUE"""),"Journal")</f>
        <v>Journal</v>
      </c>
      <c r="N38" s="45">
        <f>IFERROR(__xludf.DUMMYFUNCTION("""COMPUTED_VALUE"""),45726.0)</f>
        <v>45726</v>
      </c>
      <c r="O38" s="37">
        <f>IFERROR(__xludf.DUMMYFUNCTION("""COMPUTED_VALUE"""),16556.0)</f>
        <v>16556</v>
      </c>
      <c r="P38" s="37"/>
      <c r="Q38" s="37"/>
      <c r="R38" s="37"/>
      <c r="S38" s="37"/>
      <c r="T38" s="37"/>
      <c r="U38" s="37" t="str">
        <f>IFERROR(__xludf.DUMMYFUNCTION("""COMPUTED_VALUE"""),"資廚(公司卡) 202502 Cursor AI 程式碼編輯器(20250209-20260209)")</f>
        <v>資廚(公司卡) 202502 Cursor AI 程式碼編輯器(20250209-20260209)</v>
      </c>
      <c r="V38" s="37"/>
      <c r="W38" s="37"/>
      <c r="X38" s="37"/>
      <c r="Y38" s="49">
        <f>IFERROR(__xludf.DUMMYFUNCTION("""COMPUTED_VALUE"""),4206.0)</f>
        <v>4206</v>
      </c>
      <c r="Z38" s="37">
        <f>IFERROR(__xludf.DUMMYFUNCTION("""COMPUTED_VALUE"""),520001.0)</f>
        <v>520001</v>
      </c>
      <c r="AA38" s="37" t="str">
        <f>IFERROR(__xludf.DUMMYFUNCTION("""COMPUTED_VALUE"""),"研發中心")</f>
        <v>研發中心</v>
      </c>
      <c r="AB38" s="48" t="str">
        <f>IFERROR(__xludf.DUMMYFUNCTION("""COMPUTED_VALUE"""),"執行長室 : 研發中心 : 軟體工程部")</f>
        <v>執行長室 : 研發中心 : 軟體工程部</v>
      </c>
      <c r="AC38" s="48" t="str">
        <f>IFERROR(__xludf.DUMMYFUNCTION("""COMPUTED_VALUE"""),"No_Product_Line")</f>
        <v>No_Product_Line</v>
      </c>
      <c r="AD38" s="48" t="str">
        <f>IFERROR(__xludf.DUMMYFUNCTION("""COMPUTED_VALUE"""),"Baseline")</f>
        <v>Baseline</v>
      </c>
      <c r="AE38" s="48" t="str">
        <f>IFERROR(__xludf.DUMMYFUNCTION("""COMPUTED_VALUE"""),"Baseline")</f>
        <v>Baseline</v>
      </c>
      <c r="AF38" s="49">
        <f>IFERROR(__xludf.DUMMYFUNCTION("""COMPUTED_VALUE"""),12619.0)</f>
        <v>12619</v>
      </c>
      <c r="AG38" s="49">
        <f>IFERROR(__xludf.DUMMYFUNCTION("""COMPUTED_VALUE"""),12.0)</f>
        <v>12</v>
      </c>
      <c r="AH38" s="49">
        <f>IFERROR(__xludf.DUMMYFUNCTION("""COMPUTED_VALUE"""),8413.0)</f>
        <v>8413</v>
      </c>
      <c r="AI38" s="49">
        <f>IFERROR(__xludf.DUMMYFUNCTION("""COMPUTED_VALUE"""),0.0)</f>
        <v>0</v>
      </c>
      <c r="AJ38" s="37"/>
      <c r="AK38" s="37"/>
      <c r="AL38" s="49">
        <f>IFERROR(__xludf.DUMMYFUNCTION("""COMPUTED_VALUE"""),2107.0)</f>
        <v>2107</v>
      </c>
      <c r="AM38" s="49">
        <f>IFERROR(__xludf.DUMMYFUNCTION("""COMPUTED_VALUE"""),1051.0)</f>
        <v>1051</v>
      </c>
      <c r="AN38" s="49">
        <f>IFERROR(__xludf.DUMMYFUNCTION("""COMPUTED_VALUE"""),1051.0)</f>
        <v>1051</v>
      </c>
      <c r="AO38" s="49">
        <f>IFERROR(__xludf.DUMMYFUNCTION("""COMPUTED_VALUE"""),1051.0)</f>
        <v>1051</v>
      </c>
      <c r="AP38" s="49">
        <f>IFERROR(__xludf.DUMMYFUNCTION("""COMPUTED_VALUE"""),1051.0)</f>
        <v>1051</v>
      </c>
      <c r="AQ38" s="49">
        <f>IFERROR(__xludf.DUMMYFUNCTION("""COMPUTED_VALUE"""),1051.0)</f>
        <v>1051</v>
      </c>
      <c r="AR38" s="49">
        <f>IFERROR(__xludf.DUMMYFUNCTION("""COMPUTED_VALUE"""),1051.0)</f>
        <v>1051</v>
      </c>
      <c r="AS38" s="49">
        <f>IFERROR(__xludf.DUMMYFUNCTION("""COMPUTED_VALUE"""),1051.0)</f>
        <v>1051</v>
      </c>
      <c r="AT38" s="49">
        <f>IFERROR(__xludf.DUMMYFUNCTION("""COMPUTED_VALUE"""),1051.0)</f>
        <v>1051</v>
      </c>
      <c r="AU38" s="49">
        <f>IFERROR(__xludf.DUMMYFUNCTION("""COMPUTED_VALUE"""),1051.0)</f>
        <v>1051</v>
      </c>
      <c r="AV38" s="49">
        <f>IFERROR(__xludf.DUMMYFUNCTION("""COMPUTED_VALUE"""),1053.0)</f>
        <v>1053</v>
      </c>
      <c r="AW38" s="37"/>
      <c r="AX38" s="37"/>
      <c r="AY38" s="37"/>
      <c r="AZ38" s="37"/>
    </row>
    <row r="39">
      <c r="B39" s="37"/>
      <c r="C39" s="37"/>
      <c r="D39" s="37"/>
      <c r="E39" s="37"/>
      <c r="F39" s="37"/>
      <c r="G39" s="37"/>
      <c r="H39" s="37"/>
      <c r="I39" s="37">
        <f>IFERROR(__xludf.DUMMYFUNCTION("""COMPUTED_VALUE"""),35.0)</f>
        <v>35</v>
      </c>
      <c r="J39" s="37"/>
      <c r="K39" s="37"/>
      <c r="L39" s="37"/>
      <c r="M39" s="37" t="str">
        <f>IFERROR(__xludf.DUMMYFUNCTION("""COMPUTED_VALUE"""),"Journal")</f>
        <v>Journal</v>
      </c>
      <c r="N39" s="45">
        <f>IFERROR(__xludf.DUMMYFUNCTION("""COMPUTED_VALUE"""),45726.0)</f>
        <v>45726</v>
      </c>
      <c r="O39" s="37">
        <f>IFERROR(__xludf.DUMMYFUNCTION("""COMPUTED_VALUE"""),16556.0)</f>
        <v>16556</v>
      </c>
      <c r="P39" s="37"/>
      <c r="Q39" s="37"/>
      <c r="R39" s="37"/>
      <c r="S39" s="37"/>
      <c r="T39" s="37"/>
      <c r="U39" s="37" t="str">
        <f>IFERROR(__xludf.DUMMYFUNCTION("""COMPUTED_VALUE"""),"資廚管理顧問股份有限公司(公司卡)_202502_iPinfo(20250219-20260219)")</f>
        <v>資廚管理顧問股份有限公司(公司卡)_202502_iPinfo(20250219-20260219)</v>
      </c>
      <c r="V39" s="37"/>
      <c r="W39" s="37"/>
      <c r="X39" s="37"/>
      <c r="Y39" s="49">
        <f>IFERROR(__xludf.DUMMYFUNCTION("""COMPUTED_VALUE"""),5342.0)</f>
        <v>5342</v>
      </c>
      <c r="Z39" s="37">
        <f>IFERROR(__xludf.DUMMYFUNCTION("""COMPUTED_VALUE"""),603201.0)</f>
        <v>603201</v>
      </c>
      <c r="AA39" s="37" t="str">
        <f>IFERROR(__xludf.DUMMYFUNCTION("""COMPUTED_VALUE"""),"行銷營運中心")</f>
        <v>行銷營運中心</v>
      </c>
      <c r="AB39" s="48" t="str">
        <f>IFERROR(__xludf.DUMMYFUNCTION("""COMPUTED_VALUE"""),"執行長室 : 行銷營運中心 : 產品行銷部")</f>
        <v>執行長室 : 行銷營運中心 : 產品行銷部</v>
      </c>
      <c r="AC39" s="48" t="str">
        <f>IFERROR(__xludf.DUMMYFUNCTION("""COMPUTED_VALUE"""),"No_Product_Line")</f>
        <v>No_Product_Line</v>
      </c>
      <c r="AD39" s="48" t="str">
        <f>IFERROR(__xludf.DUMMYFUNCTION("""COMPUTED_VALUE"""),"Baseline")</f>
        <v>Baseline</v>
      </c>
      <c r="AE39" s="48" t="str">
        <f>IFERROR(__xludf.DUMMYFUNCTION("""COMPUTED_VALUE"""),"Baseline")</f>
        <v>Baseline</v>
      </c>
      <c r="AF39" s="49">
        <f>IFERROR(__xludf.DUMMYFUNCTION("""COMPUTED_VALUE"""),16036.0)</f>
        <v>16036</v>
      </c>
      <c r="AG39" s="49">
        <f>IFERROR(__xludf.DUMMYFUNCTION("""COMPUTED_VALUE"""),12.0)</f>
        <v>12</v>
      </c>
      <c r="AH39" s="49">
        <f>IFERROR(__xludf.DUMMYFUNCTION("""COMPUTED_VALUE"""),10694.0)</f>
        <v>10694</v>
      </c>
      <c r="AI39" s="49">
        <f>IFERROR(__xludf.DUMMYFUNCTION("""COMPUTED_VALUE"""),0.0)</f>
        <v>0</v>
      </c>
      <c r="AJ39" s="37"/>
      <c r="AK39" s="37"/>
      <c r="AL39" s="49">
        <f>IFERROR(__xludf.DUMMYFUNCTION("""COMPUTED_VALUE"""),2678.0)</f>
        <v>2678</v>
      </c>
      <c r="AM39" s="49">
        <f>IFERROR(__xludf.DUMMYFUNCTION("""COMPUTED_VALUE"""),1336.0)</f>
        <v>1336</v>
      </c>
      <c r="AN39" s="49">
        <f>IFERROR(__xludf.DUMMYFUNCTION("""COMPUTED_VALUE"""),1336.0)</f>
        <v>1336</v>
      </c>
      <c r="AO39" s="49">
        <f>IFERROR(__xludf.DUMMYFUNCTION("""COMPUTED_VALUE"""),1336.0)</f>
        <v>1336</v>
      </c>
      <c r="AP39" s="49">
        <f>IFERROR(__xludf.DUMMYFUNCTION("""COMPUTED_VALUE"""),1336.0)</f>
        <v>1336</v>
      </c>
      <c r="AQ39" s="49">
        <f>IFERROR(__xludf.DUMMYFUNCTION("""COMPUTED_VALUE"""),1336.0)</f>
        <v>1336</v>
      </c>
      <c r="AR39" s="49">
        <f>IFERROR(__xludf.DUMMYFUNCTION("""COMPUTED_VALUE"""),1336.0)</f>
        <v>1336</v>
      </c>
      <c r="AS39" s="49">
        <f>IFERROR(__xludf.DUMMYFUNCTION("""COMPUTED_VALUE"""),1336.0)</f>
        <v>1336</v>
      </c>
      <c r="AT39" s="49">
        <f>IFERROR(__xludf.DUMMYFUNCTION("""COMPUTED_VALUE"""),1336.0)</f>
        <v>1336</v>
      </c>
      <c r="AU39" s="49">
        <f>IFERROR(__xludf.DUMMYFUNCTION("""COMPUTED_VALUE"""),1336.0)</f>
        <v>1336</v>
      </c>
      <c r="AV39" s="49">
        <f>IFERROR(__xludf.DUMMYFUNCTION("""COMPUTED_VALUE"""),1334.0)</f>
        <v>1334</v>
      </c>
      <c r="AW39" s="37"/>
      <c r="AX39" s="37"/>
      <c r="AY39" s="37"/>
      <c r="AZ39" s="37"/>
    </row>
    <row r="40">
      <c r="B40" s="37"/>
      <c r="C40" s="37"/>
      <c r="D40" s="37"/>
      <c r="E40" s="37"/>
      <c r="F40" s="37"/>
      <c r="G40" s="37"/>
      <c r="H40" s="37"/>
      <c r="I40" s="37">
        <f>IFERROR(__xludf.DUMMYFUNCTION("""COMPUTED_VALUE"""),36.0)</f>
        <v>36</v>
      </c>
      <c r="J40" s="37"/>
      <c r="K40" s="37" t="str">
        <f>IFERROR(__xludf.DUMMYFUNCTION("""COMPUTED_VALUE"""),"Y")</f>
        <v>Y</v>
      </c>
      <c r="L40" s="37"/>
      <c r="M40" s="37" t="str">
        <f>IFERROR(__xludf.DUMMYFUNCTION("""COMPUTED_VALUE"""),"Journal")</f>
        <v>Journal</v>
      </c>
      <c r="N40" s="45">
        <f>IFERROR(__xludf.DUMMYFUNCTION("""COMPUTED_VALUE"""),45726.0)</f>
        <v>45726</v>
      </c>
      <c r="O40" s="37">
        <f>IFERROR(__xludf.DUMMYFUNCTION("""COMPUTED_VALUE"""),16556.0)</f>
        <v>16556</v>
      </c>
      <c r="P40" s="37"/>
      <c r="Q40" s="37"/>
      <c r="R40" s="37"/>
      <c r="S40" s="37"/>
      <c r="T40" s="37"/>
      <c r="U40" s="50" t="str">
        <f>IFERROR(__xludf.DUMMYFUNCTION("""COMPUTED_VALUE"""),"資廚管理顧問股份有限公司(公司卡)_202502_SpeedCurve目前年繳方案升級Real_User_Monitoring(20250224-20251007)")</f>
        <v>資廚管理顧問股份有限公司(公司卡)_202502_SpeedCurve目前年繳方案升級Real_User_Monitoring(20250224-20251007)</v>
      </c>
      <c r="V40" s="37"/>
      <c r="W40" s="37"/>
      <c r="X40" s="37"/>
      <c r="Y40" s="49">
        <f>IFERROR(__xludf.DUMMYFUNCTION("""COMPUTED_VALUE"""),0.0)</f>
        <v>0</v>
      </c>
      <c r="Z40" s="37">
        <f>IFERROR(__xludf.DUMMYFUNCTION("""COMPUTED_VALUE"""),520001.0)</f>
        <v>520001</v>
      </c>
      <c r="AA40" s="37" t="str">
        <f>IFERROR(__xludf.DUMMYFUNCTION("""COMPUTED_VALUE"""),"研發中心")</f>
        <v>研發中心</v>
      </c>
      <c r="AB40" s="48" t="str">
        <f>IFERROR(__xludf.DUMMYFUNCTION("""COMPUTED_VALUE"""),"執行長室 : 研發中心 : 軟體工程部")</f>
        <v>執行長室 : 研發中心 : 軟體工程部</v>
      </c>
      <c r="AC40" s="48" t="str">
        <f>IFERROR(__xludf.DUMMYFUNCTION("""COMPUTED_VALUE"""),"No_Product_Line")</f>
        <v>No_Product_Line</v>
      </c>
      <c r="AD40" s="48" t="str">
        <f>IFERROR(__xludf.DUMMYFUNCTION("""COMPUTED_VALUE"""),"Baseline")</f>
        <v>Baseline</v>
      </c>
      <c r="AE40" s="48" t="str">
        <f>IFERROR(__xludf.DUMMYFUNCTION("""COMPUTED_VALUE"""),"Baseline")</f>
        <v>Baseline</v>
      </c>
      <c r="AF40" s="49">
        <f>IFERROR(__xludf.DUMMYFUNCTION("""COMPUTED_VALUE"""),13108.0)</f>
        <v>13108</v>
      </c>
      <c r="AG40" s="49">
        <f>IFERROR(__xludf.DUMMYFUNCTION("""COMPUTED_VALUE"""),8.0)</f>
        <v>8</v>
      </c>
      <c r="AH40" s="49">
        <f>IFERROR(__xludf.DUMMYFUNCTION("""COMPUTED_VALUE"""),13108.0)</f>
        <v>13108</v>
      </c>
      <c r="AI40" s="49">
        <f>IFERROR(__xludf.DUMMYFUNCTION("""COMPUTED_VALUE"""),0.0)</f>
        <v>0</v>
      </c>
      <c r="AJ40" s="37"/>
      <c r="AK40" s="37"/>
      <c r="AL40" s="49">
        <f>IFERROR(__xludf.DUMMYFUNCTION("""COMPUTED_VALUE"""),3278.0)</f>
        <v>3278</v>
      </c>
      <c r="AM40" s="49">
        <f>IFERROR(__xludf.DUMMYFUNCTION("""COMPUTED_VALUE"""),1639.0)</f>
        <v>1639</v>
      </c>
      <c r="AN40" s="49">
        <f>IFERROR(__xludf.DUMMYFUNCTION("""COMPUTED_VALUE"""),1639.0)</f>
        <v>1639</v>
      </c>
      <c r="AO40" s="49">
        <f>IFERROR(__xludf.DUMMYFUNCTION("""COMPUTED_VALUE"""),1639.0)</f>
        <v>1639</v>
      </c>
      <c r="AP40" s="49">
        <f>IFERROR(__xludf.DUMMYFUNCTION("""COMPUTED_VALUE"""),1639.0)</f>
        <v>1639</v>
      </c>
      <c r="AQ40" s="49">
        <f>IFERROR(__xludf.DUMMYFUNCTION("""COMPUTED_VALUE"""),1639.0)</f>
        <v>1639</v>
      </c>
      <c r="AR40" s="49">
        <f>IFERROR(__xludf.DUMMYFUNCTION("""COMPUTED_VALUE"""),1635.0)</f>
        <v>1635</v>
      </c>
      <c r="AS40" s="37"/>
      <c r="AT40" s="37"/>
      <c r="AU40" s="37"/>
      <c r="AV40" s="37"/>
      <c r="AW40" s="37"/>
      <c r="AX40" s="37"/>
      <c r="AY40" s="37"/>
      <c r="AZ40" s="37"/>
    </row>
    <row r="41">
      <c r="B41" s="37"/>
      <c r="C41" s="37"/>
      <c r="D41" s="37"/>
      <c r="E41" s="37"/>
      <c r="F41" s="37"/>
      <c r="G41" s="37"/>
      <c r="H41" s="37"/>
      <c r="I41" s="37">
        <f>IFERROR(__xludf.DUMMYFUNCTION("""COMPUTED_VALUE"""),37.0)</f>
        <v>37</v>
      </c>
      <c r="J41" s="37"/>
      <c r="K41" s="37" t="str">
        <f>IFERROR(__xludf.DUMMYFUNCTION("""COMPUTED_VALUE"""),"Y")</f>
        <v>Y</v>
      </c>
      <c r="L41" s="37"/>
      <c r="M41" s="37" t="str">
        <f>IFERROR(__xludf.DUMMYFUNCTION("""COMPUTED_VALUE"""),"Journal")</f>
        <v>Journal</v>
      </c>
      <c r="N41" s="45">
        <f>IFERROR(__xludf.DUMMYFUNCTION("""COMPUTED_VALUE"""),45726.0)</f>
        <v>45726</v>
      </c>
      <c r="O41" s="37">
        <f>IFERROR(__xludf.DUMMYFUNCTION("""COMPUTED_VALUE"""),16556.0)</f>
        <v>16556</v>
      </c>
      <c r="P41" s="37"/>
      <c r="Q41" s="37"/>
      <c r="R41" s="37"/>
      <c r="S41" s="37"/>
      <c r="T41" s="37"/>
      <c r="U41" s="37" t="str">
        <f>IFERROR(__xludf.DUMMYFUNCTION("""COMPUTED_VALUE"""),"資廚管理顧問股份有限公司(公司卡)_202502_Jetpack(20250131-20260131)")</f>
        <v>資廚管理顧問股份有限公司(公司卡)_202502_Jetpack(20250131-20260131)</v>
      </c>
      <c r="V41" s="37"/>
      <c r="W41" s="37"/>
      <c r="X41" s="37"/>
      <c r="Y41" s="49">
        <f>IFERROR(__xludf.DUMMYFUNCTION("""COMPUTED_VALUE"""),7384.0)</f>
        <v>7384</v>
      </c>
      <c r="Z41" s="37">
        <f>IFERROR(__xludf.DUMMYFUNCTION("""COMPUTED_VALUE"""),603201.0)</f>
        <v>603201</v>
      </c>
      <c r="AA41" s="37" t="str">
        <f>IFERROR(__xludf.DUMMYFUNCTION("""COMPUTED_VALUE"""),"行銷營運中心")</f>
        <v>行銷營運中心</v>
      </c>
      <c r="AB41" s="48" t="str">
        <f>IFERROR(__xludf.DUMMYFUNCTION("""COMPUTED_VALUE"""),"執行長室 : 行銷營運中心 : 產品行銷部")</f>
        <v>執行長室 : 行銷營運中心 : 產品行銷部</v>
      </c>
      <c r="AC41" s="48" t="str">
        <f>IFERROR(__xludf.DUMMYFUNCTION("""COMPUTED_VALUE"""),"No_Product_Line")</f>
        <v>No_Product_Line</v>
      </c>
      <c r="AD41" s="48" t="str">
        <f>IFERROR(__xludf.DUMMYFUNCTION("""COMPUTED_VALUE"""),"Baseline")</f>
        <v>Baseline</v>
      </c>
      <c r="AE41" s="48" t="str">
        <f>IFERROR(__xludf.DUMMYFUNCTION("""COMPUTED_VALUE"""),"Baseline")</f>
        <v>Baseline</v>
      </c>
      <c r="AF41" s="49">
        <f>IFERROR(__xludf.DUMMYFUNCTION("""COMPUTED_VALUE"""),29536.0)</f>
        <v>29536</v>
      </c>
      <c r="AG41" s="49">
        <f>IFERROR(__xludf.DUMMYFUNCTION("""COMPUTED_VALUE"""),12.0)</f>
        <v>12</v>
      </c>
      <c r="AH41" s="49">
        <f>IFERROR(__xludf.DUMMYFUNCTION("""COMPUTED_VALUE"""),22152.0)</f>
        <v>22152</v>
      </c>
      <c r="AI41" s="49">
        <f>IFERROR(__xludf.DUMMYFUNCTION("""COMPUTED_VALUE"""),0.0)</f>
        <v>0</v>
      </c>
      <c r="AJ41" s="37"/>
      <c r="AK41" s="37"/>
      <c r="AL41" s="49">
        <f>IFERROR(__xludf.DUMMYFUNCTION("""COMPUTED_VALUE"""),7392.0)</f>
        <v>7392</v>
      </c>
      <c r="AM41" s="49">
        <f>IFERROR(__xludf.DUMMYFUNCTION("""COMPUTED_VALUE"""),2460.0)</f>
        <v>2460</v>
      </c>
      <c r="AN41" s="49">
        <f>IFERROR(__xludf.DUMMYFUNCTION("""COMPUTED_VALUE"""),2460.0)</f>
        <v>2460</v>
      </c>
      <c r="AO41" s="49">
        <f>IFERROR(__xludf.DUMMYFUNCTION("""COMPUTED_VALUE"""),2460.0)</f>
        <v>2460</v>
      </c>
      <c r="AP41" s="49">
        <f>IFERROR(__xludf.DUMMYFUNCTION("""COMPUTED_VALUE"""),2460.0)</f>
        <v>2460</v>
      </c>
      <c r="AQ41" s="49">
        <f>IFERROR(__xludf.DUMMYFUNCTION("""COMPUTED_VALUE"""),2460.0)</f>
        <v>2460</v>
      </c>
      <c r="AR41" s="49">
        <f>IFERROR(__xludf.DUMMYFUNCTION("""COMPUTED_VALUE"""),2460.0)</f>
        <v>2460</v>
      </c>
      <c r="AS41" s="49">
        <f>IFERROR(__xludf.DUMMYFUNCTION("""COMPUTED_VALUE"""),2460.0)</f>
        <v>2460</v>
      </c>
      <c r="AT41" s="49">
        <f>IFERROR(__xludf.DUMMYFUNCTION("""COMPUTED_VALUE"""),2460.0)</f>
        <v>2460</v>
      </c>
      <c r="AU41" s="49">
        <f>IFERROR(__xludf.DUMMYFUNCTION("""COMPUTED_VALUE"""),2464.0)</f>
        <v>2464</v>
      </c>
      <c r="AV41" s="37"/>
      <c r="AW41" s="37"/>
      <c r="AX41" s="37"/>
      <c r="AY41" s="37"/>
      <c r="AZ41" s="37"/>
    </row>
    <row r="42">
      <c r="B42" s="37"/>
      <c r="C42" s="37"/>
      <c r="D42" s="37"/>
      <c r="E42" s="37"/>
      <c r="F42" s="37"/>
      <c r="G42" s="37"/>
      <c r="H42" s="37"/>
      <c r="I42" s="37">
        <f>IFERROR(__xludf.DUMMYFUNCTION("""COMPUTED_VALUE"""),38.0)</f>
        <v>38</v>
      </c>
      <c r="J42" s="37"/>
      <c r="K42" s="37"/>
      <c r="L42" s="37"/>
      <c r="M42" s="37" t="str">
        <f>IFERROR(__xludf.DUMMYFUNCTION("""COMPUTED_VALUE"""),"Journal")</f>
        <v>Journal</v>
      </c>
      <c r="N42" s="45">
        <f>IFERROR(__xludf.DUMMYFUNCTION("""COMPUTED_VALUE"""),45726.0)</f>
        <v>45726</v>
      </c>
      <c r="O42" s="37">
        <f>IFERROR(__xludf.DUMMYFUNCTION("""COMPUTED_VALUE"""),16556.0)</f>
        <v>16556</v>
      </c>
      <c r="P42" s="37"/>
      <c r="Q42" s="37"/>
      <c r="R42" s="37"/>
      <c r="S42" s="37"/>
      <c r="T42" s="37"/>
      <c r="U42" s="37" t="str">
        <f>IFERROR(__xludf.DUMMYFUNCTION("""COMPUTED_VALUE"""),"資廚管理顧問股份有限公司(公司卡) 202503 SURVEYSPARROW(20250324-20260324)(預估)")</f>
        <v>資廚管理顧問股份有限公司(公司卡) 202503 SURVEYSPARROW(20250324-20260324)(預估)</v>
      </c>
      <c r="V42" s="37"/>
      <c r="W42" s="37"/>
      <c r="X42" s="37"/>
      <c r="Y42" s="49">
        <f>IFERROR(__xludf.DUMMYFUNCTION("""COMPUTED_VALUE"""),16343.0)</f>
        <v>16343</v>
      </c>
      <c r="Z42" s="37">
        <f>IFERROR(__xludf.DUMMYFUNCTION("""COMPUTED_VALUE"""),520001.0)</f>
        <v>520001</v>
      </c>
      <c r="AA42" s="37" t="str">
        <f>IFERROR(__xludf.DUMMYFUNCTION("""COMPUTED_VALUE"""),"客戶價值中心")</f>
        <v>客戶價值中心</v>
      </c>
      <c r="AB42" s="48" t="str">
        <f>IFERROR(__xludf.DUMMYFUNCTION("""COMPUTED_VALUE"""),"執行長室 : 客戶價值中心 : 客戶關係管理部 : 客服團隊 POS/OMO")</f>
        <v>執行長室 : 客戶價值中心 : 客戶關係管理部 : 客服團隊 POS/OMO</v>
      </c>
      <c r="AC42" s="48" t="str">
        <f>IFERROR(__xludf.DUMMYFUNCTION("""COMPUTED_VALUE"""),"No_Product_Line")</f>
        <v>No_Product_Line</v>
      </c>
      <c r="AD42" s="48" t="str">
        <f>IFERROR(__xludf.DUMMYFUNCTION("""COMPUTED_VALUE"""),"Baseline")</f>
        <v>Baseline</v>
      </c>
      <c r="AE42" s="48" t="str">
        <f>IFERROR(__xludf.DUMMYFUNCTION("""COMPUTED_VALUE"""),"Baseline")</f>
        <v>Baseline</v>
      </c>
      <c r="AF42" s="49">
        <f>IFERROR(__xludf.DUMMYFUNCTION("""COMPUTED_VALUE"""),39242.0)</f>
        <v>39242</v>
      </c>
      <c r="AG42" s="49">
        <f>IFERROR(__xludf.DUMMYFUNCTION("""COMPUTED_VALUE"""),12.0)</f>
        <v>12</v>
      </c>
      <c r="AH42" s="49">
        <f>IFERROR(__xludf.DUMMYFUNCTION("""COMPUTED_VALUE"""),22899.0)</f>
        <v>22899</v>
      </c>
      <c r="AI42" s="49">
        <f>IFERROR(__xludf.DUMMYFUNCTION("""COMPUTED_VALUE"""),0.0)</f>
        <v>0</v>
      </c>
      <c r="AJ42" s="37"/>
      <c r="AK42" s="37"/>
      <c r="AL42" s="49">
        <f>IFERROR(__xludf.DUMMYFUNCTION("""COMPUTED_VALUE"""),3285.0)</f>
        <v>3285</v>
      </c>
      <c r="AM42" s="49">
        <f>IFERROR(__xludf.DUMMYFUNCTION("""COMPUTED_VALUE"""),3269.0)</f>
        <v>3269</v>
      </c>
      <c r="AN42" s="49">
        <f>IFERROR(__xludf.DUMMYFUNCTION("""COMPUTED_VALUE"""),3269.0)</f>
        <v>3269</v>
      </c>
      <c r="AO42" s="49">
        <f>IFERROR(__xludf.DUMMYFUNCTION("""COMPUTED_VALUE"""),3269.0)</f>
        <v>3269</v>
      </c>
      <c r="AP42" s="49">
        <f>IFERROR(__xludf.DUMMYFUNCTION("""COMPUTED_VALUE"""),3269.0)</f>
        <v>3269</v>
      </c>
      <c r="AQ42" s="49">
        <f>IFERROR(__xludf.DUMMYFUNCTION("""COMPUTED_VALUE"""),3269.0)</f>
        <v>3269</v>
      </c>
      <c r="AR42" s="49">
        <f>IFERROR(__xludf.DUMMYFUNCTION("""COMPUTED_VALUE"""),3269.0)</f>
        <v>3269</v>
      </c>
      <c r="AS42" s="49">
        <f>IFERROR(__xludf.DUMMYFUNCTION("""COMPUTED_VALUE"""),3269.0)</f>
        <v>3269</v>
      </c>
      <c r="AT42" s="49">
        <f>IFERROR(__xludf.DUMMYFUNCTION("""COMPUTED_VALUE"""),3269.0)</f>
        <v>3269</v>
      </c>
      <c r="AU42" s="49">
        <f>IFERROR(__xludf.DUMMYFUNCTION("""COMPUTED_VALUE"""),3269.0)</f>
        <v>3269</v>
      </c>
      <c r="AV42" s="49">
        <f>IFERROR(__xludf.DUMMYFUNCTION("""COMPUTED_VALUE"""),3269.0)</f>
        <v>3269</v>
      </c>
      <c r="AW42" s="49">
        <f>IFERROR(__xludf.DUMMYFUNCTION("""COMPUTED_VALUE"""),3267.0)</f>
        <v>3267</v>
      </c>
      <c r="AX42" s="37"/>
      <c r="AY42" s="37"/>
      <c r="AZ42" s="37"/>
    </row>
    <row r="43">
      <c r="B43" s="37"/>
      <c r="C43" s="37"/>
      <c r="D43" s="37"/>
      <c r="E43" s="37"/>
      <c r="F43" s="37"/>
      <c r="G43" s="37"/>
      <c r="H43" s="37"/>
      <c r="I43" s="37">
        <f>IFERROR(__xludf.DUMMYFUNCTION("""COMPUTED_VALUE"""),39.0)</f>
        <v>39</v>
      </c>
      <c r="J43" s="37"/>
      <c r="K43" s="37"/>
      <c r="L43" s="37"/>
      <c r="M43" s="37" t="str">
        <f>IFERROR(__xludf.DUMMYFUNCTION("""COMPUTED_VALUE"""),"Journal")</f>
        <v>Journal</v>
      </c>
      <c r="N43" s="45">
        <f>IFERROR(__xludf.DUMMYFUNCTION("""COMPUTED_VALUE"""),45726.0)</f>
        <v>45726</v>
      </c>
      <c r="O43" s="37">
        <f>IFERROR(__xludf.DUMMYFUNCTION("""COMPUTED_VALUE"""),16556.0)</f>
        <v>16556</v>
      </c>
      <c r="P43" s="37"/>
      <c r="Q43" s="37"/>
      <c r="R43" s="37"/>
      <c r="S43" s="37"/>
      <c r="T43" s="37"/>
      <c r="U43" s="37" t="str">
        <f>IFERROR(__xludf.DUMMYFUNCTION("""COMPUTED_VALUE"""),"資廚管理顧問股份有限公司(公司卡) 202503 1PASSWORD(20250305-20260305)(預估)(沖J16740)")</f>
        <v>資廚管理顧問股份有限公司(公司卡) 202503 1PASSWORD(20250305-20260305)(預估)(沖J16740)</v>
      </c>
      <c r="V43" s="37"/>
      <c r="W43" s="37"/>
      <c r="X43" s="37"/>
      <c r="Y43" s="49">
        <f>IFERROR(__xludf.DUMMYFUNCTION("""COMPUTED_VALUE"""),76157.0)</f>
        <v>76157</v>
      </c>
      <c r="Z43" s="37">
        <f>IFERROR(__xludf.DUMMYFUNCTION("""COMPUTED_VALUE"""),520001.0)</f>
        <v>520001</v>
      </c>
      <c r="AA43" s="37" t="str">
        <f>IFERROR(__xludf.DUMMYFUNCTION("""COMPUTED_VALUE"""),"研發中心")</f>
        <v>研發中心</v>
      </c>
      <c r="AB43" s="48" t="str">
        <f>IFERROR(__xludf.DUMMYFUNCTION("""COMPUTED_VALUE"""),"執行長室 : 研發中心 : 軟體工程部")</f>
        <v>執行長室 : 研發中心 : 軟體工程部</v>
      </c>
      <c r="AC43" s="48" t="str">
        <f>IFERROR(__xludf.DUMMYFUNCTION("""COMPUTED_VALUE"""),"No_Product_Line")</f>
        <v>No_Product_Line</v>
      </c>
      <c r="AD43" s="48" t="str">
        <f>IFERROR(__xludf.DUMMYFUNCTION("""COMPUTED_VALUE"""),"Baseline")</f>
        <v>Baseline</v>
      </c>
      <c r="AE43" s="48" t="str">
        <f>IFERROR(__xludf.DUMMYFUNCTION("""COMPUTED_VALUE"""),"Baseline")</f>
        <v>Baseline</v>
      </c>
      <c r="AF43" s="49">
        <f>IFERROR(__xludf.DUMMYFUNCTION("""COMPUTED_VALUE"""),182847.0)</f>
        <v>182847</v>
      </c>
      <c r="AG43" s="49">
        <f>IFERROR(__xludf.DUMMYFUNCTION("""COMPUTED_VALUE"""),12.0)</f>
        <v>12</v>
      </c>
      <c r="AH43" s="49">
        <f>IFERROR(__xludf.DUMMYFUNCTION("""COMPUTED_VALUE"""),106690.0)</f>
        <v>106690</v>
      </c>
      <c r="AI43" s="49">
        <f>IFERROR(__xludf.DUMMYFUNCTION("""COMPUTED_VALUE"""),0.0)</f>
        <v>0</v>
      </c>
      <c r="AJ43" s="37"/>
      <c r="AK43" s="37"/>
      <c r="AL43" s="49">
        <f>IFERROR(__xludf.DUMMYFUNCTION("""COMPUTED_VALUE"""),15304.0)</f>
        <v>15304</v>
      </c>
      <c r="AM43" s="49">
        <f>IFERROR(__xludf.DUMMYFUNCTION("""COMPUTED_VALUE"""),15231.0)</f>
        <v>15231</v>
      </c>
      <c r="AN43" s="49">
        <f>IFERROR(__xludf.DUMMYFUNCTION("""COMPUTED_VALUE"""),15231.0)</f>
        <v>15231</v>
      </c>
      <c r="AO43" s="49">
        <f>IFERROR(__xludf.DUMMYFUNCTION("""COMPUTED_VALUE"""),15231.0)</f>
        <v>15231</v>
      </c>
      <c r="AP43" s="49">
        <f>IFERROR(__xludf.DUMMYFUNCTION("""COMPUTED_VALUE"""),15231.0)</f>
        <v>15231</v>
      </c>
      <c r="AQ43" s="49">
        <f>IFERROR(__xludf.DUMMYFUNCTION("""COMPUTED_VALUE"""),15231.0)</f>
        <v>15231</v>
      </c>
      <c r="AR43" s="49">
        <f>IFERROR(__xludf.DUMMYFUNCTION("""COMPUTED_VALUE"""),15231.0)</f>
        <v>15231</v>
      </c>
      <c r="AS43" s="49">
        <f>IFERROR(__xludf.DUMMYFUNCTION("""COMPUTED_VALUE"""),15231.0)</f>
        <v>15231</v>
      </c>
      <c r="AT43" s="49">
        <f>IFERROR(__xludf.DUMMYFUNCTION("""COMPUTED_VALUE"""),15231.0)</f>
        <v>15231</v>
      </c>
      <c r="AU43" s="49">
        <f>IFERROR(__xludf.DUMMYFUNCTION("""COMPUTED_VALUE"""),15231.0)</f>
        <v>15231</v>
      </c>
      <c r="AV43" s="49">
        <f>IFERROR(__xludf.DUMMYFUNCTION("""COMPUTED_VALUE"""),15231.0)</f>
        <v>15231</v>
      </c>
      <c r="AW43" s="49">
        <f>IFERROR(__xludf.DUMMYFUNCTION("""COMPUTED_VALUE"""),15233.0)</f>
        <v>15233</v>
      </c>
      <c r="AX43" s="37"/>
      <c r="AY43" s="37"/>
      <c r="AZ43" s="37"/>
    </row>
    <row r="44">
      <c r="B44" s="37"/>
      <c r="C44" s="37"/>
      <c r="D44" s="37"/>
      <c r="E44" s="37"/>
      <c r="F44" s="37"/>
      <c r="G44" s="37"/>
      <c r="H44" s="37"/>
      <c r="I44" s="37">
        <f>IFERROR(__xludf.DUMMYFUNCTION("""COMPUTED_VALUE"""),40.0)</f>
        <v>40</v>
      </c>
      <c r="J44" s="37" t="str">
        <f>IFERROR(__xludf.DUMMYFUNCTION("""COMPUTED_VALUE"""),"Y")</f>
        <v>Y</v>
      </c>
      <c r="K44" s="37"/>
      <c r="L44" s="37"/>
      <c r="M44" s="37" t="str">
        <f>IFERROR(__xludf.DUMMYFUNCTION("""COMPUTED_VALUE"""),"Bill")</f>
        <v>Bill</v>
      </c>
      <c r="N44" s="45">
        <f>IFERROR(__xludf.DUMMYFUNCTION("""COMPUTED_VALUE"""),45733.0)</f>
        <v>45733</v>
      </c>
      <c r="O44" s="37">
        <f>IFERROR(__xludf.DUMMYFUNCTION("""COMPUTED_VALUE"""),5898.0)</f>
        <v>5898</v>
      </c>
      <c r="P44" s="37"/>
      <c r="Q44" s="37"/>
      <c r="R44" s="37"/>
      <c r="S44" s="37"/>
      <c r="T44" s="37"/>
      <c r="U44" s="37" t="str">
        <f>IFERROR(__xludf.DUMMYFUNCTION("""COMPUTED_VALUE"""),"Salesforce 202502 資訊系統導入帳號軟體費(20250215-20250815)[憑證在ER5300]")</f>
        <v>Salesforce 202502 資訊系統導入帳號軟體費(20250215-20250815)[憑證在ER5300]</v>
      </c>
      <c r="V44" s="37"/>
      <c r="W44" s="37"/>
      <c r="X44" s="37"/>
      <c r="Y44" s="49">
        <f>IFERROR(__xludf.DUMMYFUNCTION("""COMPUTED_VALUE"""),3232.0)</f>
        <v>3232</v>
      </c>
      <c r="Z44" s="37">
        <f>IFERROR(__xludf.DUMMYFUNCTION("""COMPUTED_VALUE"""),613201.0)</f>
        <v>613201</v>
      </c>
      <c r="AA44" s="37" t="str">
        <f>IFERROR(__xludf.DUMMYFUNCTION("""COMPUTED_VALUE"""),"執行長室")</f>
        <v>執行長室</v>
      </c>
      <c r="AB44" s="48" t="str">
        <f>IFERROR(__xludf.DUMMYFUNCTION("""COMPUTED_VALUE"""),"執行長室")</f>
        <v>執行長室</v>
      </c>
      <c r="AC44" s="48" t="str">
        <f>IFERROR(__xludf.DUMMYFUNCTION("""COMPUTED_VALUE"""),"No_Product_Line")</f>
        <v>No_Product_Line</v>
      </c>
      <c r="AD44" s="48" t="str">
        <f>IFERROR(__xludf.DUMMYFUNCTION("""COMPUTED_VALUE"""),"Baseline")</f>
        <v>Baseline</v>
      </c>
      <c r="AE44" s="48" t="str">
        <f>IFERROR(__xludf.DUMMYFUNCTION("""COMPUTED_VALUE"""),"Baseline")</f>
        <v>Baseline</v>
      </c>
      <c r="AF44" s="49">
        <f>IFERROR(__xludf.DUMMYFUNCTION("""COMPUTED_VALUE"""),9700.0)</f>
        <v>9700</v>
      </c>
      <c r="AG44" s="49">
        <f>IFERROR(__xludf.DUMMYFUNCTION("""COMPUTED_VALUE"""),12.0)</f>
        <v>12</v>
      </c>
      <c r="AH44" s="49">
        <f>IFERROR(__xludf.DUMMYFUNCTION("""COMPUTED_VALUE"""),6468.0)</f>
        <v>6468</v>
      </c>
      <c r="AI44" s="49">
        <f>IFERROR(__xludf.DUMMYFUNCTION("""COMPUTED_VALUE"""),0.0)</f>
        <v>0</v>
      </c>
      <c r="AJ44" s="37"/>
      <c r="AK44" s="37"/>
      <c r="AL44" s="49">
        <f>IFERROR(__xludf.DUMMYFUNCTION("""COMPUTED_VALUE"""),1620.0)</f>
        <v>1620</v>
      </c>
      <c r="AM44" s="49">
        <f>IFERROR(__xludf.DUMMYFUNCTION("""COMPUTED_VALUE"""),808.0)</f>
        <v>808</v>
      </c>
      <c r="AN44" s="49">
        <f>IFERROR(__xludf.DUMMYFUNCTION("""COMPUTED_VALUE"""),808.0)</f>
        <v>808</v>
      </c>
      <c r="AO44" s="49">
        <f>IFERROR(__xludf.DUMMYFUNCTION("""COMPUTED_VALUE"""),808.0)</f>
        <v>808</v>
      </c>
      <c r="AP44" s="49">
        <f>IFERROR(__xludf.DUMMYFUNCTION("""COMPUTED_VALUE"""),808.0)</f>
        <v>808</v>
      </c>
      <c r="AQ44" s="49">
        <f>IFERROR(__xludf.DUMMYFUNCTION("""COMPUTED_VALUE"""),808.0)</f>
        <v>808</v>
      </c>
      <c r="AR44" s="49">
        <f>IFERROR(__xludf.DUMMYFUNCTION("""COMPUTED_VALUE"""),808.0)</f>
        <v>808</v>
      </c>
      <c r="AS44" s="49">
        <f>IFERROR(__xludf.DUMMYFUNCTION("""COMPUTED_VALUE"""),808.0)</f>
        <v>808</v>
      </c>
      <c r="AT44" s="49">
        <f>IFERROR(__xludf.DUMMYFUNCTION("""COMPUTED_VALUE"""),808.0)</f>
        <v>808</v>
      </c>
      <c r="AU44" s="49">
        <f>IFERROR(__xludf.DUMMYFUNCTION("""COMPUTED_VALUE"""),808.0)</f>
        <v>808</v>
      </c>
      <c r="AV44" s="49">
        <f>IFERROR(__xludf.DUMMYFUNCTION("""COMPUTED_VALUE"""),808.0)</f>
        <v>808</v>
      </c>
      <c r="AW44" s="37"/>
      <c r="AX44" s="37"/>
      <c r="AY44" s="37"/>
      <c r="AZ44" s="37"/>
    </row>
    <row r="45">
      <c r="B45" s="37"/>
      <c r="C45" s="37"/>
      <c r="D45" s="37"/>
      <c r="E45" s="37"/>
      <c r="F45" s="37"/>
      <c r="G45" s="37"/>
      <c r="H45" s="37"/>
      <c r="I45" s="37">
        <f>IFERROR(__xludf.DUMMYFUNCTION("""COMPUTED_VALUE"""),41.0)</f>
        <v>41</v>
      </c>
      <c r="J45" s="37" t="str">
        <f>IFERROR(__xludf.DUMMYFUNCTION("""COMPUTED_VALUE"""),"Y")</f>
        <v>Y</v>
      </c>
      <c r="K45" s="37"/>
      <c r="L45" s="37"/>
      <c r="M45" s="37" t="str">
        <f>IFERROR(__xludf.DUMMYFUNCTION("""COMPUTED_VALUE"""),"Bill")</f>
        <v>Bill</v>
      </c>
      <c r="N45" s="45">
        <f>IFERROR(__xludf.DUMMYFUNCTION("""COMPUTED_VALUE"""),45733.0)</f>
        <v>45733</v>
      </c>
      <c r="O45" s="37">
        <f>IFERROR(__xludf.DUMMYFUNCTION("""COMPUTED_VALUE"""),5898.0)</f>
        <v>5898</v>
      </c>
      <c r="P45" s="37"/>
      <c r="Q45" s="37"/>
      <c r="R45" s="37"/>
      <c r="S45" s="37"/>
      <c r="T45" s="37"/>
      <c r="U45" s="37" t="str">
        <f>IFERROR(__xludf.DUMMYFUNCTION("""COMPUTED_VALUE"""),"Salesforce 202502 資訊系統導入帳號軟體費(20250215-20250815)[憑證在ER5300]")</f>
        <v>Salesforce 202502 資訊系統導入帳號軟體費(20250215-20250815)[憑證在ER5300]</v>
      </c>
      <c r="V45" s="37"/>
      <c r="W45" s="37"/>
      <c r="X45" s="37"/>
      <c r="Y45" s="49">
        <f>IFERROR(__xludf.DUMMYFUNCTION("""COMPUTED_VALUE"""),5092.0)</f>
        <v>5092</v>
      </c>
      <c r="Z45" s="37">
        <f>IFERROR(__xludf.DUMMYFUNCTION("""COMPUTED_VALUE"""),623201.0)</f>
        <v>623201</v>
      </c>
      <c r="AA45" s="37" t="str">
        <f>IFERROR(__xludf.DUMMYFUNCTION("""COMPUTED_VALUE"""),"研發中心")</f>
        <v>研發中心</v>
      </c>
      <c r="AB45" s="48" t="str">
        <f>IFERROR(__xludf.DUMMYFUNCTION("""COMPUTED_VALUE"""),"執行長室 : 研發中心 : 研發中心")</f>
        <v>執行長室 : 研發中心 : 研發中心</v>
      </c>
      <c r="AC45" s="48" t="str">
        <f>IFERROR(__xludf.DUMMYFUNCTION("""COMPUTED_VALUE"""),"No_Product_Line")</f>
        <v>No_Product_Line</v>
      </c>
      <c r="AD45" s="48" t="str">
        <f>IFERROR(__xludf.DUMMYFUNCTION("""COMPUTED_VALUE"""),"Baseline")</f>
        <v>Baseline</v>
      </c>
      <c r="AE45" s="48" t="str">
        <f>IFERROR(__xludf.DUMMYFUNCTION("""COMPUTED_VALUE"""),"Baseline")</f>
        <v>Baseline</v>
      </c>
      <c r="AF45" s="49">
        <f>IFERROR(__xludf.DUMMYFUNCTION("""COMPUTED_VALUE"""),15274.0)</f>
        <v>15274</v>
      </c>
      <c r="AG45" s="49">
        <f>IFERROR(__xludf.DUMMYFUNCTION("""COMPUTED_VALUE"""),12.0)</f>
        <v>12</v>
      </c>
      <c r="AH45" s="49">
        <f>IFERROR(__xludf.DUMMYFUNCTION("""COMPUTED_VALUE"""),10182.0)</f>
        <v>10182</v>
      </c>
      <c r="AI45" s="49">
        <f>IFERROR(__xludf.DUMMYFUNCTION("""COMPUTED_VALUE"""),0.0)</f>
        <v>0</v>
      </c>
      <c r="AJ45" s="37"/>
      <c r="AK45" s="37"/>
      <c r="AL45" s="49">
        <f>IFERROR(__xludf.DUMMYFUNCTION("""COMPUTED_VALUE"""),2550.0)</f>
        <v>2550</v>
      </c>
      <c r="AM45" s="49">
        <f>IFERROR(__xludf.DUMMYFUNCTION("""COMPUTED_VALUE"""),1272.0)</f>
        <v>1272</v>
      </c>
      <c r="AN45" s="49">
        <f>IFERROR(__xludf.DUMMYFUNCTION("""COMPUTED_VALUE"""),1272.0)</f>
        <v>1272</v>
      </c>
      <c r="AO45" s="49">
        <f>IFERROR(__xludf.DUMMYFUNCTION("""COMPUTED_VALUE"""),1272.0)</f>
        <v>1272</v>
      </c>
      <c r="AP45" s="49">
        <f>IFERROR(__xludf.DUMMYFUNCTION("""COMPUTED_VALUE"""),1272.0)</f>
        <v>1272</v>
      </c>
      <c r="AQ45" s="49">
        <f>IFERROR(__xludf.DUMMYFUNCTION("""COMPUTED_VALUE"""),1272.0)</f>
        <v>1272</v>
      </c>
      <c r="AR45" s="49">
        <f>IFERROR(__xludf.DUMMYFUNCTION("""COMPUTED_VALUE"""),1272.0)</f>
        <v>1272</v>
      </c>
      <c r="AS45" s="49">
        <f>IFERROR(__xludf.DUMMYFUNCTION("""COMPUTED_VALUE"""),1272.0)</f>
        <v>1272</v>
      </c>
      <c r="AT45" s="49">
        <f>IFERROR(__xludf.DUMMYFUNCTION("""COMPUTED_VALUE"""),1272.0)</f>
        <v>1272</v>
      </c>
      <c r="AU45" s="49">
        <f>IFERROR(__xludf.DUMMYFUNCTION("""COMPUTED_VALUE"""),1272.0)</f>
        <v>1272</v>
      </c>
      <c r="AV45" s="49">
        <f>IFERROR(__xludf.DUMMYFUNCTION("""COMPUTED_VALUE"""),1276.0)</f>
        <v>1276</v>
      </c>
      <c r="AW45" s="37"/>
      <c r="AX45" s="37"/>
      <c r="AY45" s="37"/>
      <c r="AZ45" s="37"/>
    </row>
    <row r="46">
      <c r="B46" s="37"/>
      <c r="C46" s="37"/>
      <c r="D46" s="37"/>
      <c r="E46" s="37"/>
      <c r="F46" s="37"/>
      <c r="G46" s="37"/>
      <c r="H46" s="37"/>
      <c r="I46" s="37">
        <f>IFERROR(__xludf.DUMMYFUNCTION("""COMPUTED_VALUE"""),42.0)</f>
        <v>42</v>
      </c>
      <c r="J46" s="37" t="str">
        <f>IFERROR(__xludf.DUMMYFUNCTION("""COMPUTED_VALUE"""),"Y")</f>
        <v>Y</v>
      </c>
      <c r="K46" s="37"/>
      <c r="L46" s="37"/>
      <c r="M46" s="37" t="str">
        <f>IFERROR(__xludf.DUMMYFUNCTION("""COMPUTED_VALUE"""),"Bill")</f>
        <v>Bill</v>
      </c>
      <c r="N46" s="45">
        <f>IFERROR(__xludf.DUMMYFUNCTION("""COMPUTED_VALUE"""),45733.0)</f>
        <v>45733</v>
      </c>
      <c r="O46" s="37">
        <f>IFERROR(__xludf.DUMMYFUNCTION("""COMPUTED_VALUE"""),5898.0)</f>
        <v>5898</v>
      </c>
      <c r="P46" s="37"/>
      <c r="Q46" s="37"/>
      <c r="R46" s="37"/>
      <c r="S46" s="37"/>
      <c r="T46" s="37"/>
      <c r="U46" s="37" t="str">
        <f>IFERROR(__xludf.DUMMYFUNCTION("""COMPUTED_VALUE"""),"Salesforce 202502 資訊系統導入帳號軟體費(20250215-20250815)[憑證在ER5300]")</f>
        <v>Salesforce 202502 資訊系統導入帳號軟體費(20250215-20250815)[憑證在ER5300]</v>
      </c>
      <c r="V46" s="37"/>
      <c r="W46" s="37"/>
      <c r="X46" s="37"/>
      <c r="Y46" s="49">
        <f>IFERROR(__xludf.DUMMYFUNCTION("""COMPUTED_VALUE"""),12750.0)</f>
        <v>12750</v>
      </c>
      <c r="Z46" s="37">
        <f>IFERROR(__xludf.DUMMYFUNCTION("""COMPUTED_VALUE"""),613201.0)</f>
        <v>613201</v>
      </c>
      <c r="AA46" s="37" t="str">
        <f>IFERROR(__xludf.DUMMYFUNCTION("""COMPUTED_VALUE"""),"策略資料中心")</f>
        <v>策略資料中心</v>
      </c>
      <c r="AB46" s="48" t="str">
        <f>IFERROR(__xludf.DUMMYFUNCTION("""COMPUTED_VALUE"""),"執行長室 : 策略資料中心 : 策略資料中心")</f>
        <v>執行長室 : 策略資料中心 : 策略資料中心</v>
      </c>
      <c r="AC46" s="48" t="str">
        <f>IFERROR(__xludf.DUMMYFUNCTION("""COMPUTED_VALUE"""),"No_Product_Line")</f>
        <v>No_Product_Line</v>
      </c>
      <c r="AD46" s="48" t="str">
        <f>IFERROR(__xludf.DUMMYFUNCTION("""COMPUTED_VALUE"""),"Baseline")</f>
        <v>Baseline</v>
      </c>
      <c r="AE46" s="48" t="str">
        <f>IFERROR(__xludf.DUMMYFUNCTION("""COMPUTED_VALUE"""),"Baseline")</f>
        <v>Baseline</v>
      </c>
      <c r="AF46" s="49">
        <f>IFERROR(__xludf.DUMMYFUNCTION("""COMPUTED_VALUE"""),38261.0)</f>
        <v>38261</v>
      </c>
      <c r="AG46" s="49">
        <f>IFERROR(__xludf.DUMMYFUNCTION("""COMPUTED_VALUE"""),12.0)</f>
        <v>12</v>
      </c>
      <c r="AH46" s="49">
        <f>IFERROR(__xludf.DUMMYFUNCTION("""COMPUTED_VALUE"""),25511.0)</f>
        <v>25511</v>
      </c>
      <c r="AI46" s="49">
        <f>IFERROR(__xludf.DUMMYFUNCTION("""COMPUTED_VALUE"""),0.0)</f>
        <v>0</v>
      </c>
      <c r="AJ46" s="37"/>
      <c r="AK46" s="37"/>
      <c r="AL46" s="49">
        <f>IFERROR(__xludf.DUMMYFUNCTION("""COMPUTED_VALUE"""),6389.0)</f>
        <v>6389</v>
      </c>
      <c r="AM46" s="49">
        <f>IFERROR(__xludf.DUMMYFUNCTION("""COMPUTED_VALUE"""),3187.0)</f>
        <v>3187</v>
      </c>
      <c r="AN46" s="49">
        <f>IFERROR(__xludf.DUMMYFUNCTION("""COMPUTED_VALUE"""),3187.0)</f>
        <v>3187</v>
      </c>
      <c r="AO46" s="49">
        <f>IFERROR(__xludf.DUMMYFUNCTION("""COMPUTED_VALUE"""),3187.0)</f>
        <v>3187</v>
      </c>
      <c r="AP46" s="49">
        <f>IFERROR(__xludf.DUMMYFUNCTION("""COMPUTED_VALUE"""),3187.0)</f>
        <v>3187</v>
      </c>
      <c r="AQ46" s="49">
        <f>IFERROR(__xludf.DUMMYFUNCTION("""COMPUTED_VALUE"""),3187.0)</f>
        <v>3187</v>
      </c>
      <c r="AR46" s="49">
        <f>IFERROR(__xludf.DUMMYFUNCTION("""COMPUTED_VALUE"""),3187.0)</f>
        <v>3187</v>
      </c>
      <c r="AS46" s="49">
        <f>IFERROR(__xludf.DUMMYFUNCTION("""COMPUTED_VALUE"""),3187.0)</f>
        <v>3187</v>
      </c>
      <c r="AT46" s="49">
        <f>IFERROR(__xludf.DUMMYFUNCTION("""COMPUTED_VALUE"""),3187.0)</f>
        <v>3187</v>
      </c>
      <c r="AU46" s="49">
        <f>IFERROR(__xludf.DUMMYFUNCTION("""COMPUTED_VALUE"""),3187.0)</f>
        <v>3187</v>
      </c>
      <c r="AV46" s="49">
        <f>IFERROR(__xludf.DUMMYFUNCTION("""COMPUTED_VALUE"""),3189.0)</f>
        <v>3189</v>
      </c>
      <c r="AW46" s="37"/>
      <c r="AX46" s="37"/>
      <c r="AY46" s="37"/>
      <c r="AZ46" s="37"/>
    </row>
    <row r="47">
      <c r="B47" s="37"/>
      <c r="C47" s="37"/>
      <c r="D47" s="37"/>
      <c r="E47" s="37"/>
      <c r="F47" s="37"/>
      <c r="G47" s="37"/>
      <c r="H47" s="37"/>
      <c r="I47" s="37">
        <f>IFERROR(__xludf.DUMMYFUNCTION("""COMPUTED_VALUE"""),43.0)</f>
        <v>43</v>
      </c>
      <c r="J47" s="37" t="str">
        <f>IFERROR(__xludf.DUMMYFUNCTION("""COMPUTED_VALUE"""),"Y")</f>
        <v>Y</v>
      </c>
      <c r="K47" s="37"/>
      <c r="L47" s="37"/>
      <c r="M47" s="37" t="str">
        <f>IFERROR(__xludf.DUMMYFUNCTION("""COMPUTED_VALUE"""),"Bill")</f>
        <v>Bill</v>
      </c>
      <c r="N47" s="45">
        <f>IFERROR(__xludf.DUMMYFUNCTION("""COMPUTED_VALUE"""),45733.0)</f>
        <v>45733</v>
      </c>
      <c r="O47" s="37">
        <f>IFERROR(__xludf.DUMMYFUNCTION("""COMPUTED_VALUE"""),5898.0)</f>
        <v>5898</v>
      </c>
      <c r="P47" s="37"/>
      <c r="Q47" s="37"/>
      <c r="R47" s="37"/>
      <c r="S47" s="37"/>
      <c r="T47" s="37"/>
      <c r="U47" s="37" t="str">
        <f>IFERROR(__xludf.DUMMYFUNCTION("""COMPUTED_VALUE"""),"Salesforce 202502 資訊系統導入帳號軟體費(20250215-20250815)[憑證在ER5300]")</f>
        <v>Salesforce 202502 資訊系統導入帳號軟體費(20250215-20250815)[憑證在ER5300]</v>
      </c>
      <c r="V47" s="37"/>
      <c r="W47" s="37"/>
      <c r="X47" s="37"/>
      <c r="Y47" s="49">
        <f>IFERROR(__xludf.DUMMYFUNCTION("""COMPUTED_VALUE"""),12926.0)</f>
        <v>12926</v>
      </c>
      <c r="Z47" s="37">
        <f>IFERROR(__xludf.DUMMYFUNCTION("""COMPUTED_VALUE"""),613201.0)</f>
        <v>613201</v>
      </c>
      <c r="AA47" s="37" t="str">
        <f>IFERROR(__xludf.DUMMYFUNCTION("""COMPUTED_VALUE"""),"管理中心")</f>
        <v>管理中心</v>
      </c>
      <c r="AB47" s="48" t="str">
        <f>IFERROR(__xludf.DUMMYFUNCTION("""COMPUTED_VALUE"""),"執行長室 : 管理中心 : 管理中心")</f>
        <v>執行長室 : 管理中心 : 管理中心</v>
      </c>
      <c r="AC47" s="48" t="str">
        <f>IFERROR(__xludf.DUMMYFUNCTION("""COMPUTED_VALUE"""),"No_Product_Line")</f>
        <v>No_Product_Line</v>
      </c>
      <c r="AD47" s="48" t="str">
        <f>IFERROR(__xludf.DUMMYFUNCTION("""COMPUTED_VALUE"""),"Baseline")</f>
        <v>Baseline</v>
      </c>
      <c r="AE47" s="48" t="str">
        <f>IFERROR(__xludf.DUMMYFUNCTION("""COMPUTED_VALUE"""),"Baseline")</f>
        <v>Baseline</v>
      </c>
      <c r="AF47" s="49">
        <f>IFERROR(__xludf.DUMMYFUNCTION("""COMPUTED_VALUE"""),38797.0)</f>
        <v>38797</v>
      </c>
      <c r="AG47" s="49">
        <f>IFERROR(__xludf.DUMMYFUNCTION("""COMPUTED_VALUE"""),12.0)</f>
        <v>12</v>
      </c>
      <c r="AH47" s="49">
        <f>IFERROR(__xludf.DUMMYFUNCTION("""COMPUTED_VALUE"""),25871.0)</f>
        <v>25871</v>
      </c>
      <c r="AI47" s="49">
        <f>IFERROR(__xludf.DUMMYFUNCTION("""COMPUTED_VALUE"""),0.0)</f>
        <v>0</v>
      </c>
      <c r="AJ47" s="37"/>
      <c r="AK47" s="37"/>
      <c r="AL47" s="49">
        <f>IFERROR(__xludf.DUMMYFUNCTION("""COMPUTED_VALUE"""),6479.0)</f>
        <v>6479</v>
      </c>
      <c r="AM47" s="49">
        <f>IFERROR(__xludf.DUMMYFUNCTION("""COMPUTED_VALUE"""),3232.0)</f>
        <v>3232</v>
      </c>
      <c r="AN47" s="49">
        <f>IFERROR(__xludf.DUMMYFUNCTION("""COMPUTED_VALUE"""),3232.0)</f>
        <v>3232</v>
      </c>
      <c r="AO47" s="49">
        <f>IFERROR(__xludf.DUMMYFUNCTION("""COMPUTED_VALUE"""),3232.0)</f>
        <v>3232</v>
      </c>
      <c r="AP47" s="49">
        <f>IFERROR(__xludf.DUMMYFUNCTION("""COMPUTED_VALUE"""),3232.0)</f>
        <v>3232</v>
      </c>
      <c r="AQ47" s="49">
        <f>IFERROR(__xludf.DUMMYFUNCTION("""COMPUTED_VALUE"""),3232.0)</f>
        <v>3232</v>
      </c>
      <c r="AR47" s="49">
        <f>IFERROR(__xludf.DUMMYFUNCTION("""COMPUTED_VALUE"""),3232.0)</f>
        <v>3232</v>
      </c>
      <c r="AS47" s="49">
        <f>IFERROR(__xludf.DUMMYFUNCTION("""COMPUTED_VALUE"""),3232.0)</f>
        <v>3232</v>
      </c>
      <c r="AT47" s="49">
        <f>IFERROR(__xludf.DUMMYFUNCTION("""COMPUTED_VALUE"""),3232.0)</f>
        <v>3232</v>
      </c>
      <c r="AU47" s="49">
        <f>IFERROR(__xludf.DUMMYFUNCTION("""COMPUTED_VALUE"""),3232.0)</f>
        <v>3232</v>
      </c>
      <c r="AV47" s="49">
        <f>IFERROR(__xludf.DUMMYFUNCTION("""COMPUTED_VALUE"""),3230.0)</f>
        <v>3230</v>
      </c>
      <c r="AW47" s="37"/>
      <c r="AX47" s="37"/>
      <c r="AY47" s="37"/>
      <c r="AZ47" s="37"/>
    </row>
    <row r="48">
      <c r="B48" s="37"/>
      <c r="C48" s="37"/>
      <c r="D48" s="37"/>
      <c r="E48" s="37"/>
      <c r="F48" s="37"/>
      <c r="G48" s="37"/>
      <c r="H48" s="37"/>
      <c r="I48" s="37">
        <f>IFERROR(__xludf.DUMMYFUNCTION("""COMPUTED_VALUE"""),44.0)</f>
        <v>44</v>
      </c>
      <c r="J48" s="37" t="str">
        <f>IFERROR(__xludf.DUMMYFUNCTION("""COMPUTED_VALUE"""),"Y")</f>
        <v>Y</v>
      </c>
      <c r="K48" s="37"/>
      <c r="L48" s="37"/>
      <c r="M48" s="37" t="str">
        <f>IFERROR(__xludf.DUMMYFUNCTION("""COMPUTED_VALUE"""),"Bill")</f>
        <v>Bill</v>
      </c>
      <c r="N48" s="45">
        <f>IFERROR(__xludf.DUMMYFUNCTION("""COMPUTED_VALUE"""),45733.0)</f>
        <v>45733</v>
      </c>
      <c r="O48" s="37">
        <f>IFERROR(__xludf.DUMMYFUNCTION("""COMPUTED_VALUE"""),5898.0)</f>
        <v>5898</v>
      </c>
      <c r="P48" s="37"/>
      <c r="Q48" s="37"/>
      <c r="R48" s="37"/>
      <c r="S48" s="37"/>
      <c r="T48" s="37"/>
      <c r="U48" s="37" t="str">
        <f>IFERROR(__xludf.DUMMYFUNCTION("""COMPUTED_VALUE"""),"Salesforce 202502 資訊系統導入帳號軟體費(20250215-20250815)[憑證在ER5300]")</f>
        <v>Salesforce 202502 資訊系統導入帳號軟體費(20250215-20250815)[憑證在ER5300]</v>
      </c>
      <c r="V48" s="37"/>
      <c r="W48" s="37"/>
      <c r="X48" s="37"/>
      <c r="Y48" s="49">
        <f>IFERROR(__xludf.DUMMYFUNCTION("""COMPUTED_VALUE"""),94252.0)</f>
        <v>94252</v>
      </c>
      <c r="Z48" s="37">
        <f>IFERROR(__xludf.DUMMYFUNCTION("""COMPUTED_VALUE"""),623201.0)</f>
        <v>623201</v>
      </c>
      <c r="AA48" s="37" t="str">
        <f>IFERROR(__xludf.DUMMYFUNCTION("""COMPUTED_VALUE"""),"客戶價值中心")</f>
        <v>客戶價值中心</v>
      </c>
      <c r="AB48" s="48" t="str">
        <f>IFERROR(__xludf.DUMMYFUNCTION("""COMPUTED_VALUE"""),"執行長室 : 客戶價值中心 : 客戶價值中心")</f>
        <v>執行長室 : 客戶價值中心 : 客戶價值中心</v>
      </c>
      <c r="AC48" s="48" t="str">
        <f>IFERROR(__xludf.DUMMYFUNCTION("""COMPUTED_VALUE"""),"No_Product_Line")</f>
        <v>No_Product_Line</v>
      </c>
      <c r="AD48" s="48" t="str">
        <f>IFERROR(__xludf.DUMMYFUNCTION("""COMPUTED_VALUE"""),"Baseline")</f>
        <v>Baseline</v>
      </c>
      <c r="AE48" s="48" t="str">
        <f>IFERROR(__xludf.DUMMYFUNCTION("""COMPUTED_VALUE"""),"Baseline")</f>
        <v>Baseline</v>
      </c>
      <c r="AF48" s="49">
        <f>IFERROR(__xludf.DUMMYFUNCTION("""COMPUTED_VALUE"""),282877.0)</f>
        <v>282877</v>
      </c>
      <c r="AG48" s="49">
        <f>IFERROR(__xludf.DUMMYFUNCTION("""COMPUTED_VALUE"""),12.0)</f>
        <v>12</v>
      </c>
      <c r="AH48" s="49">
        <f>IFERROR(__xludf.DUMMYFUNCTION("""COMPUTED_VALUE"""),188625.0)</f>
        <v>188625</v>
      </c>
      <c r="AI48" s="49">
        <f>IFERROR(__xludf.DUMMYFUNCTION("""COMPUTED_VALUE"""),0.0)</f>
        <v>0</v>
      </c>
      <c r="AJ48" s="37"/>
      <c r="AK48" s="37"/>
      <c r="AL48" s="49">
        <f>IFERROR(__xludf.DUMMYFUNCTION("""COMPUTED_VALUE"""),47241.0)</f>
        <v>47241</v>
      </c>
      <c r="AM48" s="49">
        <f>IFERROR(__xludf.DUMMYFUNCTION("""COMPUTED_VALUE"""),23564.0)</f>
        <v>23564</v>
      </c>
      <c r="AN48" s="49">
        <f>IFERROR(__xludf.DUMMYFUNCTION("""COMPUTED_VALUE"""),23564.0)</f>
        <v>23564</v>
      </c>
      <c r="AO48" s="49">
        <f>IFERROR(__xludf.DUMMYFUNCTION("""COMPUTED_VALUE"""),23564.0)</f>
        <v>23564</v>
      </c>
      <c r="AP48" s="49">
        <f>IFERROR(__xludf.DUMMYFUNCTION("""COMPUTED_VALUE"""),23564.0)</f>
        <v>23564</v>
      </c>
      <c r="AQ48" s="49">
        <f>IFERROR(__xludf.DUMMYFUNCTION("""COMPUTED_VALUE"""),23564.0)</f>
        <v>23564</v>
      </c>
      <c r="AR48" s="49">
        <f>IFERROR(__xludf.DUMMYFUNCTION("""COMPUTED_VALUE"""),23564.0)</f>
        <v>23564</v>
      </c>
      <c r="AS48" s="49">
        <f>IFERROR(__xludf.DUMMYFUNCTION("""COMPUTED_VALUE"""),23564.0)</f>
        <v>23564</v>
      </c>
      <c r="AT48" s="49">
        <f>IFERROR(__xludf.DUMMYFUNCTION("""COMPUTED_VALUE"""),23564.0)</f>
        <v>23564</v>
      </c>
      <c r="AU48" s="49">
        <f>IFERROR(__xludf.DUMMYFUNCTION("""COMPUTED_VALUE"""),23564.0)</f>
        <v>23564</v>
      </c>
      <c r="AV48" s="49">
        <f>IFERROR(__xludf.DUMMYFUNCTION("""COMPUTED_VALUE"""),23560.0)</f>
        <v>23560</v>
      </c>
      <c r="AW48" s="37"/>
      <c r="AX48" s="37"/>
      <c r="AY48" s="37"/>
      <c r="AZ48" s="37"/>
    </row>
    <row r="49">
      <c r="B49" s="37"/>
      <c r="C49" s="37"/>
      <c r="D49" s="37"/>
      <c r="E49" s="37"/>
      <c r="F49" s="37"/>
      <c r="G49" s="37"/>
      <c r="H49" s="37"/>
      <c r="I49" s="37">
        <f>IFERROR(__xludf.DUMMYFUNCTION("""COMPUTED_VALUE"""),45.0)</f>
        <v>45</v>
      </c>
      <c r="J49" s="37" t="str">
        <f>IFERROR(__xludf.DUMMYFUNCTION("""COMPUTED_VALUE"""),"Y")</f>
        <v>Y</v>
      </c>
      <c r="K49" s="37"/>
      <c r="L49" s="37"/>
      <c r="M49" s="37" t="str">
        <f>IFERROR(__xludf.DUMMYFUNCTION("""COMPUTED_VALUE"""),"Bill")</f>
        <v>Bill</v>
      </c>
      <c r="N49" s="45">
        <f>IFERROR(__xludf.DUMMYFUNCTION("""COMPUTED_VALUE"""),45733.0)</f>
        <v>45733</v>
      </c>
      <c r="O49" s="37">
        <f>IFERROR(__xludf.DUMMYFUNCTION("""COMPUTED_VALUE"""),5898.0)</f>
        <v>5898</v>
      </c>
      <c r="P49" s="37"/>
      <c r="Q49" s="37"/>
      <c r="R49" s="37"/>
      <c r="S49" s="37"/>
      <c r="T49" s="37"/>
      <c r="U49" s="37" t="str">
        <f>IFERROR(__xludf.DUMMYFUNCTION("""COMPUTED_VALUE"""),"Salesforce 202502 資訊系統導入帳號軟體費(20250215-20250815)[憑證在ER5300]")</f>
        <v>Salesforce 202502 資訊系統導入帳號軟體費(20250215-20250815)[憑證在ER5300]</v>
      </c>
      <c r="V49" s="37"/>
      <c r="W49" s="37"/>
      <c r="X49" s="37"/>
      <c r="Y49" s="49">
        <f>IFERROR(__xludf.DUMMYFUNCTION("""COMPUTED_VALUE"""),113466.0)</f>
        <v>113466</v>
      </c>
      <c r="Z49" s="37">
        <f>IFERROR(__xludf.DUMMYFUNCTION("""COMPUTED_VALUE"""),603201.0)</f>
        <v>603201</v>
      </c>
      <c r="AA49" s="37" t="str">
        <f>IFERROR(__xludf.DUMMYFUNCTION("""COMPUTED_VALUE"""),"行銷營運中心")</f>
        <v>行銷營運中心</v>
      </c>
      <c r="AB49" s="48" t="str">
        <f>IFERROR(__xludf.DUMMYFUNCTION("""COMPUTED_VALUE"""),"執行長室 : 行銷營運中心 : 行銷營運中心")</f>
        <v>執行長室 : 行銷營運中心 : 行銷營運中心</v>
      </c>
      <c r="AC49" s="48" t="str">
        <f>IFERROR(__xludf.DUMMYFUNCTION("""COMPUTED_VALUE"""),"No_Product_Line")</f>
        <v>No_Product_Line</v>
      </c>
      <c r="AD49" s="48" t="str">
        <f>IFERROR(__xludf.DUMMYFUNCTION("""COMPUTED_VALUE"""),"Baseline")</f>
        <v>Baseline</v>
      </c>
      <c r="AE49" s="48" t="str">
        <f>IFERROR(__xludf.DUMMYFUNCTION("""COMPUTED_VALUE"""),"Baseline")</f>
        <v>Baseline</v>
      </c>
      <c r="AF49" s="49">
        <f>IFERROR(__xludf.DUMMYFUNCTION("""COMPUTED_VALUE"""),340538.0)</f>
        <v>340538</v>
      </c>
      <c r="AG49" s="49">
        <f>IFERROR(__xludf.DUMMYFUNCTION("""COMPUTED_VALUE"""),12.0)</f>
        <v>12</v>
      </c>
      <c r="AH49" s="49">
        <f>IFERROR(__xludf.DUMMYFUNCTION("""COMPUTED_VALUE"""),227072.0)</f>
        <v>227072</v>
      </c>
      <c r="AI49" s="49">
        <f>IFERROR(__xludf.DUMMYFUNCTION("""COMPUTED_VALUE"""),0.0)</f>
        <v>0</v>
      </c>
      <c r="AJ49" s="37"/>
      <c r="AK49" s="37"/>
      <c r="AL49" s="49">
        <f>IFERROR(__xludf.DUMMYFUNCTION("""COMPUTED_VALUE"""),56870.0)</f>
        <v>56870</v>
      </c>
      <c r="AM49" s="49">
        <f>IFERROR(__xludf.DUMMYFUNCTION("""COMPUTED_VALUE"""),28367.0)</f>
        <v>28367</v>
      </c>
      <c r="AN49" s="49">
        <f>IFERROR(__xludf.DUMMYFUNCTION("""COMPUTED_VALUE"""),28367.0)</f>
        <v>28367</v>
      </c>
      <c r="AO49" s="49">
        <f>IFERROR(__xludf.DUMMYFUNCTION("""COMPUTED_VALUE"""),28367.0)</f>
        <v>28367</v>
      </c>
      <c r="AP49" s="49">
        <f>IFERROR(__xludf.DUMMYFUNCTION("""COMPUTED_VALUE"""),28367.0)</f>
        <v>28367</v>
      </c>
      <c r="AQ49" s="49">
        <f>IFERROR(__xludf.DUMMYFUNCTION("""COMPUTED_VALUE"""),28367.0)</f>
        <v>28367</v>
      </c>
      <c r="AR49" s="49">
        <f>IFERROR(__xludf.DUMMYFUNCTION("""COMPUTED_VALUE"""),28367.0)</f>
        <v>28367</v>
      </c>
      <c r="AS49" s="49">
        <f>IFERROR(__xludf.DUMMYFUNCTION("""COMPUTED_VALUE"""),28367.0)</f>
        <v>28367</v>
      </c>
      <c r="AT49" s="49">
        <f>IFERROR(__xludf.DUMMYFUNCTION("""COMPUTED_VALUE"""),28367.0)</f>
        <v>28367</v>
      </c>
      <c r="AU49" s="49">
        <f>IFERROR(__xludf.DUMMYFUNCTION("""COMPUTED_VALUE"""),28367.0)</f>
        <v>28367</v>
      </c>
      <c r="AV49" s="49">
        <f>IFERROR(__xludf.DUMMYFUNCTION("""COMPUTED_VALUE"""),28365.0)</f>
        <v>28365</v>
      </c>
      <c r="AW49" s="37"/>
      <c r="AX49" s="37"/>
      <c r="AY49" s="37"/>
      <c r="AZ49" s="37"/>
    </row>
    <row r="50">
      <c r="B50" s="37"/>
      <c r="C50" s="37"/>
      <c r="D50" s="37"/>
      <c r="E50" s="37"/>
      <c r="F50" s="37"/>
      <c r="G50" s="37"/>
      <c r="H50" s="37"/>
      <c r="I50" s="37">
        <f>IFERROR(__xludf.DUMMYFUNCTION("""COMPUTED_VALUE"""),46.0)</f>
        <v>46</v>
      </c>
      <c r="J50" s="37" t="str">
        <f>IFERROR(__xludf.DUMMYFUNCTION("""COMPUTED_VALUE"""),"Y")</f>
        <v>Y</v>
      </c>
      <c r="K50" s="37"/>
      <c r="L50" s="37"/>
      <c r="M50" s="37" t="str">
        <f>IFERROR(__xludf.DUMMYFUNCTION("""COMPUTED_VALUE"""),"Bill")</f>
        <v>Bill</v>
      </c>
      <c r="N50" s="45">
        <f>IFERROR(__xludf.DUMMYFUNCTION("""COMPUTED_VALUE"""),45747.0)</f>
        <v>45747</v>
      </c>
      <c r="O50" s="37">
        <f>IFERROR(__xludf.DUMMYFUNCTION("""COMPUTED_VALUE"""),5916.0)</f>
        <v>5916</v>
      </c>
      <c r="P50" s="37"/>
      <c r="Q50" s="37"/>
      <c r="R50" s="37"/>
      <c r="S50" s="37"/>
      <c r="T50" s="37"/>
      <c r="U50" s="37" t="str">
        <f>IFERROR(__xludf.DUMMYFUNCTION("""COMPUTED_VALUE"""),"Salesforce.com Singapore Pte. Ltd 202503 Tableau年度續約(20250321-20260320)PCAR-2650[憑證在ER5526")</f>
        <v>Salesforce.com Singapore Pte. Ltd 202503 Tableau年度續約(20250321-20260320)PCAR-2650[憑證在ER5526</v>
      </c>
      <c r="V50" s="37"/>
      <c r="W50" s="37"/>
      <c r="X50" s="37"/>
      <c r="Y50" s="49">
        <f>IFERROR(__xludf.DUMMYFUNCTION("""COMPUTED_VALUE"""),3853.0)</f>
        <v>3853</v>
      </c>
      <c r="Z50" s="37">
        <f>IFERROR(__xludf.DUMMYFUNCTION("""COMPUTED_VALUE"""),613201.0)</f>
        <v>613201</v>
      </c>
      <c r="AA50" s="37" t="str">
        <f>IFERROR(__xludf.DUMMYFUNCTION("""COMPUTED_VALUE"""),"執行長室")</f>
        <v>執行長室</v>
      </c>
      <c r="AB50" s="48" t="str">
        <f>IFERROR(__xludf.DUMMYFUNCTION("""COMPUTED_VALUE"""),"執行長室")</f>
        <v>執行長室</v>
      </c>
      <c r="AC50" s="48" t="str">
        <f>IFERROR(__xludf.DUMMYFUNCTION("""COMPUTED_VALUE"""),"No_Product_Line")</f>
        <v>No_Product_Line</v>
      </c>
      <c r="AD50" s="48" t="str">
        <f>IFERROR(__xludf.DUMMYFUNCTION("""COMPUTED_VALUE"""),"Baseline")</f>
        <v>Baseline</v>
      </c>
      <c r="AE50" s="48" t="str">
        <f>IFERROR(__xludf.DUMMYFUNCTION("""COMPUTED_VALUE"""),"Baseline")</f>
        <v>Baseline</v>
      </c>
      <c r="AF50" s="49">
        <f>IFERROR(__xludf.DUMMYFUNCTION("""COMPUTED_VALUE"""),9247.0)</f>
        <v>9247</v>
      </c>
      <c r="AG50" s="49">
        <f>IFERROR(__xludf.DUMMYFUNCTION("""COMPUTED_VALUE"""),12.0)</f>
        <v>12</v>
      </c>
      <c r="AH50" s="49">
        <f>IFERROR(__xludf.DUMMYFUNCTION("""COMPUTED_VALUE"""),5394.0)</f>
        <v>5394</v>
      </c>
      <c r="AI50" s="49">
        <f>IFERROR(__xludf.DUMMYFUNCTION("""COMPUTED_VALUE"""),0.0)</f>
        <v>0</v>
      </c>
      <c r="AJ50" s="37"/>
      <c r="AK50" s="37"/>
      <c r="AL50" s="49">
        <f>IFERROR(__xludf.DUMMYFUNCTION("""COMPUTED_VALUE"""),774.0)</f>
        <v>774</v>
      </c>
      <c r="AM50" s="49">
        <f>IFERROR(__xludf.DUMMYFUNCTION("""COMPUTED_VALUE"""),770.0)</f>
        <v>770</v>
      </c>
      <c r="AN50" s="49">
        <f>IFERROR(__xludf.DUMMYFUNCTION("""COMPUTED_VALUE"""),770.0)</f>
        <v>770</v>
      </c>
      <c r="AO50" s="49">
        <f>IFERROR(__xludf.DUMMYFUNCTION("""COMPUTED_VALUE"""),770.0)</f>
        <v>770</v>
      </c>
      <c r="AP50" s="49">
        <f>IFERROR(__xludf.DUMMYFUNCTION("""COMPUTED_VALUE"""),770.0)</f>
        <v>770</v>
      </c>
      <c r="AQ50" s="49">
        <f>IFERROR(__xludf.DUMMYFUNCTION("""COMPUTED_VALUE"""),770.0)</f>
        <v>770</v>
      </c>
      <c r="AR50" s="49">
        <f>IFERROR(__xludf.DUMMYFUNCTION("""COMPUTED_VALUE"""),770.0)</f>
        <v>770</v>
      </c>
      <c r="AS50" s="49">
        <f>IFERROR(__xludf.DUMMYFUNCTION("""COMPUTED_VALUE"""),770.0)</f>
        <v>770</v>
      </c>
      <c r="AT50" s="49">
        <f>IFERROR(__xludf.DUMMYFUNCTION("""COMPUTED_VALUE"""),770.0)</f>
        <v>770</v>
      </c>
      <c r="AU50" s="49">
        <f>IFERROR(__xludf.DUMMYFUNCTION("""COMPUTED_VALUE"""),770.0)</f>
        <v>770</v>
      </c>
      <c r="AV50" s="49">
        <f>IFERROR(__xludf.DUMMYFUNCTION("""COMPUTED_VALUE"""),770.0)</f>
        <v>770</v>
      </c>
      <c r="AW50" s="49">
        <f>IFERROR(__xludf.DUMMYFUNCTION("""COMPUTED_VALUE"""),773.0)</f>
        <v>773</v>
      </c>
      <c r="AX50" s="37"/>
      <c r="AY50" s="37"/>
      <c r="AZ50" s="37"/>
    </row>
    <row r="51">
      <c r="B51" s="37"/>
      <c r="C51" s="37"/>
      <c r="D51" s="37"/>
      <c r="E51" s="37"/>
      <c r="F51" s="37"/>
      <c r="G51" s="37"/>
      <c r="H51" s="37"/>
      <c r="I51" s="37">
        <f>IFERROR(__xludf.DUMMYFUNCTION("""COMPUTED_VALUE"""),47.0)</f>
        <v>47</v>
      </c>
      <c r="J51" s="37" t="str">
        <f>IFERROR(__xludf.DUMMYFUNCTION("""COMPUTED_VALUE"""),"Y")</f>
        <v>Y</v>
      </c>
      <c r="K51" s="37"/>
      <c r="L51" s="37"/>
      <c r="M51" s="37" t="str">
        <f>IFERROR(__xludf.DUMMYFUNCTION("""COMPUTED_VALUE"""),"Bill")</f>
        <v>Bill</v>
      </c>
      <c r="N51" s="45">
        <f>IFERROR(__xludf.DUMMYFUNCTION("""COMPUTED_VALUE"""),45747.0)</f>
        <v>45747</v>
      </c>
      <c r="O51" s="37">
        <f>IFERROR(__xludf.DUMMYFUNCTION("""COMPUTED_VALUE"""),5916.0)</f>
        <v>5916</v>
      </c>
      <c r="P51" s="37"/>
      <c r="Q51" s="37"/>
      <c r="R51" s="37"/>
      <c r="S51" s="37"/>
      <c r="T51" s="37"/>
      <c r="U51" s="37" t="str">
        <f>IFERROR(__xludf.DUMMYFUNCTION("""COMPUTED_VALUE"""),"Salesforce.com Singapore Pte. Ltd 202503 Tableau年度續約(20250321-20260320)PCAR-2650[憑證在ER5526")</f>
        <v>Salesforce.com Singapore Pte. Ltd 202503 Tableau年度續約(20250321-20260320)PCAR-2650[憑證在ER5526</v>
      </c>
      <c r="V51" s="37"/>
      <c r="W51" s="37"/>
      <c r="X51" s="37"/>
      <c r="Y51" s="49">
        <f>IFERROR(__xludf.DUMMYFUNCTION("""COMPUTED_VALUE"""),7679.0)</f>
        <v>7679</v>
      </c>
      <c r="Z51" s="37">
        <f>IFERROR(__xludf.DUMMYFUNCTION("""COMPUTED_VALUE"""),613201.0)</f>
        <v>613201</v>
      </c>
      <c r="AA51" s="37" t="str">
        <f>IFERROR(__xludf.DUMMYFUNCTION("""COMPUTED_VALUE"""),"財務中心")</f>
        <v>財務中心</v>
      </c>
      <c r="AB51" s="48" t="str">
        <f>IFERROR(__xludf.DUMMYFUNCTION("""COMPUTED_VALUE"""),"執行長室 : 財務中心 : 財務中心")</f>
        <v>執行長室 : 財務中心 : 財務中心</v>
      </c>
      <c r="AC51" s="48" t="str">
        <f>IFERROR(__xludf.DUMMYFUNCTION("""COMPUTED_VALUE"""),"No_Product_Line")</f>
        <v>No_Product_Line</v>
      </c>
      <c r="AD51" s="48" t="str">
        <f>IFERROR(__xludf.DUMMYFUNCTION("""COMPUTED_VALUE"""),"Baseline")</f>
        <v>Baseline</v>
      </c>
      <c r="AE51" s="48" t="str">
        <f>IFERROR(__xludf.DUMMYFUNCTION("""COMPUTED_VALUE"""),"Baseline")</f>
        <v>Baseline</v>
      </c>
      <c r="AF51" s="49">
        <f>IFERROR(__xludf.DUMMYFUNCTION("""COMPUTED_VALUE"""),18438.0)</f>
        <v>18438</v>
      </c>
      <c r="AG51" s="49">
        <f>IFERROR(__xludf.DUMMYFUNCTION("""COMPUTED_VALUE"""),12.0)</f>
        <v>12</v>
      </c>
      <c r="AH51" s="49">
        <f>IFERROR(__xludf.DUMMYFUNCTION("""COMPUTED_VALUE"""),10759.0)</f>
        <v>10759</v>
      </c>
      <c r="AI51" s="49">
        <f>IFERROR(__xludf.DUMMYFUNCTION("""COMPUTED_VALUE"""),0.0)</f>
        <v>0</v>
      </c>
      <c r="AJ51" s="37"/>
      <c r="AK51" s="37"/>
      <c r="AL51" s="49">
        <f>IFERROR(__xludf.DUMMYFUNCTION("""COMPUTED_VALUE"""),1543.0)</f>
        <v>1543</v>
      </c>
      <c r="AM51" s="49">
        <f>IFERROR(__xludf.DUMMYFUNCTION("""COMPUTED_VALUE"""),1536.0)</f>
        <v>1536</v>
      </c>
      <c r="AN51" s="49">
        <f>IFERROR(__xludf.DUMMYFUNCTION("""COMPUTED_VALUE"""),1536.0)</f>
        <v>1536</v>
      </c>
      <c r="AO51" s="49">
        <f>IFERROR(__xludf.DUMMYFUNCTION("""COMPUTED_VALUE"""),1536.0)</f>
        <v>1536</v>
      </c>
      <c r="AP51" s="49">
        <f>IFERROR(__xludf.DUMMYFUNCTION("""COMPUTED_VALUE"""),1536.0)</f>
        <v>1536</v>
      </c>
      <c r="AQ51" s="49">
        <f>IFERROR(__xludf.DUMMYFUNCTION("""COMPUTED_VALUE"""),1536.0)</f>
        <v>1536</v>
      </c>
      <c r="AR51" s="49">
        <f>IFERROR(__xludf.DUMMYFUNCTION("""COMPUTED_VALUE"""),1536.0)</f>
        <v>1536</v>
      </c>
      <c r="AS51" s="49">
        <f>IFERROR(__xludf.DUMMYFUNCTION("""COMPUTED_VALUE"""),1536.0)</f>
        <v>1536</v>
      </c>
      <c r="AT51" s="49">
        <f>IFERROR(__xludf.DUMMYFUNCTION("""COMPUTED_VALUE"""),1536.0)</f>
        <v>1536</v>
      </c>
      <c r="AU51" s="49">
        <f>IFERROR(__xludf.DUMMYFUNCTION("""COMPUTED_VALUE"""),1536.0)</f>
        <v>1536</v>
      </c>
      <c r="AV51" s="49">
        <f>IFERROR(__xludf.DUMMYFUNCTION("""COMPUTED_VALUE"""),1536.0)</f>
        <v>1536</v>
      </c>
      <c r="AW51" s="49">
        <f>IFERROR(__xludf.DUMMYFUNCTION("""COMPUTED_VALUE"""),1535.0)</f>
        <v>1535</v>
      </c>
      <c r="AX51" s="37"/>
      <c r="AY51" s="37"/>
      <c r="AZ51" s="37"/>
    </row>
    <row r="52">
      <c r="B52" s="37"/>
      <c r="C52" s="37"/>
      <c r="D52" s="37"/>
      <c r="E52" s="37"/>
      <c r="F52" s="37"/>
      <c r="G52" s="37"/>
      <c r="H52" s="37"/>
      <c r="I52" s="37">
        <f>IFERROR(__xludf.DUMMYFUNCTION("""COMPUTED_VALUE"""),48.0)</f>
        <v>48</v>
      </c>
      <c r="J52" s="37" t="str">
        <f>IFERROR(__xludf.DUMMYFUNCTION("""COMPUTED_VALUE"""),"Y")</f>
        <v>Y</v>
      </c>
      <c r="K52" s="37"/>
      <c r="L52" s="37"/>
      <c r="M52" s="37" t="str">
        <f>IFERROR(__xludf.DUMMYFUNCTION("""COMPUTED_VALUE"""),"Bill")</f>
        <v>Bill</v>
      </c>
      <c r="N52" s="45">
        <f>IFERROR(__xludf.DUMMYFUNCTION("""COMPUTED_VALUE"""),45747.0)</f>
        <v>45747</v>
      </c>
      <c r="O52" s="37">
        <f>IFERROR(__xludf.DUMMYFUNCTION("""COMPUTED_VALUE"""),5916.0)</f>
        <v>5916</v>
      </c>
      <c r="P52" s="37"/>
      <c r="Q52" s="37"/>
      <c r="R52" s="37"/>
      <c r="S52" s="37"/>
      <c r="T52" s="37"/>
      <c r="U52" s="37" t="str">
        <f>IFERROR(__xludf.DUMMYFUNCTION("""COMPUTED_VALUE"""),"Salesforce.com Singapore Pte. Ltd 202503 Tableau年度續約(20250321-20260320)PCAR-2650[憑證在ER5526")</f>
        <v>Salesforce.com Singapore Pte. Ltd 202503 Tableau年度續約(20250321-20260320)PCAR-2650[憑證在ER5526</v>
      </c>
      <c r="V52" s="37"/>
      <c r="W52" s="37"/>
      <c r="X52" s="37"/>
      <c r="Y52" s="49">
        <f>IFERROR(__xludf.DUMMYFUNCTION("""COMPUTED_VALUE"""),17249.0)</f>
        <v>17249</v>
      </c>
      <c r="Z52" s="37">
        <f>IFERROR(__xludf.DUMMYFUNCTION("""COMPUTED_VALUE"""),623201.0)</f>
        <v>623201</v>
      </c>
      <c r="AA52" s="37" t="str">
        <f>IFERROR(__xludf.DUMMYFUNCTION("""COMPUTED_VALUE"""),"客戶價值中心")</f>
        <v>客戶價值中心</v>
      </c>
      <c r="AB52" s="48" t="str">
        <f>IFERROR(__xludf.DUMMYFUNCTION("""COMPUTED_VALUE"""),"執行長室 : 客戶價值中心 : 客戶價值中心")</f>
        <v>執行長室 : 客戶價值中心 : 客戶價值中心</v>
      </c>
      <c r="AC52" s="48" t="str">
        <f>IFERROR(__xludf.DUMMYFUNCTION("""COMPUTED_VALUE"""),"No_Product_Line")</f>
        <v>No_Product_Line</v>
      </c>
      <c r="AD52" s="48" t="str">
        <f>IFERROR(__xludf.DUMMYFUNCTION("""COMPUTED_VALUE"""),"Baseline")</f>
        <v>Baseline</v>
      </c>
      <c r="AE52" s="48" t="str">
        <f>IFERROR(__xludf.DUMMYFUNCTION("""COMPUTED_VALUE"""),"Baseline")</f>
        <v>Baseline</v>
      </c>
      <c r="AF52" s="49">
        <f>IFERROR(__xludf.DUMMYFUNCTION("""COMPUTED_VALUE"""),41409.0)</f>
        <v>41409</v>
      </c>
      <c r="AG52" s="49">
        <f>IFERROR(__xludf.DUMMYFUNCTION("""COMPUTED_VALUE"""),12.0)</f>
        <v>12</v>
      </c>
      <c r="AH52" s="49">
        <f>IFERROR(__xludf.DUMMYFUNCTION("""COMPUTED_VALUE"""),24160.0)</f>
        <v>24160</v>
      </c>
      <c r="AI52" s="49">
        <f>IFERROR(__xludf.DUMMYFUNCTION("""COMPUTED_VALUE"""),0.0)</f>
        <v>0</v>
      </c>
      <c r="AJ52" s="37"/>
      <c r="AK52" s="37"/>
      <c r="AL52" s="49">
        <f>IFERROR(__xludf.DUMMYFUNCTION("""COMPUTED_VALUE"""),3466.0)</f>
        <v>3466</v>
      </c>
      <c r="AM52" s="49">
        <f>IFERROR(__xludf.DUMMYFUNCTION("""COMPUTED_VALUE"""),3449.0)</f>
        <v>3449</v>
      </c>
      <c r="AN52" s="49">
        <f>IFERROR(__xludf.DUMMYFUNCTION("""COMPUTED_VALUE"""),3449.0)</f>
        <v>3449</v>
      </c>
      <c r="AO52" s="49">
        <f>IFERROR(__xludf.DUMMYFUNCTION("""COMPUTED_VALUE"""),3449.0)</f>
        <v>3449</v>
      </c>
      <c r="AP52" s="49">
        <f>IFERROR(__xludf.DUMMYFUNCTION("""COMPUTED_VALUE"""),3449.0)</f>
        <v>3449</v>
      </c>
      <c r="AQ52" s="49">
        <f>IFERROR(__xludf.DUMMYFUNCTION("""COMPUTED_VALUE"""),3449.0)</f>
        <v>3449</v>
      </c>
      <c r="AR52" s="49">
        <f>IFERROR(__xludf.DUMMYFUNCTION("""COMPUTED_VALUE"""),3449.0)</f>
        <v>3449</v>
      </c>
      <c r="AS52" s="49">
        <f>IFERROR(__xludf.DUMMYFUNCTION("""COMPUTED_VALUE"""),3449.0)</f>
        <v>3449</v>
      </c>
      <c r="AT52" s="49">
        <f>IFERROR(__xludf.DUMMYFUNCTION("""COMPUTED_VALUE"""),3449.0)</f>
        <v>3449</v>
      </c>
      <c r="AU52" s="49">
        <f>IFERROR(__xludf.DUMMYFUNCTION("""COMPUTED_VALUE"""),3449.0)</f>
        <v>3449</v>
      </c>
      <c r="AV52" s="49">
        <f>IFERROR(__xludf.DUMMYFUNCTION("""COMPUTED_VALUE"""),3449.0)</f>
        <v>3449</v>
      </c>
      <c r="AW52" s="49">
        <f>IFERROR(__xludf.DUMMYFUNCTION("""COMPUTED_VALUE"""),3453.0)</f>
        <v>3453</v>
      </c>
      <c r="AX52" s="37"/>
      <c r="AY52" s="37"/>
      <c r="AZ52" s="37"/>
    </row>
    <row r="53">
      <c r="B53" s="37"/>
      <c r="C53" s="37"/>
      <c r="D53" s="37"/>
      <c r="E53" s="37"/>
      <c r="F53" s="37"/>
      <c r="G53" s="37"/>
      <c r="H53" s="37"/>
      <c r="I53" s="37">
        <f>IFERROR(__xludf.DUMMYFUNCTION("""COMPUTED_VALUE"""),49.0)</f>
        <v>49</v>
      </c>
      <c r="J53" s="37" t="str">
        <f>IFERROR(__xludf.DUMMYFUNCTION("""COMPUTED_VALUE"""),"Y")</f>
        <v>Y</v>
      </c>
      <c r="K53" s="37"/>
      <c r="L53" s="37"/>
      <c r="M53" s="37" t="str">
        <f>IFERROR(__xludf.DUMMYFUNCTION("""COMPUTED_VALUE"""),"Bill")</f>
        <v>Bill</v>
      </c>
      <c r="N53" s="45">
        <f>IFERROR(__xludf.DUMMYFUNCTION("""COMPUTED_VALUE"""),45747.0)</f>
        <v>45747</v>
      </c>
      <c r="O53" s="37">
        <f>IFERROR(__xludf.DUMMYFUNCTION("""COMPUTED_VALUE"""),5916.0)</f>
        <v>5916</v>
      </c>
      <c r="P53" s="37"/>
      <c r="Q53" s="37"/>
      <c r="R53" s="37"/>
      <c r="S53" s="37"/>
      <c r="T53" s="37"/>
      <c r="U53" s="37" t="str">
        <f>IFERROR(__xludf.DUMMYFUNCTION("""COMPUTED_VALUE"""),"Salesforce.com Singapore Pte. Ltd 202503 Tableau年度續約(20250321-20260320)PCAR-2650[憑證在ER5526")</f>
        <v>Salesforce.com Singapore Pte. Ltd 202503 Tableau年度續約(20250321-20260320)PCAR-2650[憑證在ER5526</v>
      </c>
      <c r="V53" s="37"/>
      <c r="W53" s="37"/>
      <c r="X53" s="37"/>
      <c r="Y53" s="49">
        <f>IFERROR(__xludf.DUMMYFUNCTION("""COMPUTED_VALUE"""),42146.0)</f>
        <v>42146</v>
      </c>
      <c r="Z53" s="37">
        <f>IFERROR(__xludf.DUMMYFUNCTION("""COMPUTED_VALUE"""),613201.0)</f>
        <v>613201</v>
      </c>
      <c r="AA53" s="37" t="str">
        <f>IFERROR(__xludf.DUMMYFUNCTION("""COMPUTED_VALUE"""),"策略資料中心")</f>
        <v>策略資料中心</v>
      </c>
      <c r="AB53" s="48" t="str">
        <f>IFERROR(__xludf.DUMMYFUNCTION("""COMPUTED_VALUE"""),"執行長室 : 策略資料中心 : 策略資料中心")</f>
        <v>執行長室 : 策略資料中心 : 策略資料中心</v>
      </c>
      <c r="AC53" s="48" t="str">
        <f>IFERROR(__xludf.DUMMYFUNCTION("""COMPUTED_VALUE"""),"No_Product_Line")</f>
        <v>No_Product_Line</v>
      </c>
      <c r="AD53" s="48" t="str">
        <f>IFERROR(__xludf.DUMMYFUNCTION("""COMPUTED_VALUE"""),"Baseline")</f>
        <v>Baseline</v>
      </c>
      <c r="AE53" s="48" t="str">
        <f>IFERROR(__xludf.DUMMYFUNCTION("""COMPUTED_VALUE"""),"Baseline")</f>
        <v>Baseline</v>
      </c>
      <c r="AF53" s="49">
        <f>IFERROR(__xludf.DUMMYFUNCTION("""COMPUTED_VALUE"""),101196.0)</f>
        <v>101196</v>
      </c>
      <c r="AG53" s="49">
        <f>IFERROR(__xludf.DUMMYFUNCTION("""COMPUTED_VALUE"""),12.0)</f>
        <v>12</v>
      </c>
      <c r="AH53" s="49">
        <f>IFERROR(__xludf.DUMMYFUNCTION("""COMPUTED_VALUE"""),59050.0)</f>
        <v>59050</v>
      </c>
      <c r="AI53" s="49">
        <f>IFERROR(__xludf.DUMMYFUNCTION("""COMPUTED_VALUE"""),0.0)</f>
        <v>0</v>
      </c>
      <c r="AJ53" s="37"/>
      <c r="AK53" s="37"/>
      <c r="AL53" s="49">
        <f>IFERROR(__xludf.DUMMYFUNCTION("""COMPUTED_VALUE"""),8470.0)</f>
        <v>8470</v>
      </c>
      <c r="AM53" s="49">
        <f>IFERROR(__xludf.DUMMYFUNCTION("""COMPUTED_VALUE"""),8430.0)</f>
        <v>8430</v>
      </c>
      <c r="AN53" s="49">
        <f>IFERROR(__xludf.DUMMYFUNCTION("""COMPUTED_VALUE"""),8430.0)</f>
        <v>8430</v>
      </c>
      <c r="AO53" s="49">
        <f>IFERROR(__xludf.DUMMYFUNCTION("""COMPUTED_VALUE"""),8430.0)</f>
        <v>8430</v>
      </c>
      <c r="AP53" s="49">
        <f>IFERROR(__xludf.DUMMYFUNCTION("""COMPUTED_VALUE"""),8430.0)</f>
        <v>8430</v>
      </c>
      <c r="AQ53" s="49">
        <f>IFERROR(__xludf.DUMMYFUNCTION("""COMPUTED_VALUE"""),8430.0)</f>
        <v>8430</v>
      </c>
      <c r="AR53" s="49">
        <f>IFERROR(__xludf.DUMMYFUNCTION("""COMPUTED_VALUE"""),8430.0)</f>
        <v>8430</v>
      </c>
      <c r="AS53" s="49">
        <f>IFERROR(__xludf.DUMMYFUNCTION("""COMPUTED_VALUE"""),8430.0)</f>
        <v>8430</v>
      </c>
      <c r="AT53" s="49">
        <f>IFERROR(__xludf.DUMMYFUNCTION("""COMPUTED_VALUE"""),8430.0)</f>
        <v>8430</v>
      </c>
      <c r="AU53" s="49">
        <f>IFERROR(__xludf.DUMMYFUNCTION("""COMPUTED_VALUE"""),8430.0)</f>
        <v>8430</v>
      </c>
      <c r="AV53" s="49">
        <f>IFERROR(__xludf.DUMMYFUNCTION("""COMPUTED_VALUE"""),8430.0)</f>
        <v>8430</v>
      </c>
      <c r="AW53" s="49">
        <f>IFERROR(__xludf.DUMMYFUNCTION("""COMPUTED_VALUE"""),8426.0)</f>
        <v>8426</v>
      </c>
      <c r="AX53" s="37"/>
      <c r="AY53" s="37"/>
      <c r="AZ53" s="37"/>
    </row>
    <row r="54">
      <c r="B54" s="37"/>
      <c r="C54" s="37"/>
      <c r="D54" s="37"/>
      <c r="E54" s="37"/>
      <c r="F54" s="37"/>
      <c r="G54" s="37"/>
      <c r="H54" s="37"/>
      <c r="I54" s="37">
        <f>IFERROR(__xludf.DUMMYFUNCTION("""COMPUTED_VALUE"""),50.0)</f>
        <v>50</v>
      </c>
      <c r="J54" s="37" t="str">
        <f>IFERROR(__xludf.DUMMYFUNCTION("""COMPUTED_VALUE"""),"Y")</f>
        <v>Y</v>
      </c>
      <c r="K54" s="37"/>
      <c r="L54" s="37"/>
      <c r="M54" s="37" t="str">
        <f>IFERROR(__xludf.DUMMYFUNCTION("""COMPUTED_VALUE"""),"Bill")</f>
        <v>Bill</v>
      </c>
      <c r="N54" s="45">
        <f>IFERROR(__xludf.DUMMYFUNCTION("""COMPUTED_VALUE"""),45747.0)</f>
        <v>45747</v>
      </c>
      <c r="O54" s="37">
        <f>IFERROR(__xludf.DUMMYFUNCTION("""COMPUTED_VALUE"""),5916.0)</f>
        <v>5916</v>
      </c>
      <c r="P54" s="37"/>
      <c r="Q54" s="37"/>
      <c r="R54" s="37"/>
      <c r="S54" s="37"/>
      <c r="T54" s="37"/>
      <c r="U54" s="37" t="str">
        <f>IFERROR(__xludf.DUMMYFUNCTION("""COMPUTED_VALUE"""),"Salesforce.com Singapore Pte. Ltd 202503 Tableau年度續約(20250321-20260320)PCAR-2650[憑證在ER5526")</f>
        <v>Salesforce.com Singapore Pte. Ltd 202503 Tableau年度續約(20250321-20260320)PCAR-2650[憑證在ER5526</v>
      </c>
      <c r="V54" s="37"/>
      <c r="W54" s="37"/>
      <c r="X54" s="37"/>
      <c r="Y54" s="49">
        <f>IFERROR(__xludf.DUMMYFUNCTION("""COMPUTED_VALUE"""),78603.0)</f>
        <v>78603</v>
      </c>
      <c r="Z54" s="37">
        <f>IFERROR(__xludf.DUMMYFUNCTION("""COMPUTED_VALUE"""),603201.0)</f>
        <v>603201</v>
      </c>
      <c r="AA54" s="37" t="str">
        <f>IFERROR(__xludf.DUMMYFUNCTION("""COMPUTED_VALUE"""),"行銷營運中心")</f>
        <v>行銷營運中心</v>
      </c>
      <c r="AB54" s="48" t="str">
        <f>IFERROR(__xludf.DUMMYFUNCTION("""COMPUTED_VALUE"""),"執行長室 : 行銷營運中心 : 行銷營運中心")</f>
        <v>執行長室 : 行銷營運中心 : 行銷營運中心</v>
      </c>
      <c r="AC54" s="48" t="str">
        <f>IFERROR(__xludf.DUMMYFUNCTION("""COMPUTED_VALUE"""),"No_Product_Line")</f>
        <v>No_Product_Line</v>
      </c>
      <c r="AD54" s="48" t="str">
        <f>IFERROR(__xludf.DUMMYFUNCTION("""COMPUTED_VALUE"""),"Baseline")</f>
        <v>Baseline</v>
      </c>
      <c r="AE54" s="48" t="str">
        <f>IFERROR(__xludf.DUMMYFUNCTION("""COMPUTED_VALUE"""),"Baseline")</f>
        <v>Baseline</v>
      </c>
      <c r="AF54" s="49">
        <f>IFERROR(__xludf.DUMMYFUNCTION("""COMPUTED_VALUE"""),188725.0)</f>
        <v>188725</v>
      </c>
      <c r="AG54" s="49">
        <f>IFERROR(__xludf.DUMMYFUNCTION("""COMPUTED_VALUE"""),12.0)</f>
        <v>12</v>
      </c>
      <c r="AH54" s="49">
        <f>IFERROR(__xludf.DUMMYFUNCTION("""COMPUTED_VALUE"""),110122.0)</f>
        <v>110122</v>
      </c>
      <c r="AI54" s="49">
        <f>IFERROR(__xludf.DUMMYFUNCTION("""COMPUTED_VALUE"""),0.0)</f>
        <v>0</v>
      </c>
      <c r="AJ54" s="37"/>
      <c r="AK54" s="37"/>
      <c r="AL54" s="49">
        <f>IFERROR(__xludf.DUMMYFUNCTION("""COMPUTED_VALUE"""),15796.0)</f>
        <v>15796</v>
      </c>
      <c r="AM54" s="49">
        <f>IFERROR(__xludf.DUMMYFUNCTION("""COMPUTED_VALUE"""),15721.0)</f>
        <v>15721</v>
      </c>
      <c r="AN54" s="49">
        <f>IFERROR(__xludf.DUMMYFUNCTION("""COMPUTED_VALUE"""),15721.0)</f>
        <v>15721</v>
      </c>
      <c r="AO54" s="49">
        <f>IFERROR(__xludf.DUMMYFUNCTION("""COMPUTED_VALUE"""),15721.0)</f>
        <v>15721</v>
      </c>
      <c r="AP54" s="49">
        <f>IFERROR(__xludf.DUMMYFUNCTION("""COMPUTED_VALUE"""),15721.0)</f>
        <v>15721</v>
      </c>
      <c r="AQ54" s="49">
        <f>IFERROR(__xludf.DUMMYFUNCTION("""COMPUTED_VALUE"""),15721.0)</f>
        <v>15721</v>
      </c>
      <c r="AR54" s="49">
        <f>IFERROR(__xludf.DUMMYFUNCTION("""COMPUTED_VALUE"""),15721.0)</f>
        <v>15721</v>
      </c>
      <c r="AS54" s="49">
        <f>IFERROR(__xludf.DUMMYFUNCTION("""COMPUTED_VALUE"""),15721.0)</f>
        <v>15721</v>
      </c>
      <c r="AT54" s="49">
        <f>IFERROR(__xludf.DUMMYFUNCTION("""COMPUTED_VALUE"""),15721.0)</f>
        <v>15721</v>
      </c>
      <c r="AU54" s="49">
        <f>IFERROR(__xludf.DUMMYFUNCTION("""COMPUTED_VALUE"""),15721.0)</f>
        <v>15721</v>
      </c>
      <c r="AV54" s="49">
        <f>IFERROR(__xludf.DUMMYFUNCTION("""COMPUTED_VALUE"""),15721.0)</f>
        <v>15721</v>
      </c>
      <c r="AW54" s="49">
        <f>IFERROR(__xludf.DUMMYFUNCTION("""COMPUTED_VALUE"""),15719.0)</f>
        <v>15719</v>
      </c>
      <c r="AX54" s="37"/>
      <c r="AY54" s="37"/>
      <c r="AZ54" s="37"/>
    </row>
    <row r="55">
      <c r="B55" s="37"/>
      <c r="C55" s="37"/>
      <c r="D55" s="37"/>
      <c r="E55" s="37"/>
      <c r="F55" s="37"/>
      <c r="G55" s="37"/>
      <c r="H55" s="37"/>
      <c r="I55" s="37">
        <f>IFERROR(__xludf.DUMMYFUNCTION("""COMPUTED_VALUE"""),51.0)</f>
        <v>51</v>
      </c>
      <c r="J55" s="37" t="str">
        <f>IFERROR(__xludf.DUMMYFUNCTION("""COMPUTED_VALUE"""),"Y")</f>
        <v>Y</v>
      </c>
      <c r="K55" s="37"/>
      <c r="L55" s="37"/>
      <c r="M55" s="37" t="str">
        <f>IFERROR(__xludf.DUMMYFUNCTION("""COMPUTED_VALUE"""),"Bill")</f>
        <v>Bill</v>
      </c>
      <c r="N55" s="45">
        <f>IFERROR(__xludf.DUMMYFUNCTION("""COMPUTED_VALUE"""),45747.0)</f>
        <v>45747</v>
      </c>
      <c r="O55" s="37">
        <f>IFERROR(__xludf.DUMMYFUNCTION("""COMPUTED_VALUE"""),5916.0)</f>
        <v>5916</v>
      </c>
      <c r="P55" s="37"/>
      <c r="Q55" s="37"/>
      <c r="R55" s="37"/>
      <c r="S55" s="37"/>
      <c r="T55" s="37"/>
      <c r="U55" s="37" t="str">
        <f>IFERROR(__xludf.DUMMYFUNCTION("""COMPUTED_VALUE"""),"Salesforce.com Singapore Pte. Ltd 202503 Tableau年度續約(20250321-20260320)PCAR-2650[憑證在ER5526")</f>
        <v>Salesforce.com Singapore Pte. Ltd 202503 Tableau年度續約(20250321-20260320)PCAR-2650[憑證在ER5526</v>
      </c>
      <c r="V55" s="37"/>
      <c r="W55" s="37"/>
      <c r="X55" s="37"/>
      <c r="Y55" s="49">
        <f>IFERROR(__xludf.DUMMYFUNCTION("""COMPUTED_VALUE"""),93890.0)</f>
        <v>93890</v>
      </c>
      <c r="Z55" s="37">
        <f>IFERROR(__xludf.DUMMYFUNCTION("""COMPUTED_VALUE"""),623201.0)</f>
        <v>623201</v>
      </c>
      <c r="AA55" s="37" t="str">
        <f>IFERROR(__xludf.DUMMYFUNCTION("""COMPUTED_VALUE"""),"研發中心")</f>
        <v>研發中心</v>
      </c>
      <c r="AB55" s="48" t="str">
        <f>IFERROR(__xludf.DUMMYFUNCTION("""COMPUTED_VALUE"""),"執行長室 : 研發中心 : 研發中心")</f>
        <v>執行長室 : 研發中心 : 研發中心</v>
      </c>
      <c r="AC55" s="48" t="str">
        <f>IFERROR(__xludf.DUMMYFUNCTION("""COMPUTED_VALUE"""),"No_Product_Line")</f>
        <v>No_Product_Line</v>
      </c>
      <c r="AD55" s="48" t="str">
        <f>IFERROR(__xludf.DUMMYFUNCTION("""COMPUTED_VALUE"""),"Baseline")</f>
        <v>Baseline</v>
      </c>
      <c r="AE55" s="48" t="str">
        <f>IFERROR(__xludf.DUMMYFUNCTION("""COMPUTED_VALUE"""),"Baseline")</f>
        <v>Baseline</v>
      </c>
      <c r="AF55" s="49">
        <f>IFERROR(__xludf.DUMMYFUNCTION("""COMPUTED_VALUE"""),225420.0)</f>
        <v>225420</v>
      </c>
      <c r="AG55" s="49">
        <f>IFERROR(__xludf.DUMMYFUNCTION("""COMPUTED_VALUE"""),12.0)</f>
        <v>12</v>
      </c>
      <c r="AH55" s="49">
        <f>IFERROR(__xludf.DUMMYFUNCTION("""COMPUTED_VALUE"""),131530.0)</f>
        <v>131530</v>
      </c>
      <c r="AI55" s="49">
        <f>IFERROR(__xludf.DUMMYFUNCTION("""COMPUTED_VALUE"""),0.0)</f>
        <v>0</v>
      </c>
      <c r="AJ55" s="37"/>
      <c r="AK55" s="37"/>
      <c r="AL55" s="49">
        <f>IFERROR(__xludf.DUMMYFUNCTION("""COMPUTED_VALUE"""),18868.0)</f>
        <v>18868</v>
      </c>
      <c r="AM55" s="49">
        <f>IFERROR(__xludf.DUMMYFUNCTION("""COMPUTED_VALUE"""),18777.0)</f>
        <v>18777</v>
      </c>
      <c r="AN55" s="49">
        <f>IFERROR(__xludf.DUMMYFUNCTION("""COMPUTED_VALUE"""),18777.0)</f>
        <v>18777</v>
      </c>
      <c r="AO55" s="49">
        <f>IFERROR(__xludf.DUMMYFUNCTION("""COMPUTED_VALUE"""),18777.0)</f>
        <v>18777</v>
      </c>
      <c r="AP55" s="49">
        <f>IFERROR(__xludf.DUMMYFUNCTION("""COMPUTED_VALUE"""),18777.0)</f>
        <v>18777</v>
      </c>
      <c r="AQ55" s="49">
        <f>IFERROR(__xludf.DUMMYFUNCTION("""COMPUTED_VALUE"""),18777.0)</f>
        <v>18777</v>
      </c>
      <c r="AR55" s="49">
        <f>IFERROR(__xludf.DUMMYFUNCTION("""COMPUTED_VALUE"""),18777.0)</f>
        <v>18777</v>
      </c>
      <c r="AS55" s="49">
        <f>IFERROR(__xludf.DUMMYFUNCTION("""COMPUTED_VALUE"""),18777.0)</f>
        <v>18777</v>
      </c>
      <c r="AT55" s="49">
        <f>IFERROR(__xludf.DUMMYFUNCTION("""COMPUTED_VALUE"""),18777.0)</f>
        <v>18777</v>
      </c>
      <c r="AU55" s="49">
        <f>IFERROR(__xludf.DUMMYFUNCTION("""COMPUTED_VALUE"""),18777.0)</f>
        <v>18777</v>
      </c>
      <c r="AV55" s="49">
        <f>IFERROR(__xludf.DUMMYFUNCTION("""COMPUTED_VALUE"""),18777.0)</f>
        <v>18777</v>
      </c>
      <c r="AW55" s="49">
        <f>IFERROR(__xludf.DUMMYFUNCTION("""COMPUTED_VALUE"""),18782.0)</f>
        <v>18782</v>
      </c>
      <c r="AX55" s="37"/>
      <c r="AY55" s="37"/>
      <c r="AZ55" s="37"/>
    </row>
    <row r="56">
      <c r="B56" s="37"/>
      <c r="C56" s="37"/>
      <c r="D56" s="37"/>
      <c r="E56" s="37"/>
      <c r="F56" s="37"/>
      <c r="G56" s="37"/>
      <c r="H56" s="37"/>
      <c r="I56" s="37">
        <f>IFERROR(__xludf.DUMMYFUNCTION("""COMPUTED_VALUE"""),52.0)</f>
        <v>52</v>
      </c>
      <c r="J56" s="37"/>
      <c r="K56" s="37" t="str">
        <f>IFERROR(__xludf.DUMMYFUNCTION("""COMPUTED_VALUE"""),"Y")</f>
        <v>Y</v>
      </c>
      <c r="L56" s="37"/>
      <c r="M56" s="37" t="str">
        <f>IFERROR(__xludf.DUMMYFUNCTION("""COMPUTED_VALUE"""),"Journal")</f>
        <v>Journal</v>
      </c>
      <c r="N56" s="45">
        <f>IFERROR(__xludf.DUMMYFUNCTION("""COMPUTED_VALUE"""),45765.0)</f>
        <v>45765</v>
      </c>
      <c r="O56" s="37">
        <f>IFERROR(__xludf.DUMMYFUNCTION("""COMPUTED_VALUE"""),16966.0)</f>
        <v>16966</v>
      </c>
      <c r="P56" s="37"/>
      <c r="Q56" s="37"/>
      <c r="R56" s="37"/>
      <c r="S56" s="37"/>
      <c r="T56" s="37"/>
      <c r="U56" s="37" t="str">
        <f>IFERROR(__xludf.DUMMYFUNCTION("""COMPUTED_VALUE"""),"林于庭_20250409_ Yourator 2025-04-10 到 2025-10-09 刊登費")</f>
        <v>林于庭_20250409_ Yourator 2025-04-10 到 2025-10-09 刊登費</v>
      </c>
      <c r="V56" s="37"/>
      <c r="W56" s="37"/>
      <c r="X56" s="37"/>
      <c r="Y56" s="49">
        <f>IFERROR(__xludf.DUMMYFUNCTION("""COMPUTED_VALUE"""),0.0)</f>
        <v>0</v>
      </c>
      <c r="Z56" s="37">
        <f>IFERROR(__xludf.DUMMYFUNCTION("""COMPUTED_VALUE"""),6117.0)</f>
        <v>6117</v>
      </c>
      <c r="AA56" s="37" t="str">
        <f>IFERROR(__xludf.DUMMYFUNCTION("""COMPUTED_VALUE"""),"管理中心")</f>
        <v>管理中心</v>
      </c>
      <c r="AB56" s="48" t="str">
        <f>IFERROR(__xludf.DUMMYFUNCTION("""COMPUTED_VALUE"""),"執行長室 : 管理中心 : 人力資源部 : 人力資源團隊")</f>
        <v>執行長室 : 管理中心 : 人力資源部 : 人力資源團隊</v>
      </c>
      <c r="AC56" s="48" t="str">
        <f>IFERROR(__xludf.DUMMYFUNCTION("""COMPUTED_VALUE"""),"No_Product_Line")</f>
        <v>No_Product_Line</v>
      </c>
      <c r="AD56" s="48" t="str">
        <f>IFERROR(__xludf.DUMMYFUNCTION("""COMPUTED_VALUE"""),"Baseline")</f>
        <v>Baseline</v>
      </c>
      <c r="AE56" s="48" t="str">
        <f>IFERROR(__xludf.DUMMYFUNCTION("""COMPUTED_VALUE"""),"Baseline")</f>
        <v>Baseline</v>
      </c>
      <c r="AF56" s="49">
        <f>IFERROR(__xludf.DUMMYFUNCTION("""COMPUTED_VALUE"""),16000.0)</f>
        <v>16000</v>
      </c>
      <c r="AG56" s="49">
        <f>IFERROR(__xludf.DUMMYFUNCTION("""COMPUTED_VALUE"""),6.0)</f>
        <v>6</v>
      </c>
      <c r="AH56" s="49">
        <f>IFERROR(__xludf.DUMMYFUNCTION("""COMPUTED_VALUE"""),16000.0)</f>
        <v>16000</v>
      </c>
      <c r="AI56" s="49">
        <f>IFERROR(__xludf.DUMMYFUNCTION("""COMPUTED_VALUE"""),0.0)</f>
        <v>0</v>
      </c>
      <c r="AJ56" s="37"/>
      <c r="AK56" s="37"/>
      <c r="AL56" s="37"/>
      <c r="AM56" s="49">
        <f>IFERROR(__xludf.DUMMYFUNCTION("""COMPUTED_VALUE"""),2666.0)</f>
        <v>2666</v>
      </c>
      <c r="AN56" s="49">
        <f>IFERROR(__xludf.DUMMYFUNCTION("""COMPUTED_VALUE"""),2666.0)</f>
        <v>2666</v>
      </c>
      <c r="AO56" s="49">
        <f>IFERROR(__xludf.DUMMYFUNCTION("""COMPUTED_VALUE"""),2666.0)</f>
        <v>2666</v>
      </c>
      <c r="AP56" s="49">
        <f>IFERROR(__xludf.DUMMYFUNCTION("""COMPUTED_VALUE"""),2666.0)</f>
        <v>2666</v>
      </c>
      <c r="AQ56" s="49">
        <f>IFERROR(__xludf.DUMMYFUNCTION("""COMPUTED_VALUE"""),2666.0)</f>
        <v>2666</v>
      </c>
      <c r="AR56" s="49">
        <f>IFERROR(__xludf.DUMMYFUNCTION("""COMPUTED_VALUE"""),2670.0)</f>
        <v>2670</v>
      </c>
      <c r="AS56" s="37"/>
      <c r="AT56" s="37"/>
      <c r="AU56" s="37"/>
      <c r="AV56" s="37"/>
      <c r="AW56" s="37"/>
      <c r="AX56" s="37"/>
      <c r="AY56" s="37"/>
      <c r="AZ56" s="37"/>
    </row>
    <row r="57">
      <c r="B57" s="37"/>
      <c r="C57" s="37"/>
      <c r="D57" s="37"/>
      <c r="E57" s="37"/>
      <c r="F57" s="37"/>
      <c r="G57" s="37"/>
      <c r="H57" s="37"/>
      <c r="I57" s="37">
        <f>IFERROR(__xludf.DUMMYFUNCTION("""COMPUTED_VALUE"""),53.0)</f>
        <v>53</v>
      </c>
      <c r="J57" s="37"/>
      <c r="K57" s="37"/>
      <c r="L57" s="37"/>
      <c r="M57" s="37" t="str">
        <f>IFERROR(__xludf.DUMMYFUNCTION("""COMPUTED_VALUE"""),"Journal")</f>
        <v>Journal</v>
      </c>
      <c r="N57" s="45">
        <f>IFERROR(__xludf.DUMMYFUNCTION("""COMPUTED_VALUE"""),45777.0)</f>
        <v>45777</v>
      </c>
      <c r="O57" s="37">
        <f>IFERROR(__xludf.DUMMYFUNCTION("""COMPUTED_VALUE"""),17141.0)</f>
        <v>17141</v>
      </c>
      <c r="P57" s="37"/>
      <c r="Q57" s="37"/>
      <c r="R57" s="37"/>
      <c r="S57" s="37"/>
      <c r="T57" s="37"/>
      <c r="U57" s="37" t="str">
        <f>IFERROR(__xludf.DUMMYFUNCTION("""COMPUTED_VALUE"""),"資廚管理顧問股份有限公司(公司卡)_Cursor 年費_202503 (5/16扣款)(20250330-20260209)(沖)ER5637")</f>
        <v>資廚管理顧問股份有限公司(公司卡)_Cursor 年費_202503 (5/16扣款)(20250330-20260209)(沖)ER5637</v>
      </c>
      <c r="V57" s="37"/>
      <c r="W57" s="37"/>
      <c r="X57" s="37"/>
      <c r="Y57" s="49">
        <f>IFERROR(__xludf.DUMMYFUNCTION("""COMPUTED_VALUE"""),3998.0)</f>
        <v>3998</v>
      </c>
      <c r="Z57" s="37">
        <f>IFERROR(__xludf.DUMMYFUNCTION("""COMPUTED_VALUE"""),520001.0)</f>
        <v>520001</v>
      </c>
      <c r="AA57" s="37" t="str">
        <f>IFERROR(__xludf.DUMMYFUNCTION("""COMPUTED_VALUE"""),"研發中心")</f>
        <v>研發中心</v>
      </c>
      <c r="AB57" s="48" t="str">
        <f>IFERROR(__xludf.DUMMYFUNCTION("""COMPUTED_VALUE"""),"執行長室 : 研發中心 : 軟體工程部")</f>
        <v>執行長室 : 研發中心 : 軟體工程部</v>
      </c>
      <c r="AC57" s="48" t="str">
        <f>IFERROR(__xludf.DUMMYFUNCTION("""COMPUTED_VALUE"""),"No_Product_Line")</f>
        <v>No_Product_Line</v>
      </c>
      <c r="AD57" s="48" t="str">
        <f>IFERROR(__xludf.DUMMYFUNCTION("""COMPUTED_VALUE"""),"Baseline")</f>
        <v>Baseline</v>
      </c>
      <c r="AE57" s="48" t="str">
        <f>IFERROR(__xludf.DUMMYFUNCTION("""COMPUTED_VALUE"""),"Baseline")</f>
        <v>Baseline</v>
      </c>
      <c r="AF57" s="49">
        <f>IFERROR(__xludf.DUMMYFUNCTION("""COMPUTED_VALUE"""),9998.0)</f>
        <v>9998</v>
      </c>
      <c r="AG57" s="49">
        <f>IFERROR(__xludf.DUMMYFUNCTION("""COMPUTED_VALUE"""),12.0)</f>
        <v>12</v>
      </c>
      <c r="AH57" s="49">
        <f>IFERROR(__xludf.DUMMYFUNCTION("""COMPUTED_VALUE"""),6000.0)</f>
        <v>6000</v>
      </c>
      <c r="AI57" s="49">
        <f>IFERROR(__xludf.DUMMYFUNCTION("""COMPUTED_VALUE"""),0.0)</f>
        <v>0</v>
      </c>
      <c r="AJ57" s="37"/>
      <c r="AK57" s="37"/>
      <c r="AL57" s="37"/>
      <c r="AM57" s="49">
        <f>IFERROR(__xludf.DUMMYFUNCTION("""COMPUTED_VALUE"""),1000.0)</f>
        <v>1000</v>
      </c>
      <c r="AN57" s="49">
        <f>IFERROR(__xludf.DUMMYFUNCTION("""COMPUTED_VALUE"""),1000.0)</f>
        <v>1000</v>
      </c>
      <c r="AO57" s="49">
        <f>IFERROR(__xludf.DUMMYFUNCTION("""COMPUTED_VALUE"""),1000.0)</f>
        <v>1000</v>
      </c>
      <c r="AP57" s="49">
        <f>IFERROR(__xludf.DUMMYFUNCTION("""COMPUTED_VALUE"""),1000.0)</f>
        <v>1000</v>
      </c>
      <c r="AQ57" s="49">
        <f>IFERROR(__xludf.DUMMYFUNCTION("""COMPUTED_VALUE"""),1000.0)</f>
        <v>1000</v>
      </c>
      <c r="AR57" s="49">
        <f>IFERROR(__xludf.DUMMYFUNCTION("""COMPUTED_VALUE"""),1000.0)</f>
        <v>1000</v>
      </c>
      <c r="AS57" s="49">
        <f>IFERROR(__xludf.DUMMYFUNCTION("""COMPUTED_VALUE"""),1000.0)</f>
        <v>1000</v>
      </c>
      <c r="AT57" s="49">
        <f>IFERROR(__xludf.DUMMYFUNCTION("""COMPUTED_VALUE"""),1000.0)</f>
        <v>1000</v>
      </c>
      <c r="AU57" s="49">
        <f>IFERROR(__xludf.DUMMYFUNCTION("""COMPUTED_VALUE"""),1000.0)</f>
        <v>1000</v>
      </c>
      <c r="AV57" s="49">
        <f>IFERROR(__xludf.DUMMYFUNCTION("""COMPUTED_VALUE"""),998.0)</f>
        <v>998</v>
      </c>
      <c r="AW57" s="37"/>
      <c r="AX57" s="37"/>
      <c r="AY57" s="37"/>
      <c r="AZ57" s="37"/>
    </row>
    <row r="58">
      <c r="B58" s="37"/>
      <c r="C58" s="37"/>
      <c r="D58" s="37"/>
      <c r="E58" s="37"/>
      <c r="F58" s="37"/>
      <c r="G58" s="37"/>
      <c r="H58" s="37"/>
      <c r="I58" s="37">
        <f>IFERROR(__xludf.DUMMYFUNCTION("""COMPUTED_VALUE"""),54.0)</f>
        <v>54</v>
      </c>
      <c r="J58" s="37"/>
      <c r="K58" s="37"/>
      <c r="L58" s="37"/>
      <c r="M58" s="37" t="str">
        <f>IFERROR(__xludf.DUMMYFUNCTION("""COMPUTED_VALUE"""),"Journal")</f>
        <v>Journal</v>
      </c>
      <c r="N58" s="45">
        <f>IFERROR(__xludf.DUMMYFUNCTION("""COMPUTED_VALUE"""),45777.0)</f>
        <v>45777</v>
      </c>
      <c r="O58" s="37">
        <f>IFERROR(__xludf.DUMMYFUNCTION("""COMPUTED_VALUE"""),17141.0)</f>
        <v>17141</v>
      </c>
      <c r="P58" s="37"/>
      <c r="Q58" s="37"/>
      <c r="R58" s="37"/>
      <c r="S58" s="37"/>
      <c r="T58" s="37"/>
      <c r="U58" s="37" t="str">
        <f>IFERROR(__xludf.DUMMYFUNCTION("""COMPUTED_VALUE"""),"資廚(公司卡) 202502 Cursor AI 程式碼編輯器(20250209-20260209)(沖)ER5384")</f>
        <v>資廚(公司卡) 202502 Cursor AI 程式碼編輯器(20250209-20260209)(沖)ER5384</v>
      </c>
      <c r="V58" s="37"/>
      <c r="W58" s="37"/>
      <c r="X58" s="37"/>
      <c r="Y58" s="49">
        <f>IFERROR(__xludf.DUMMYFUNCTION("""COMPUTED_VALUE"""),4011.0)</f>
        <v>4011</v>
      </c>
      <c r="Z58" s="37">
        <f>IFERROR(__xludf.DUMMYFUNCTION("""COMPUTED_VALUE"""),520001.0)</f>
        <v>520001</v>
      </c>
      <c r="AA58" s="37" t="str">
        <f>IFERROR(__xludf.DUMMYFUNCTION("""COMPUTED_VALUE"""),"研發中心")</f>
        <v>研發中心</v>
      </c>
      <c r="AB58" s="48" t="str">
        <f>IFERROR(__xludf.DUMMYFUNCTION("""COMPUTED_VALUE"""),"執行長室 : 研發中心 : 軟體工程部")</f>
        <v>執行長室 : 研發中心 : 軟體工程部</v>
      </c>
      <c r="AC58" s="48" t="str">
        <f>IFERROR(__xludf.DUMMYFUNCTION("""COMPUTED_VALUE"""),"No_Product_Line")</f>
        <v>No_Product_Line</v>
      </c>
      <c r="AD58" s="48" t="str">
        <f>IFERROR(__xludf.DUMMYFUNCTION("""COMPUTED_VALUE"""),"Baseline")</f>
        <v>Baseline</v>
      </c>
      <c r="AE58" s="48" t="str">
        <f>IFERROR(__xludf.DUMMYFUNCTION("""COMPUTED_VALUE"""),"Baseline")</f>
        <v>Baseline</v>
      </c>
      <c r="AF58" s="49">
        <f>IFERROR(__xludf.DUMMYFUNCTION("""COMPUTED_VALUE"""),11026.0)</f>
        <v>11026</v>
      </c>
      <c r="AG58" s="49">
        <f>IFERROR(__xludf.DUMMYFUNCTION("""COMPUTED_VALUE"""),12.0)</f>
        <v>12</v>
      </c>
      <c r="AH58" s="49">
        <f>IFERROR(__xludf.DUMMYFUNCTION("""COMPUTED_VALUE"""),7015.0)</f>
        <v>7015</v>
      </c>
      <c r="AI58" s="49">
        <f>IFERROR(__xludf.DUMMYFUNCTION("""COMPUTED_VALUE"""),0.0)</f>
        <v>0</v>
      </c>
      <c r="AJ58" s="37"/>
      <c r="AK58" s="37"/>
      <c r="AL58" s="37"/>
      <c r="AM58" s="49">
        <f>IFERROR(__xludf.DUMMYFUNCTION("""COMPUTED_VALUE"""),2005.0)</f>
        <v>2005</v>
      </c>
      <c r="AN58" s="49">
        <f>IFERROR(__xludf.DUMMYFUNCTION("""COMPUTED_VALUE"""),1002.0)</f>
        <v>1002</v>
      </c>
      <c r="AO58" s="49">
        <f>IFERROR(__xludf.DUMMYFUNCTION("""COMPUTED_VALUE"""),1002.0)</f>
        <v>1002</v>
      </c>
      <c r="AP58" s="49">
        <f>IFERROR(__xludf.DUMMYFUNCTION("""COMPUTED_VALUE"""),1002.0)</f>
        <v>1002</v>
      </c>
      <c r="AQ58" s="49">
        <f>IFERROR(__xludf.DUMMYFUNCTION("""COMPUTED_VALUE"""),1002.0)</f>
        <v>1002</v>
      </c>
      <c r="AR58" s="49">
        <f>IFERROR(__xludf.DUMMYFUNCTION("""COMPUTED_VALUE"""),1002.0)</f>
        <v>1002</v>
      </c>
      <c r="AS58" s="49">
        <f>IFERROR(__xludf.DUMMYFUNCTION("""COMPUTED_VALUE"""),1002.0)</f>
        <v>1002</v>
      </c>
      <c r="AT58" s="49">
        <f>IFERROR(__xludf.DUMMYFUNCTION("""COMPUTED_VALUE"""),1002.0)</f>
        <v>1002</v>
      </c>
      <c r="AU58" s="49">
        <f>IFERROR(__xludf.DUMMYFUNCTION("""COMPUTED_VALUE"""),1002.0)</f>
        <v>1002</v>
      </c>
      <c r="AV58" s="49">
        <f>IFERROR(__xludf.DUMMYFUNCTION("""COMPUTED_VALUE"""),1005.0)</f>
        <v>1005</v>
      </c>
      <c r="AW58" s="37"/>
      <c r="AX58" s="37"/>
      <c r="AY58" s="37"/>
      <c r="AZ58" s="37"/>
    </row>
    <row r="59">
      <c r="B59" s="37"/>
      <c r="C59" s="37"/>
      <c r="D59" s="37"/>
      <c r="E59" s="37"/>
      <c r="F59" s="37"/>
      <c r="G59" s="37"/>
      <c r="H59" s="37"/>
      <c r="I59" s="37">
        <f>IFERROR(__xludf.DUMMYFUNCTION("""COMPUTED_VALUE"""),55.0)</f>
        <v>55</v>
      </c>
      <c r="J59" s="37"/>
      <c r="K59" s="37"/>
      <c r="L59" s="37"/>
      <c r="M59" s="37" t="str">
        <f>IFERROR(__xludf.DUMMYFUNCTION("""COMPUTED_VALUE"""),"Journal")</f>
        <v>Journal</v>
      </c>
      <c r="N59" s="45">
        <f>IFERROR(__xludf.DUMMYFUNCTION("""COMPUTED_VALUE"""),45777.0)</f>
        <v>45777</v>
      </c>
      <c r="O59" s="37">
        <f>IFERROR(__xludf.DUMMYFUNCTION("""COMPUTED_VALUE"""),17141.0)</f>
        <v>17141</v>
      </c>
      <c r="P59" s="37"/>
      <c r="Q59" s="37"/>
      <c r="R59" s="37"/>
      <c r="S59" s="37"/>
      <c r="T59" s="37"/>
      <c r="U59" s="37" t="str">
        <f>IFERROR(__xludf.DUMMYFUNCTION("""COMPUTED_VALUE"""),"資廚管理顧問股份有限公司(公司卡)_Cursor 年費_202503 (5/16扣款)(20250330-20260209)(沖)ER5637")</f>
        <v>資廚管理顧問股份有限公司(公司卡)_Cursor 年費_202503 (5/16扣款)(20250330-20260209)(沖)ER5637</v>
      </c>
      <c r="V59" s="37"/>
      <c r="W59" s="37"/>
      <c r="X59" s="37"/>
      <c r="Y59" s="49">
        <f>IFERROR(__xludf.DUMMYFUNCTION("""COMPUTED_VALUE"""),4007.0)</f>
        <v>4007</v>
      </c>
      <c r="Z59" s="37">
        <f>IFERROR(__xludf.DUMMYFUNCTION("""COMPUTED_VALUE"""),520001.0)</f>
        <v>520001</v>
      </c>
      <c r="AA59" s="37" t="str">
        <f>IFERROR(__xludf.DUMMYFUNCTION("""COMPUTED_VALUE"""),"研發中心")</f>
        <v>研發中心</v>
      </c>
      <c r="AB59" s="48" t="str">
        <f>IFERROR(__xludf.DUMMYFUNCTION("""COMPUTED_VALUE"""),"執行長室 : 研發中心 : 軟體工程部")</f>
        <v>執行長室 : 研發中心 : 軟體工程部</v>
      </c>
      <c r="AC59" s="48" t="str">
        <f>IFERROR(__xludf.DUMMYFUNCTION("""COMPUTED_VALUE"""),"No_Product_Line")</f>
        <v>No_Product_Line</v>
      </c>
      <c r="AD59" s="48" t="str">
        <f>IFERROR(__xludf.DUMMYFUNCTION("""COMPUTED_VALUE"""),"Baseline")</f>
        <v>Baseline</v>
      </c>
      <c r="AE59" s="48" t="str">
        <f>IFERROR(__xludf.DUMMYFUNCTION("""COMPUTED_VALUE"""),"Baseline")</f>
        <v>Baseline</v>
      </c>
      <c r="AF59" s="49">
        <f>IFERROR(__xludf.DUMMYFUNCTION("""COMPUTED_VALUE"""),11022.0)</f>
        <v>11022</v>
      </c>
      <c r="AG59" s="49">
        <f>IFERROR(__xludf.DUMMYFUNCTION("""COMPUTED_VALUE"""),11.0)</f>
        <v>11</v>
      </c>
      <c r="AH59" s="49">
        <f>IFERROR(__xludf.DUMMYFUNCTION("""COMPUTED_VALUE"""),7015.0)</f>
        <v>7015</v>
      </c>
      <c r="AI59" s="49">
        <f>IFERROR(__xludf.DUMMYFUNCTION("""COMPUTED_VALUE"""),0.0)</f>
        <v>0</v>
      </c>
      <c r="AJ59" s="37"/>
      <c r="AK59" s="37"/>
      <c r="AL59" s="37"/>
      <c r="AM59" s="49">
        <f>IFERROR(__xludf.DUMMYFUNCTION("""COMPUTED_VALUE"""),2005.0)</f>
        <v>2005</v>
      </c>
      <c r="AN59" s="49">
        <f>IFERROR(__xludf.DUMMYFUNCTION("""COMPUTED_VALUE"""),1002.0)</f>
        <v>1002</v>
      </c>
      <c r="AO59" s="49">
        <f>IFERROR(__xludf.DUMMYFUNCTION("""COMPUTED_VALUE"""),1002.0)</f>
        <v>1002</v>
      </c>
      <c r="AP59" s="49">
        <f>IFERROR(__xludf.DUMMYFUNCTION("""COMPUTED_VALUE"""),1002.0)</f>
        <v>1002</v>
      </c>
      <c r="AQ59" s="49">
        <f>IFERROR(__xludf.DUMMYFUNCTION("""COMPUTED_VALUE"""),1002.0)</f>
        <v>1002</v>
      </c>
      <c r="AR59" s="49">
        <f>IFERROR(__xludf.DUMMYFUNCTION("""COMPUTED_VALUE"""),1002.0)</f>
        <v>1002</v>
      </c>
      <c r="AS59" s="49">
        <f>IFERROR(__xludf.DUMMYFUNCTION("""COMPUTED_VALUE"""),1002.0)</f>
        <v>1002</v>
      </c>
      <c r="AT59" s="49">
        <f>IFERROR(__xludf.DUMMYFUNCTION("""COMPUTED_VALUE"""),1002.0)</f>
        <v>1002</v>
      </c>
      <c r="AU59" s="49">
        <f>IFERROR(__xludf.DUMMYFUNCTION("""COMPUTED_VALUE"""),1002.0)</f>
        <v>1002</v>
      </c>
      <c r="AV59" s="49">
        <f>IFERROR(__xludf.DUMMYFUNCTION("""COMPUTED_VALUE"""),1001.0)</f>
        <v>1001</v>
      </c>
      <c r="AW59" s="37"/>
      <c r="AX59" s="37"/>
      <c r="AY59" s="37"/>
      <c r="AZ59" s="37"/>
    </row>
    <row r="60">
      <c r="B60" s="37"/>
      <c r="C60" s="37"/>
      <c r="D60" s="37"/>
      <c r="E60" s="37"/>
      <c r="F60" s="37"/>
      <c r="G60" s="37"/>
      <c r="H60" s="37"/>
      <c r="I60" s="37">
        <f>IFERROR(__xludf.DUMMYFUNCTION("""COMPUTED_VALUE"""),56.0)</f>
        <v>56</v>
      </c>
      <c r="J60" s="37"/>
      <c r="K60" s="37"/>
      <c r="L60" s="37"/>
      <c r="M60" s="37" t="str">
        <f>IFERROR(__xludf.DUMMYFUNCTION("""COMPUTED_VALUE"""),"Journal")</f>
        <v>Journal</v>
      </c>
      <c r="N60" s="45">
        <f>IFERROR(__xludf.DUMMYFUNCTION("""COMPUTED_VALUE"""),45777.0)</f>
        <v>45777</v>
      </c>
      <c r="O60" s="37">
        <f>IFERROR(__xludf.DUMMYFUNCTION("""COMPUTED_VALUE"""),17141.0)</f>
        <v>17141</v>
      </c>
      <c r="P60" s="37"/>
      <c r="Q60" s="37"/>
      <c r="R60" s="37"/>
      <c r="S60" s="37"/>
      <c r="T60" s="37"/>
      <c r="U60" s="37" t="str">
        <f>IFERROR(__xludf.DUMMYFUNCTION("""COMPUTED_VALUE"""),"資廚管理顧問股份有限公司(公司卡) 202504 Cursor 年費(20250413-20260209)(預估)(沖)J17135")</f>
        <v>資廚管理顧問股份有限公司(公司卡) 202504 Cursor 年費(20250413-20260209)(預估)(沖)J17135</v>
      </c>
      <c r="V60" s="37"/>
      <c r="W60" s="37"/>
      <c r="X60" s="37"/>
      <c r="Y60" s="49">
        <f>IFERROR(__xludf.DUMMYFUNCTION("""COMPUTED_VALUE"""),4108.0)</f>
        <v>4108</v>
      </c>
      <c r="Z60" s="37">
        <f>IFERROR(__xludf.DUMMYFUNCTION("""COMPUTED_VALUE"""),520001.0)</f>
        <v>520001</v>
      </c>
      <c r="AA60" s="37" t="str">
        <f>IFERROR(__xludf.DUMMYFUNCTION("""COMPUTED_VALUE"""),"研發中心")</f>
        <v>研發中心</v>
      </c>
      <c r="AB60" s="48" t="str">
        <f>IFERROR(__xludf.DUMMYFUNCTION("""COMPUTED_VALUE"""),"執行長室 : 研發中心 : 軟體工程部")</f>
        <v>執行長室 : 研發中心 : 軟體工程部</v>
      </c>
      <c r="AC60" s="48" t="str">
        <f>IFERROR(__xludf.DUMMYFUNCTION("""COMPUTED_VALUE"""),"No_Product_Line")</f>
        <v>No_Product_Line</v>
      </c>
      <c r="AD60" s="48" t="str">
        <f>IFERROR(__xludf.DUMMYFUNCTION("""COMPUTED_VALUE"""),"Baseline")</f>
        <v>Baseline</v>
      </c>
      <c r="AE60" s="48" t="str">
        <f>IFERROR(__xludf.DUMMYFUNCTION("""COMPUTED_VALUE"""),"Baseline")</f>
        <v>Baseline</v>
      </c>
      <c r="AF60" s="49">
        <f>IFERROR(__xludf.DUMMYFUNCTION("""COMPUTED_VALUE"""),10270.0)</f>
        <v>10270</v>
      </c>
      <c r="AG60" s="49">
        <f>IFERROR(__xludf.DUMMYFUNCTION("""COMPUTED_VALUE"""),10.0)</f>
        <v>10</v>
      </c>
      <c r="AH60" s="49">
        <f>IFERROR(__xludf.DUMMYFUNCTION("""COMPUTED_VALUE"""),6162.0)</f>
        <v>6162</v>
      </c>
      <c r="AI60" s="49">
        <f>IFERROR(__xludf.DUMMYFUNCTION("""COMPUTED_VALUE"""),0.0)</f>
        <v>0</v>
      </c>
      <c r="AJ60" s="37"/>
      <c r="AK60" s="37"/>
      <c r="AL60" s="37"/>
      <c r="AM60" s="49">
        <f>IFERROR(__xludf.DUMMYFUNCTION("""COMPUTED_VALUE"""),1027.0)</f>
        <v>1027</v>
      </c>
      <c r="AN60" s="49">
        <f>IFERROR(__xludf.DUMMYFUNCTION("""COMPUTED_VALUE"""),1027.0)</f>
        <v>1027</v>
      </c>
      <c r="AO60" s="49">
        <f>IFERROR(__xludf.DUMMYFUNCTION("""COMPUTED_VALUE"""),1027.0)</f>
        <v>1027</v>
      </c>
      <c r="AP60" s="49">
        <f>IFERROR(__xludf.DUMMYFUNCTION("""COMPUTED_VALUE"""),1027.0)</f>
        <v>1027</v>
      </c>
      <c r="AQ60" s="49">
        <f>IFERROR(__xludf.DUMMYFUNCTION("""COMPUTED_VALUE"""),1027.0)</f>
        <v>1027</v>
      </c>
      <c r="AR60" s="49">
        <f>IFERROR(__xludf.DUMMYFUNCTION("""COMPUTED_VALUE"""),1027.0)</f>
        <v>1027</v>
      </c>
      <c r="AS60" s="49">
        <f>IFERROR(__xludf.DUMMYFUNCTION("""COMPUTED_VALUE"""),1027.0)</f>
        <v>1027</v>
      </c>
      <c r="AT60" s="49">
        <f>IFERROR(__xludf.DUMMYFUNCTION("""COMPUTED_VALUE"""),1027.0)</f>
        <v>1027</v>
      </c>
      <c r="AU60" s="49">
        <f>IFERROR(__xludf.DUMMYFUNCTION("""COMPUTED_VALUE"""),1027.0)</f>
        <v>1027</v>
      </c>
      <c r="AV60" s="49">
        <f>IFERROR(__xludf.DUMMYFUNCTION("""COMPUTED_VALUE"""),1027.0)</f>
        <v>1027</v>
      </c>
      <c r="AW60" s="37"/>
      <c r="AX60" s="37"/>
      <c r="AY60" s="37"/>
      <c r="AZ60" s="37"/>
    </row>
    <row r="61">
      <c r="B61" s="37"/>
      <c r="C61" s="37"/>
      <c r="D61" s="37"/>
      <c r="E61" s="37"/>
      <c r="F61" s="37"/>
      <c r="G61" s="37"/>
      <c r="H61" s="37"/>
      <c r="I61" s="37">
        <f>IFERROR(__xludf.DUMMYFUNCTION("""COMPUTED_VALUE"""),57.0)</f>
        <v>57</v>
      </c>
      <c r="J61" s="37"/>
      <c r="K61" s="37"/>
      <c r="L61" s="37"/>
      <c r="M61" s="37" t="str">
        <f>IFERROR(__xludf.DUMMYFUNCTION("""COMPUTED_VALUE"""),"Journal")</f>
        <v>Journal</v>
      </c>
      <c r="N61" s="45">
        <f>IFERROR(__xludf.DUMMYFUNCTION("""COMPUTED_VALUE"""),45777.0)</f>
        <v>45777</v>
      </c>
      <c r="O61" s="37">
        <f>IFERROR(__xludf.DUMMYFUNCTION("""COMPUTED_VALUE"""),17141.0)</f>
        <v>17141</v>
      </c>
      <c r="P61" s="37"/>
      <c r="Q61" s="37"/>
      <c r="R61" s="37"/>
      <c r="S61" s="37"/>
      <c r="T61" s="37"/>
      <c r="U61" s="37" t="str">
        <f>IFERROR(__xludf.DUMMYFUNCTION("""COMPUTED_VALUE"""),"資廚管理顧問股份有限公司(公司卡) 202504 Cursor 年費(20250414-20260209(預估)(沖)J17135")</f>
        <v>資廚管理顧問股份有限公司(公司卡) 202504 Cursor 年費(20250414-20260209(預估)(沖)J17135</v>
      </c>
      <c r="V61" s="37"/>
      <c r="W61" s="37"/>
      <c r="X61" s="37"/>
      <c r="Y61" s="49">
        <f>IFERROR(__xludf.DUMMYFUNCTION("""COMPUTED_VALUE"""),4103.0)</f>
        <v>4103</v>
      </c>
      <c r="Z61" s="37">
        <f>IFERROR(__xludf.DUMMYFUNCTION("""COMPUTED_VALUE"""),520001.0)</f>
        <v>520001</v>
      </c>
      <c r="AA61" s="37" t="str">
        <f>IFERROR(__xludf.DUMMYFUNCTION("""COMPUTED_VALUE"""),"研發中心")</f>
        <v>研發中心</v>
      </c>
      <c r="AB61" s="48" t="str">
        <f>IFERROR(__xludf.DUMMYFUNCTION("""COMPUTED_VALUE"""),"執行長室 : 研發中心 : 軟體工程部")</f>
        <v>執行長室 : 研發中心 : 軟體工程部</v>
      </c>
      <c r="AC61" s="48" t="str">
        <f>IFERROR(__xludf.DUMMYFUNCTION("""COMPUTED_VALUE"""),"No_Product_Line")</f>
        <v>No_Product_Line</v>
      </c>
      <c r="AD61" s="48" t="str">
        <f>IFERROR(__xludf.DUMMYFUNCTION("""COMPUTED_VALUE"""),"Baseline")</f>
        <v>Baseline</v>
      </c>
      <c r="AE61" s="48" t="str">
        <f>IFERROR(__xludf.DUMMYFUNCTION("""COMPUTED_VALUE"""),"Baseline")</f>
        <v>Baseline</v>
      </c>
      <c r="AF61" s="49">
        <f>IFERROR(__xludf.DUMMYFUNCTION("""COMPUTED_VALUE"""),10265.0)</f>
        <v>10265</v>
      </c>
      <c r="AG61" s="49">
        <f>IFERROR(__xludf.DUMMYFUNCTION("""COMPUTED_VALUE"""),10.0)</f>
        <v>10</v>
      </c>
      <c r="AH61" s="49">
        <f>IFERROR(__xludf.DUMMYFUNCTION("""COMPUTED_VALUE"""),6162.0)</f>
        <v>6162</v>
      </c>
      <c r="AI61" s="49">
        <f>IFERROR(__xludf.DUMMYFUNCTION("""COMPUTED_VALUE"""),0.0)</f>
        <v>0</v>
      </c>
      <c r="AJ61" s="37"/>
      <c r="AK61" s="37"/>
      <c r="AL61" s="37"/>
      <c r="AM61" s="49">
        <f>IFERROR(__xludf.DUMMYFUNCTION("""COMPUTED_VALUE"""),1027.0)</f>
        <v>1027</v>
      </c>
      <c r="AN61" s="49">
        <f>IFERROR(__xludf.DUMMYFUNCTION("""COMPUTED_VALUE"""),1027.0)</f>
        <v>1027</v>
      </c>
      <c r="AO61" s="49">
        <f>IFERROR(__xludf.DUMMYFUNCTION("""COMPUTED_VALUE"""),1027.0)</f>
        <v>1027</v>
      </c>
      <c r="AP61" s="49">
        <f>IFERROR(__xludf.DUMMYFUNCTION("""COMPUTED_VALUE"""),1027.0)</f>
        <v>1027</v>
      </c>
      <c r="AQ61" s="49">
        <f>IFERROR(__xludf.DUMMYFUNCTION("""COMPUTED_VALUE"""),1027.0)</f>
        <v>1027</v>
      </c>
      <c r="AR61" s="49">
        <f>IFERROR(__xludf.DUMMYFUNCTION("""COMPUTED_VALUE"""),1027.0)</f>
        <v>1027</v>
      </c>
      <c r="AS61" s="49">
        <f>IFERROR(__xludf.DUMMYFUNCTION("""COMPUTED_VALUE"""),1027.0)</f>
        <v>1027</v>
      </c>
      <c r="AT61" s="49">
        <f>IFERROR(__xludf.DUMMYFUNCTION("""COMPUTED_VALUE"""),1027.0)</f>
        <v>1027</v>
      </c>
      <c r="AU61" s="49">
        <f>IFERROR(__xludf.DUMMYFUNCTION("""COMPUTED_VALUE"""),1027.0)</f>
        <v>1027</v>
      </c>
      <c r="AV61" s="49">
        <f>IFERROR(__xludf.DUMMYFUNCTION("""COMPUTED_VALUE"""),1022.0)</f>
        <v>1022</v>
      </c>
      <c r="AW61" s="37"/>
      <c r="AX61" s="37"/>
      <c r="AY61" s="37"/>
      <c r="AZ61" s="37"/>
    </row>
    <row r="62">
      <c r="B62" s="37"/>
      <c r="C62" s="37"/>
      <c r="D62" s="37"/>
      <c r="E62" s="37"/>
      <c r="F62" s="37"/>
      <c r="G62" s="37"/>
      <c r="H62" s="37"/>
      <c r="I62" s="37">
        <f>IFERROR(__xludf.DUMMYFUNCTION("""COMPUTED_VALUE"""),58.0)</f>
        <v>58</v>
      </c>
      <c r="J62" s="37"/>
      <c r="K62" s="37"/>
      <c r="L62" s="37"/>
      <c r="M62" s="37" t="str">
        <f>IFERROR(__xludf.DUMMYFUNCTION("""COMPUTED_VALUE"""),"Journal")</f>
        <v>Journal</v>
      </c>
      <c r="N62" s="45">
        <f>IFERROR(__xludf.DUMMYFUNCTION("""COMPUTED_VALUE"""),45790.0)</f>
        <v>45790</v>
      </c>
      <c r="O62" s="37">
        <f>IFERROR(__xludf.DUMMYFUNCTION("""COMPUTED_VALUE"""),17308.0)</f>
        <v>17308</v>
      </c>
      <c r="P62" s="37"/>
      <c r="Q62" s="37"/>
      <c r="R62" s="37"/>
      <c r="S62" s="37"/>
      <c r="T62" s="37"/>
      <c r="U62" s="37" t="str">
        <f>IFERROR(__xludf.DUMMYFUNCTION("""COMPUTED_VALUE"""),"資廚管理顧問股份有限公司(公司卡)_202505_客服群發信件工具YET ANOTHER MAIL (20250507-20260507)")</f>
        <v>資廚管理顧問股份有限公司(公司卡)_202505_客服群發信件工具YET ANOTHER MAIL (20250507-20260507)</v>
      </c>
      <c r="V62" s="37"/>
      <c r="W62" s="37"/>
      <c r="X62" s="37"/>
      <c r="Y62" s="49">
        <f>IFERROR(__xludf.DUMMYFUNCTION("""COMPUTED_VALUE"""),697.0)</f>
        <v>697</v>
      </c>
      <c r="Z62" s="37">
        <f>IFERROR(__xludf.DUMMYFUNCTION("""COMPUTED_VALUE"""),520001.0)</f>
        <v>520001</v>
      </c>
      <c r="AA62" s="37" t="str">
        <f>IFERROR(__xludf.DUMMYFUNCTION("""COMPUTED_VALUE"""),"客戶價值中心")</f>
        <v>客戶價值中心</v>
      </c>
      <c r="AB62" s="48" t="str">
        <f>IFERROR(__xludf.DUMMYFUNCTION("""COMPUTED_VALUE"""),"執行長室 : 客戶價值中心 : 客戶關係管理部 : 客服團隊 POS/OMO")</f>
        <v>執行長室 : 客戶價值中心 : 客戶關係管理部 : 客服團隊 POS/OMO</v>
      </c>
      <c r="AC62" s="48" t="str">
        <f>IFERROR(__xludf.DUMMYFUNCTION("""COMPUTED_VALUE"""),"No_Product_Line")</f>
        <v>No_Product_Line</v>
      </c>
      <c r="AD62" s="48" t="str">
        <f>IFERROR(__xludf.DUMMYFUNCTION("""COMPUTED_VALUE"""),"Baseline")</f>
        <v>Baseline</v>
      </c>
      <c r="AE62" s="48" t="str">
        <f>IFERROR(__xludf.DUMMYFUNCTION("""COMPUTED_VALUE"""),"Baseline")</f>
        <v>Baseline</v>
      </c>
      <c r="AF62" s="49">
        <f>IFERROR(__xludf.DUMMYFUNCTION("""COMPUTED_VALUE"""),1197.0)</f>
        <v>1197</v>
      </c>
      <c r="AG62" s="49">
        <f>IFERROR(__xludf.DUMMYFUNCTION("""COMPUTED_VALUE"""),12.0)</f>
        <v>12</v>
      </c>
      <c r="AH62" s="49">
        <f>IFERROR(__xludf.DUMMYFUNCTION("""COMPUTED_VALUE"""),500.0)</f>
        <v>500</v>
      </c>
      <c r="AI62" s="49">
        <f>IFERROR(__xludf.DUMMYFUNCTION("""COMPUTED_VALUE"""),0.0)</f>
        <v>0</v>
      </c>
      <c r="AJ62" s="37"/>
      <c r="AK62" s="37"/>
      <c r="AL62" s="37"/>
      <c r="AM62" s="37"/>
      <c r="AN62" s="49">
        <f>IFERROR(__xludf.DUMMYFUNCTION("""COMPUTED_VALUE"""),100.0)</f>
        <v>100</v>
      </c>
      <c r="AO62" s="49">
        <f>IFERROR(__xludf.DUMMYFUNCTION("""COMPUTED_VALUE"""),100.0)</f>
        <v>100</v>
      </c>
      <c r="AP62" s="49">
        <f>IFERROR(__xludf.DUMMYFUNCTION("""COMPUTED_VALUE"""),100.0)</f>
        <v>100</v>
      </c>
      <c r="AQ62" s="49">
        <f>IFERROR(__xludf.DUMMYFUNCTION("""COMPUTED_VALUE"""),100.0)</f>
        <v>100</v>
      </c>
      <c r="AR62" s="49">
        <f>IFERROR(__xludf.DUMMYFUNCTION("""COMPUTED_VALUE"""),100.0)</f>
        <v>100</v>
      </c>
      <c r="AS62" s="49">
        <f>IFERROR(__xludf.DUMMYFUNCTION("""COMPUTED_VALUE"""),100.0)</f>
        <v>100</v>
      </c>
      <c r="AT62" s="49">
        <f>IFERROR(__xludf.DUMMYFUNCTION("""COMPUTED_VALUE"""),100.0)</f>
        <v>100</v>
      </c>
      <c r="AU62" s="49">
        <f>IFERROR(__xludf.DUMMYFUNCTION("""COMPUTED_VALUE"""),100.0)</f>
        <v>100</v>
      </c>
      <c r="AV62" s="49">
        <f>IFERROR(__xludf.DUMMYFUNCTION("""COMPUTED_VALUE"""),100.0)</f>
        <v>100</v>
      </c>
      <c r="AW62" s="49">
        <f>IFERROR(__xludf.DUMMYFUNCTION("""COMPUTED_VALUE"""),100.0)</f>
        <v>100</v>
      </c>
      <c r="AX62" s="49">
        <f>IFERROR(__xludf.DUMMYFUNCTION("""COMPUTED_VALUE"""),100.0)</f>
        <v>100</v>
      </c>
      <c r="AY62" s="49">
        <f>IFERROR(__xludf.DUMMYFUNCTION("""COMPUTED_VALUE"""),97.0)</f>
        <v>97</v>
      </c>
      <c r="AZ62" s="37"/>
    </row>
    <row r="63">
      <c r="B63" s="37"/>
      <c r="C63" s="37"/>
      <c r="D63" s="37"/>
      <c r="E63" s="37"/>
      <c r="F63" s="37"/>
      <c r="G63" s="37"/>
      <c r="H63" s="37"/>
      <c r="I63" s="37">
        <f>IFERROR(__xludf.DUMMYFUNCTION("""COMPUTED_VALUE"""),59.0)</f>
        <v>59</v>
      </c>
      <c r="J63" s="37" t="str">
        <f>IFERROR(__xludf.DUMMYFUNCTION("""COMPUTED_VALUE"""),"Y")</f>
        <v>Y</v>
      </c>
      <c r="K63" s="37" t="str">
        <f>IFERROR(__xludf.DUMMYFUNCTION("""COMPUTED_VALUE"""),"Y")</f>
        <v>Y</v>
      </c>
      <c r="L63" s="37"/>
      <c r="M63" s="37" t="str">
        <f>IFERROR(__xludf.DUMMYFUNCTION("""COMPUTED_VALUE"""),"Journal")</f>
        <v>Journal</v>
      </c>
      <c r="N63" s="45">
        <f>IFERROR(__xludf.DUMMYFUNCTION("""COMPUTED_VALUE"""),45790.0)</f>
        <v>45790</v>
      </c>
      <c r="O63" s="37">
        <f>IFERROR(__xludf.DUMMYFUNCTION("""COMPUTED_VALUE"""),17308.0)</f>
        <v>17308</v>
      </c>
      <c r="P63" s="37"/>
      <c r="Q63" s="37"/>
      <c r="R63" s="37"/>
      <c r="S63" s="37"/>
      <c r="T63" s="37"/>
      <c r="U63" s="37" t="str">
        <f>IFERROR(__xludf.DUMMYFUNCTION("""COMPUTED_VALUE"""),"資廚管理顧問股份有限公司(公司卡)_202505_稽核採購Adobe Standard DC (20250506- 20251123)")</f>
        <v>資廚管理顧問股份有限公司(公司卡)_202505_稽核採購Adobe Standard DC (20250506- 20251123)</v>
      </c>
      <c r="V63" s="37"/>
      <c r="W63" s="37"/>
      <c r="X63" s="37"/>
      <c r="Y63" s="49">
        <f>IFERROR(__xludf.DUMMYFUNCTION("""COMPUTED_VALUE"""),567.0)</f>
        <v>567</v>
      </c>
      <c r="Z63" s="37">
        <f>IFERROR(__xludf.DUMMYFUNCTION("""COMPUTED_VALUE"""),613201.0)</f>
        <v>613201</v>
      </c>
      <c r="AA63" s="37" t="str">
        <f>IFERROR(__xludf.DUMMYFUNCTION("""COMPUTED_VALUE"""),"執行長室")</f>
        <v>執行長室</v>
      </c>
      <c r="AB63" s="48" t="str">
        <f>IFERROR(__xludf.DUMMYFUNCTION("""COMPUTED_VALUE"""),"執行長室 : 稽核部")</f>
        <v>執行長室 : 稽核部</v>
      </c>
      <c r="AC63" s="48" t="str">
        <f>IFERROR(__xludf.DUMMYFUNCTION("""COMPUTED_VALUE"""),"No_Product_Line")</f>
        <v>No_Product_Line</v>
      </c>
      <c r="AD63" s="48" t="str">
        <f>IFERROR(__xludf.DUMMYFUNCTION("""COMPUTED_VALUE"""),"Baseline")</f>
        <v>Baseline</v>
      </c>
      <c r="AE63" s="48" t="str">
        <f>IFERROR(__xludf.DUMMYFUNCTION("""COMPUTED_VALUE"""),"Baseline")</f>
        <v>Baseline</v>
      </c>
      <c r="AF63" s="49">
        <f>IFERROR(__xludf.DUMMYFUNCTION("""COMPUTED_VALUE"""),3387.0)</f>
        <v>3387</v>
      </c>
      <c r="AG63" s="49">
        <f>IFERROR(__xludf.DUMMYFUNCTION("""COMPUTED_VALUE"""),7.0)</f>
        <v>7</v>
      </c>
      <c r="AH63" s="49">
        <f>IFERROR(__xludf.DUMMYFUNCTION("""COMPUTED_VALUE"""),2820.0)</f>
        <v>2820</v>
      </c>
      <c r="AI63" s="49">
        <f>IFERROR(__xludf.DUMMYFUNCTION("""COMPUTED_VALUE"""),0.0)</f>
        <v>0</v>
      </c>
      <c r="AJ63" s="37"/>
      <c r="AK63" s="37"/>
      <c r="AL63" s="37"/>
      <c r="AM63" s="37"/>
      <c r="AN63" s="49">
        <f>IFERROR(__xludf.DUMMYFUNCTION("""COMPUTED_VALUE"""),564.0)</f>
        <v>564</v>
      </c>
      <c r="AO63" s="49">
        <f>IFERROR(__xludf.DUMMYFUNCTION("""COMPUTED_VALUE"""),564.0)</f>
        <v>564</v>
      </c>
      <c r="AP63" s="49">
        <f>IFERROR(__xludf.DUMMYFUNCTION("""COMPUTED_VALUE"""),564.0)</f>
        <v>564</v>
      </c>
      <c r="AQ63" s="49">
        <f>IFERROR(__xludf.DUMMYFUNCTION("""COMPUTED_VALUE"""),564.0)</f>
        <v>564</v>
      </c>
      <c r="AR63" s="49">
        <f>IFERROR(__xludf.DUMMYFUNCTION("""COMPUTED_VALUE"""),564.0)</f>
        <v>564</v>
      </c>
      <c r="AS63" s="49">
        <f>IFERROR(__xludf.DUMMYFUNCTION("""COMPUTED_VALUE"""),567.0)</f>
        <v>567</v>
      </c>
      <c r="AT63" s="37"/>
      <c r="AU63" s="37"/>
      <c r="AV63" s="37"/>
      <c r="AW63" s="37"/>
      <c r="AX63" s="37"/>
      <c r="AY63" s="37"/>
      <c r="AZ63" s="37"/>
    </row>
    <row r="64">
      <c r="B64" s="37"/>
      <c r="C64" s="37"/>
      <c r="D64" s="37"/>
      <c r="E64" s="37"/>
      <c r="F64" s="37"/>
      <c r="G64" s="37"/>
      <c r="H64" s="37"/>
      <c r="I64" s="37">
        <f>IFERROR(__xludf.DUMMYFUNCTION("""COMPUTED_VALUE"""),60.0)</f>
        <v>60</v>
      </c>
      <c r="J64" s="37"/>
      <c r="K64" s="37"/>
      <c r="L64" s="37"/>
      <c r="M64" s="37" t="str">
        <f>IFERROR(__xludf.DUMMYFUNCTION("""COMPUTED_VALUE"""),"Journal")</f>
        <v>Journal</v>
      </c>
      <c r="N64" s="45">
        <f>IFERROR(__xludf.DUMMYFUNCTION("""COMPUTED_VALUE"""),45790.0)</f>
        <v>45790</v>
      </c>
      <c r="O64" s="37">
        <f>IFERROR(__xludf.DUMMYFUNCTION("""COMPUTED_VALUE"""),17308.0)</f>
        <v>17308</v>
      </c>
      <c r="P64" s="37"/>
      <c r="Q64" s="37"/>
      <c r="R64" s="37"/>
      <c r="S64" s="37"/>
      <c r="T64" s="37"/>
      <c r="U64" s="37" t="str">
        <f>IFERROR(__xludf.DUMMYFUNCTION("""COMPUTED_VALUE"""),"資廚管理顧問股份有限公司(公司卡)_202504_Whimsical 年費(20250424-20260424)")</f>
        <v>資廚管理顧問股份有限公司(公司卡)_202504_Whimsical 年費(20250424-20260424)</v>
      </c>
      <c r="V64" s="37"/>
      <c r="W64" s="37"/>
      <c r="X64" s="37"/>
      <c r="Y64" s="49">
        <f>IFERROR(__xludf.DUMMYFUNCTION("""COMPUTED_VALUE"""),1955.0)</f>
        <v>1955</v>
      </c>
      <c r="Z64" s="37">
        <f>IFERROR(__xludf.DUMMYFUNCTION("""COMPUTED_VALUE"""),520001.0)</f>
        <v>520001</v>
      </c>
      <c r="AA64" s="37" t="str">
        <f>IFERROR(__xludf.DUMMYFUNCTION("""COMPUTED_VALUE"""),"研發中心")</f>
        <v>研發中心</v>
      </c>
      <c r="AB64" s="48" t="str">
        <f>IFERROR(__xludf.DUMMYFUNCTION("""COMPUTED_VALUE"""),"執行長室 : 研發中心 : 軟體工程部")</f>
        <v>執行長室 : 研發中心 : 軟體工程部</v>
      </c>
      <c r="AC64" s="48" t="str">
        <f>IFERROR(__xludf.DUMMYFUNCTION("""COMPUTED_VALUE"""),"No_Product_Line")</f>
        <v>No_Product_Line</v>
      </c>
      <c r="AD64" s="48" t="str">
        <f>IFERROR(__xludf.DUMMYFUNCTION("""COMPUTED_VALUE"""),"Baseline")</f>
        <v>Baseline</v>
      </c>
      <c r="AE64" s="48" t="str">
        <f>IFERROR(__xludf.DUMMYFUNCTION("""COMPUTED_VALUE"""),"Baseline")</f>
        <v>Baseline</v>
      </c>
      <c r="AF64" s="49">
        <f>IFERROR(__xludf.DUMMYFUNCTION("""COMPUTED_VALUE"""),3907.0)</f>
        <v>3907</v>
      </c>
      <c r="AG64" s="49">
        <f>IFERROR(__xludf.DUMMYFUNCTION("""COMPUTED_VALUE"""),12.0)</f>
        <v>12</v>
      </c>
      <c r="AH64" s="49">
        <f>IFERROR(__xludf.DUMMYFUNCTION("""COMPUTED_VALUE"""),1952.0)</f>
        <v>1952</v>
      </c>
      <c r="AI64" s="49">
        <f>IFERROR(__xludf.DUMMYFUNCTION("""COMPUTED_VALUE"""),0.0)</f>
        <v>0</v>
      </c>
      <c r="AJ64" s="37"/>
      <c r="AK64" s="37"/>
      <c r="AL64" s="37"/>
      <c r="AM64" s="37"/>
      <c r="AN64" s="49">
        <f>IFERROR(__xludf.DUMMYFUNCTION("""COMPUTED_VALUE"""),652.0)</f>
        <v>652</v>
      </c>
      <c r="AO64" s="49">
        <f>IFERROR(__xludf.DUMMYFUNCTION("""COMPUTED_VALUE"""),325.0)</f>
        <v>325</v>
      </c>
      <c r="AP64" s="49">
        <f>IFERROR(__xludf.DUMMYFUNCTION("""COMPUTED_VALUE"""),325.0)</f>
        <v>325</v>
      </c>
      <c r="AQ64" s="49">
        <f>IFERROR(__xludf.DUMMYFUNCTION("""COMPUTED_VALUE"""),325.0)</f>
        <v>325</v>
      </c>
      <c r="AR64" s="49">
        <f>IFERROR(__xludf.DUMMYFUNCTION("""COMPUTED_VALUE"""),325.0)</f>
        <v>325</v>
      </c>
      <c r="AS64" s="49">
        <f>IFERROR(__xludf.DUMMYFUNCTION("""COMPUTED_VALUE"""),325.0)</f>
        <v>325</v>
      </c>
      <c r="AT64" s="49">
        <f>IFERROR(__xludf.DUMMYFUNCTION("""COMPUTED_VALUE"""),325.0)</f>
        <v>325</v>
      </c>
      <c r="AU64" s="49">
        <f>IFERROR(__xludf.DUMMYFUNCTION("""COMPUTED_VALUE"""),325.0)</f>
        <v>325</v>
      </c>
      <c r="AV64" s="49">
        <f>IFERROR(__xludf.DUMMYFUNCTION("""COMPUTED_VALUE"""),325.0)</f>
        <v>325</v>
      </c>
      <c r="AW64" s="49">
        <f>IFERROR(__xludf.DUMMYFUNCTION("""COMPUTED_VALUE"""),325.0)</f>
        <v>325</v>
      </c>
      <c r="AX64" s="49">
        <f>IFERROR(__xludf.DUMMYFUNCTION("""COMPUTED_VALUE"""),330.0)</f>
        <v>330</v>
      </c>
      <c r="AY64" s="37"/>
      <c r="AZ64" s="37"/>
    </row>
    <row r="65">
      <c r="B65" s="37"/>
      <c r="C65" s="37"/>
      <c r="D65" s="37"/>
      <c r="E65" s="37"/>
      <c r="F65" s="37"/>
      <c r="G65" s="37"/>
      <c r="H65" s="37"/>
      <c r="I65" s="37">
        <f>IFERROR(__xludf.DUMMYFUNCTION("""COMPUTED_VALUE"""),61.0)</f>
        <v>61</v>
      </c>
      <c r="J65" s="37"/>
      <c r="K65" s="37"/>
      <c r="L65" s="37"/>
      <c r="M65" s="37" t="str">
        <f>IFERROR(__xludf.DUMMYFUNCTION("""COMPUTED_VALUE"""),"Journal")</f>
        <v>Journal</v>
      </c>
      <c r="N65" s="45">
        <f>IFERROR(__xludf.DUMMYFUNCTION("""COMPUTED_VALUE"""),45790.0)</f>
        <v>45790</v>
      </c>
      <c r="O65" s="37">
        <f>IFERROR(__xludf.DUMMYFUNCTION("""COMPUTED_VALUE"""),17308.0)</f>
        <v>17308</v>
      </c>
      <c r="P65" s="37"/>
      <c r="Q65" s="37"/>
      <c r="R65" s="37"/>
      <c r="S65" s="37"/>
      <c r="T65" s="37"/>
      <c r="U65" s="37" t="str">
        <f>IFERROR(__xludf.DUMMYFUNCTION("""COMPUTED_VALUE"""),"資廚管理顧問股份有限公司(公司卡)_202504_Sentry年繳帳單 (20250526-20260526)")</f>
        <v>資廚管理顧問股份有限公司(公司卡)_202504_Sentry年繳帳單 (20250526-20260526)</v>
      </c>
      <c r="V65" s="37"/>
      <c r="W65" s="37"/>
      <c r="X65" s="37"/>
      <c r="Y65" s="49">
        <f>IFERROR(__xludf.DUMMYFUNCTION("""COMPUTED_VALUE"""),5448.0)</f>
        <v>5448</v>
      </c>
      <c r="Z65" s="37">
        <f>IFERROR(__xludf.DUMMYFUNCTION("""COMPUTED_VALUE"""),520001.0)</f>
        <v>520001</v>
      </c>
      <c r="AA65" s="37" t="str">
        <f>IFERROR(__xludf.DUMMYFUNCTION("""COMPUTED_VALUE"""),"研發中心")</f>
        <v>研發中心</v>
      </c>
      <c r="AB65" s="48" t="str">
        <f>IFERROR(__xludf.DUMMYFUNCTION("""COMPUTED_VALUE"""),"執行長室 : 研發中心 : 軟體工程部")</f>
        <v>執行長室 : 研發中心 : 軟體工程部</v>
      </c>
      <c r="AC65" s="48" t="str">
        <f>IFERROR(__xludf.DUMMYFUNCTION("""COMPUTED_VALUE"""),"No_Product_Line")</f>
        <v>No_Product_Line</v>
      </c>
      <c r="AD65" s="48" t="str">
        <f>IFERROR(__xludf.DUMMYFUNCTION("""COMPUTED_VALUE"""),"Baseline")</f>
        <v>Baseline</v>
      </c>
      <c r="AE65" s="48" t="str">
        <f>IFERROR(__xludf.DUMMYFUNCTION("""COMPUTED_VALUE"""),"Baseline")</f>
        <v>Baseline</v>
      </c>
      <c r="AF65" s="49">
        <f>IFERROR(__xludf.DUMMYFUNCTION("""COMPUTED_VALUE"""),9346.0)</f>
        <v>9346</v>
      </c>
      <c r="AG65" s="49">
        <f>IFERROR(__xludf.DUMMYFUNCTION("""COMPUTED_VALUE"""),12.0)</f>
        <v>12</v>
      </c>
      <c r="AH65" s="49">
        <f>IFERROR(__xludf.DUMMYFUNCTION("""COMPUTED_VALUE"""),3898.0)</f>
        <v>3898</v>
      </c>
      <c r="AI65" s="49">
        <f>IFERROR(__xludf.DUMMYFUNCTION("""COMPUTED_VALUE"""),0.0)</f>
        <v>0</v>
      </c>
      <c r="AJ65" s="37"/>
      <c r="AK65" s="37"/>
      <c r="AL65" s="37"/>
      <c r="AM65" s="37"/>
      <c r="AN65" s="49">
        <f>IFERROR(__xludf.DUMMYFUNCTION("""COMPUTED_VALUE"""),782.0)</f>
        <v>782</v>
      </c>
      <c r="AO65" s="49">
        <f>IFERROR(__xludf.DUMMYFUNCTION("""COMPUTED_VALUE"""),779.0)</f>
        <v>779</v>
      </c>
      <c r="AP65" s="49">
        <f>IFERROR(__xludf.DUMMYFUNCTION("""COMPUTED_VALUE"""),779.0)</f>
        <v>779</v>
      </c>
      <c r="AQ65" s="49">
        <f>IFERROR(__xludf.DUMMYFUNCTION("""COMPUTED_VALUE"""),779.0)</f>
        <v>779</v>
      </c>
      <c r="AR65" s="49">
        <f>IFERROR(__xludf.DUMMYFUNCTION("""COMPUTED_VALUE"""),779.0)</f>
        <v>779</v>
      </c>
      <c r="AS65" s="49">
        <f>IFERROR(__xludf.DUMMYFUNCTION("""COMPUTED_VALUE"""),779.0)</f>
        <v>779</v>
      </c>
      <c r="AT65" s="49">
        <f>IFERROR(__xludf.DUMMYFUNCTION("""COMPUTED_VALUE"""),779.0)</f>
        <v>779</v>
      </c>
      <c r="AU65" s="49">
        <f>IFERROR(__xludf.DUMMYFUNCTION("""COMPUTED_VALUE"""),779.0)</f>
        <v>779</v>
      </c>
      <c r="AV65" s="49">
        <f>IFERROR(__xludf.DUMMYFUNCTION("""COMPUTED_VALUE"""),779.0)</f>
        <v>779</v>
      </c>
      <c r="AW65" s="49">
        <f>IFERROR(__xludf.DUMMYFUNCTION("""COMPUTED_VALUE"""),779.0)</f>
        <v>779</v>
      </c>
      <c r="AX65" s="49">
        <f>IFERROR(__xludf.DUMMYFUNCTION("""COMPUTED_VALUE"""),779.0)</f>
        <v>779</v>
      </c>
      <c r="AY65" s="49">
        <f>IFERROR(__xludf.DUMMYFUNCTION("""COMPUTED_VALUE"""),774.0)</f>
        <v>774</v>
      </c>
      <c r="AZ65" s="37"/>
    </row>
    <row r="66">
      <c r="B66" s="37"/>
      <c r="C66" s="37"/>
      <c r="D66" s="37"/>
      <c r="E66" s="37"/>
      <c r="F66" s="37"/>
      <c r="G66" s="37"/>
      <c r="H66" s="37"/>
      <c r="I66" s="37">
        <f>IFERROR(__xludf.DUMMYFUNCTION("""COMPUTED_VALUE"""),62.0)</f>
        <v>62</v>
      </c>
      <c r="J66" s="37"/>
      <c r="K66" s="37"/>
      <c r="L66" s="37"/>
      <c r="M66" s="37" t="str">
        <f>IFERROR(__xludf.DUMMYFUNCTION("""COMPUTED_VALUE"""),"Journal")</f>
        <v>Journal</v>
      </c>
      <c r="N66" s="45">
        <f>IFERROR(__xludf.DUMMYFUNCTION("""COMPUTED_VALUE"""),45790.0)</f>
        <v>45790</v>
      </c>
      <c r="O66" s="37">
        <f>IFERROR(__xludf.DUMMYFUNCTION("""COMPUTED_VALUE"""),17308.0)</f>
        <v>17308</v>
      </c>
      <c r="P66" s="37"/>
      <c r="Q66" s="37"/>
      <c r="R66" s="37"/>
      <c r="S66" s="37"/>
      <c r="T66" s="37"/>
      <c r="U66" s="37" t="str">
        <f>IFERROR(__xludf.DUMMYFUNCTION("""COMPUTED_VALUE"""),"資廚管理顧問股份有限公司(公司卡)_Cursor 年費_202504(20250424-20260209)")</f>
        <v>資廚管理顧問股份有限公司(公司卡)_Cursor 年費_202504(20250424-20260209)</v>
      </c>
      <c r="V66" s="37"/>
      <c r="W66" s="37"/>
      <c r="X66" s="37"/>
      <c r="Y66" s="49">
        <f>IFERROR(__xludf.DUMMYFUNCTION("""COMPUTED_VALUE"""),3977.0)</f>
        <v>3977</v>
      </c>
      <c r="Z66" s="37">
        <f>IFERROR(__xludf.DUMMYFUNCTION("""COMPUTED_VALUE"""),520001.0)</f>
        <v>520001</v>
      </c>
      <c r="AA66" s="37" t="str">
        <f>IFERROR(__xludf.DUMMYFUNCTION("""COMPUTED_VALUE"""),"研發中心")</f>
        <v>研發中心</v>
      </c>
      <c r="AB66" s="48" t="str">
        <f>IFERROR(__xludf.DUMMYFUNCTION("""COMPUTED_VALUE"""),"執行長室 : 研發中心 : 軟體工程部")</f>
        <v>執行長室 : 研發中心 : 軟體工程部</v>
      </c>
      <c r="AC66" s="48" t="str">
        <f>IFERROR(__xludf.DUMMYFUNCTION("""COMPUTED_VALUE"""),"No_Product_Line")</f>
        <v>No_Product_Line</v>
      </c>
      <c r="AD66" s="48" t="str">
        <f>IFERROR(__xludf.DUMMYFUNCTION("""COMPUTED_VALUE"""),"Baseline")</f>
        <v>Baseline</v>
      </c>
      <c r="AE66" s="48" t="str">
        <f>IFERROR(__xludf.DUMMYFUNCTION("""COMPUTED_VALUE"""),"Baseline")</f>
        <v>Baseline</v>
      </c>
      <c r="AF66" s="49">
        <f>IFERROR(__xludf.DUMMYFUNCTION("""COMPUTED_VALUE"""),9947.0)</f>
        <v>9947</v>
      </c>
      <c r="AG66" s="49">
        <f>IFERROR(__xludf.DUMMYFUNCTION("""COMPUTED_VALUE"""),10.0)</f>
        <v>10</v>
      </c>
      <c r="AH66" s="49">
        <f>IFERROR(__xludf.DUMMYFUNCTION("""COMPUTED_VALUE"""),5970.0)</f>
        <v>5970</v>
      </c>
      <c r="AI66" s="49">
        <f>IFERROR(__xludf.DUMMYFUNCTION("""COMPUTED_VALUE"""),0.0)</f>
        <v>0</v>
      </c>
      <c r="AJ66" s="37"/>
      <c r="AK66" s="37"/>
      <c r="AL66" s="37"/>
      <c r="AM66" s="37"/>
      <c r="AN66" s="49">
        <f>IFERROR(__xludf.DUMMYFUNCTION("""COMPUTED_VALUE"""),1990.0)</f>
        <v>1990</v>
      </c>
      <c r="AO66" s="49">
        <f>IFERROR(__xludf.DUMMYFUNCTION("""COMPUTED_VALUE"""),995.0)</f>
        <v>995</v>
      </c>
      <c r="AP66" s="49">
        <f>IFERROR(__xludf.DUMMYFUNCTION("""COMPUTED_VALUE"""),995.0)</f>
        <v>995</v>
      </c>
      <c r="AQ66" s="49">
        <f>IFERROR(__xludf.DUMMYFUNCTION("""COMPUTED_VALUE"""),995.0)</f>
        <v>995</v>
      </c>
      <c r="AR66" s="49">
        <f>IFERROR(__xludf.DUMMYFUNCTION("""COMPUTED_VALUE"""),995.0)</f>
        <v>995</v>
      </c>
      <c r="AS66" s="49">
        <f>IFERROR(__xludf.DUMMYFUNCTION("""COMPUTED_VALUE"""),995.0)</f>
        <v>995</v>
      </c>
      <c r="AT66" s="49">
        <f>IFERROR(__xludf.DUMMYFUNCTION("""COMPUTED_VALUE"""),995.0)</f>
        <v>995</v>
      </c>
      <c r="AU66" s="49">
        <f>IFERROR(__xludf.DUMMYFUNCTION("""COMPUTED_VALUE"""),995.0)</f>
        <v>995</v>
      </c>
      <c r="AV66" s="49">
        <f>IFERROR(__xludf.DUMMYFUNCTION("""COMPUTED_VALUE"""),992.0)</f>
        <v>992</v>
      </c>
      <c r="AW66" s="37"/>
      <c r="AX66" s="37"/>
      <c r="AY66" s="37"/>
      <c r="AZ66" s="37"/>
    </row>
    <row r="67">
      <c r="B67" s="37"/>
      <c r="C67" s="37"/>
      <c r="D67" s="37"/>
      <c r="E67" s="37"/>
      <c r="F67" s="37"/>
      <c r="G67" s="37"/>
      <c r="H67" s="37"/>
      <c r="I67" s="37">
        <f>IFERROR(__xludf.DUMMYFUNCTION("""COMPUTED_VALUE"""),63.0)</f>
        <v>63</v>
      </c>
      <c r="J67" s="37"/>
      <c r="K67" s="37"/>
      <c r="L67" s="37"/>
      <c r="M67" s="37" t="str">
        <f>IFERROR(__xludf.DUMMYFUNCTION("""COMPUTED_VALUE"""),"Journal")</f>
        <v>Journal</v>
      </c>
      <c r="N67" s="45">
        <f>IFERROR(__xludf.DUMMYFUNCTION("""COMPUTED_VALUE"""),45790.0)</f>
        <v>45790</v>
      </c>
      <c r="O67" s="37">
        <f>IFERROR(__xludf.DUMMYFUNCTION("""COMPUTED_VALUE"""),17308.0)</f>
        <v>17308</v>
      </c>
      <c r="P67" s="37"/>
      <c r="Q67" s="37"/>
      <c r="R67" s="37"/>
      <c r="S67" s="37"/>
      <c r="T67" s="37"/>
      <c r="U67" s="37" t="str">
        <f>IFERROR(__xludf.DUMMYFUNCTION("""COMPUTED_VALUE"""),"資廚管理顧問股份有限公司(公司卡)_202504_O'Reilly_Invoice_Annual Plan(20250407-20250406)")</f>
        <v>資廚管理顧問股份有限公司(公司卡)_202504_O'Reilly_Invoice_Annual Plan(20250407-20250406)</v>
      </c>
      <c r="V67" s="37"/>
      <c r="W67" s="37"/>
      <c r="X67" s="37"/>
      <c r="Y67" s="49">
        <f>IFERROR(__xludf.DUMMYFUNCTION("""COMPUTED_VALUE"""),8269.0)</f>
        <v>8269</v>
      </c>
      <c r="Z67" s="37">
        <f>IFERROR(__xludf.DUMMYFUNCTION("""COMPUTED_VALUE"""),520001.0)</f>
        <v>520001</v>
      </c>
      <c r="AA67" s="37" t="str">
        <f>IFERROR(__xludf.DUMMYFUNCTION("""COMPUTED_VALUE"""),"研發中心")</f>
        <v>研發中心</v>
      </c>
      <c r="AB67" s="48" t="str">
        <f>IFERROR(__xludf.DUMMYFUNCTION("""COMPUTED_VALUE"""),"執行長室 : 研發中心 : 軟體工程部")</f>
        <v>執行長室 : 研發中心 : 軟體工程部</v>
      </c>
      <c r="AC67" s="48" t="str">
        <f>IFERROR(__xludf.DUMMYFUNCTION("""COMPUTED_VALUE"""),"No_Product_Line")</f>
        <v>No_Product_Line</v>
      </c>
      <c r="AD67" s="48" t="str">
        <f>IFERROR(__xludf.DUMMYFUNCTION("""COMPUTED_VALUE"""),"Baseline")</f>
        <v>Baseline</v>
      </c>
      <c r="AE67" s="48" t="str">
        <f>IFERROR(__xludf.DUMMYFUNCTION("""COMPUTED_VALUE"""),"Baseline")</f>
        <v>Baseline</v>
      </c>
      <c r="AF67" s="49">
        <f>IFERROR(__xludf.DUMMYFUNCTION("""COMPUTED_VALUE"""),16544.0)</f>
        <v>16544</v>
      </c>
      <c r="AG67" s="49">
        <f>IFERROR(__xludf.DUMMYFUNCTION("""COMPUTED_VALUE"""),12.0)</f>
        <v>12</v>
      </c>
      <c r="AH67" s="49">
        <f>IFERROR(__xludf.DUMMYFUNCTION("""COMPUTED_VALUE"""),8275.0)</f>
        <v>8275</v>
      </c>
      <c r="AI67" s="49">
        <f>IFERROR(__xludf.DUMMYFUNCTION("""COMPUTED_VALUE"""),0.0)</f>
        <v>0</v>
      </c>
      <c r="AJ67" s="37"/>
      <c r="AK67" s="37"/>
      <c r="AL67" s="37"/>
      <c r="AM67" s="37"/>
      <c r="AN67" s="49">
        <f>IFERROR(__xludf.DUMMYFUNCTION("""COMPUTED_VALUE"""),2763.0)</f>
        <v>2763</v>
      </c>
      <c r="AO67" s="49">
        <f>IFERROR(__xludf.DUMMYFUNCTION("""COMPUTED_VALUE"""),1378.0)</f>
        <v>1378</v>
      </c>
      <c r="AP67" s="49">
        <f>IFERROR(__xludf.DUMMYFUNCTION("""COMPUTED_VALUE"""),1378.0)</f>
        <v>1378</v>
      </c>
      <c r="AQ67" s="49">
        <f>IFERROR(__xludf.DUMMYFUNCTION("""COMPUTED_VALUE"""),1378.0)</f>
        <v>1378</v>
      </c>
      <c r="AR67" s="49">
        <f>IFERROR(__xludf.DUMMYFUNCTION("""COMPUTED_VALUE"""),1378.0)</f>
        <v>1378</v>
      </c>
      <c r="AS67" s="49">
        <f>IFERROR(__xludf.DUMMYFUNCTION("""COMPUTED_VALUE"""),1378.0)</f>
        <v>1378</v>
      </c>
      <c r="AT67" s="49">
        <f>IFERROR(__xludf.DUMMYFUNCTION("""COMPUTED_VALUE"""),1378.0)</f>
        <v>1378</v>
      </c>
      <c r="AU67" s="49">
        <f>IFERROR(__xludf.DUMMYFUNCTION("""COMPUTED_VALUE"""),1378.0)</f>
        <v>1378</v>
      </c>
      <c r="AV67" s="49">
        <f>IFERROR(__xludf.DUMMYFUNCTION("""COMPUTED_VALUE"""),1378.0)</f>
        <v>1378</v>
      </c>
      <c r="AW67" s="49">
        <f>IFERROR(__xludf.DUMMYFUNCTION("""COMPUTED_VALUE"""),1378.0)</f>
        <v>1378</v>
      </c>
      <c r="AX67" s="49">
        <f>IFERROR(__xludf.DUMMYFUNCTION("""COMPUTED_VALUE"""),1379.0)</f>
        <v>1379</v>
      </c>
      <c r="AY67" s="37"/>
      <c r="AZ67" s="37"/>
    </row>
    <row r="68">
      <c r="B68" s="37"/>
      <c r="C68" s="37"/>
      <c r="D68" s="37"/>
      <c r="E68" s="37"/>
      <c r="F68" s="37"/>
      <c r="G68" s="37"/>
      <c r="H68" s="37"/>
      <c r="I68" s="37">
        <f>IFERROR(__xludf.DUMMYFUNCTION("""COMPUTED_VALUE"""),64.0)</f>
        <v>64</v>
      </c>
      <c r="J68" s="37"/>
      <c r="K68" s="37"/>
      <c r="L68" s="37"/>
      <c r="M68" s="37" t="str">
        <f>IFERROR(__xludf.DUMMYFUNCTION("""COMPUTED_VALUE"""),"Journal")</f>
        <v>Journal</v>
      </c>
      <c r="N68" s="45">
        <f>IFERROR(__xludf.DUMMYFUNCTION("""COMPUTED_VALUE"""),45790.0)</f>
        <v>45790</v>
      </c>
      <c r="O68" s="37">
        <f>IFERROR(__xludf.DUMMYFUNCTION("""COMPUTED_VALUE"""),17308.0)</f>
        <v>17308</v>
      </c>
      <c r="P68" s="37"/>
      <c r="Q68" s="37"/>
      <c r="R68" s="37"/>
      <c r="S68" s="37"/>
      <c r="T68" s="37"/>
      <c r="U68" s="37" t="str">
        <f>IFERROR(__xludf.DUMMYFUNCTION("""COMPUTED_VALUE"""),"資廚管理顧問股份有限公司(公司卡)_202504_Paddle.com Market Ltd Frontitude 軟體訂閱 (20250427-20260426)")</f>
        <v>資廚管理顧問股份有限公司(公司卡)_202504_Paddle.com Market Ltd Frontitude 軟體訂閱 (20250427-20260426)</v>
      </c>
      <c r="V68" s="37"/>
      <c r="W68" s="37"/>
      <c r="X68" s="37"/>
      <c r="Y68" s="49">
        <f>IFERROR(__xludf.DUMMYFUNCTION("""COMPUTED_VALUE"""),13479.0)</f>
        <v>13479</v>
      </c>
      <c r="Z68" s="37">
        <f>IFERROR(__xludf.DUMMYFUNCTION("""COMPUTED_VALUE"""),520001.0)</f>
        <v>520001</v>
      </c>
      <c r="AA68" s="37" t="str">
        <f>IFERROR(__xludf.DUMMYFUNCTION("""COMPUTED_VALUE"""),"客戶價值中心")</f>
        <v>客戶價值中心</v>
      </c>
      <c r="AB68" s="48" t="str">
        <f>IFERROR(__xludf.DUMMYFUNCTION("""COMPUTED_VALUE"""),"執行長室 : 客戶價值中心 : 客戶成功管理部 : Product Education 團隊")</f>
        <v>執行長室 : 客戶價值中心 : 客戶成功管理部 : Product Education 團隊</v>
      </c>
      <c r="AC68" s="48" t="str">
        <f>IFERROR(__xludf.DUMMYFUNCTION("""COMPUTED_VALUE"""),"No_Product_Line")</f>
        <v>No_Product_Line</v>
      </c>
      <c r="AD68" s="48" t="str">
        <f>IFERROR(__xludf.DUMMYFUNCTION("""COMPUTED_VALUE"""),"Baseline")</f>
        <v>Baseline</v>
      </c>
      <c r="AE68" s="48" t="str">
        <f>IFERROR(__xludf.DUMMYFUNCTION("""COMPUTED_VALUE"""),"Baseline")</f>
        <v>Baseline</v>
      </c>
      <c r="AF68" s="49">
        <f>IFERROR(__xludf.DUMMYFUNCTION("""COMPUTED_VALUE"""),26971.0)</f>
        <v>26971</v>
      </c>
      <c r="AG68" s="49">
        <f>IFERROR(__xludf.DUMMYFUNCTION("""COMPUTED_VALUE"""),12.0)</f>
        <v>12</v>
      </c>
      <c r="AH68" s="49">
        <f>IFERROR(__xludf.DUMMYFUNCTION("""COMPUTED_VALUE"""),13492.0)</f>
        <v>13492</v>
      </c>
      <c r="AI68" s="49">
        <f>IFERROR(__xludf.DUMMYFUNCTION("""COMPUTED_VALUE"""),0.0)</f>
        <v>0</v>
      </c>
      <c r="AJ68" s="37"/>
      <c r="AK68" s="37"/>
      <c r="AL68" s="37"/>
      <c r="AM68" s="37"/>
      <c r="AN68" s="49">
        <f>IFERROR(__xludf.DUMMYFUNCTION("""COMPUTED_VALUE"""),4504.0)</f>
        <v>4504</v>
      </c>
      <c r="AO68" s="49">
        <f>IFERROR(__xludf.DUMMYFUNCTION("""COMPUTED_VALUE"""),2247.0)</f>
        <v>2247</v>
      </c>
      <c r="AP68" s="49">
        <f>IFERROR(__xludf.DUMMYFUNCTION("""COMPUTED_VALUE"""),2247.0)</f>
        <v>2247</v>
      </c>
      <c r="AQ68" s="49">
        <f>IFERROR(__xludf.DUMMYFUNCTION("""COMPUTED_VALUE"""),2247.0)</f>
        <v>2247</v>
      </c>
      <c r="AR68" s="49">
        <f>IFERROR(__xludf.DUMMYFUNCTION("""COMPUTED_VALUE"""),2247.0)</f>
        <v>2247</v>
      </c>
      <c r="AS68" s="49">
        <f>IFERROR(__xludf.DUMMYFUNCTION("""COMPUTED_VALUE"""),2247.0)</f>
        <v>2247</v>
      </c>
      <c r="AT68" s="49">
        <f>IFERROR(__xludf.DUMMYFUNCTION("""COMPUTED_VALUE"""),2247.0)</f>
        <v>2247</v>
      </c>
      <c r="AU68" s="49">
        <f>IFERROR(__xludf.DUMMYFUNCTION("""COMPUTED_VALUE"""),2247.0)</f>
        <v>2247</v>
      </c>
      <c r="AV68" s="49">
        <f>IFERROR(__xludf.DUMMYFUNCTION("""COMPUTED_VALUE"""),2247.0)</f>
        <v>2247</v>
      </c>
      <c r="AW68" s="49">
        <f>IFERROR(__xludf.DUMMYFUNCTION("""COMPUTED_VALUE"""),2247.0)</f>
        <v>2247</v>
      </c>
      <c r="AX68" s="49">
        <f>IFERROR(__xludf.DUMMYFUNCTION("""COMPUTED_VALUE"""),2244.0)</f>
        <v>2244</v>
      </c>
      <c r="AY68" s="37"/>
      <c r="AZ68" s="37"/>
    </row>
    <row r="69">
      <c r="B69" s="37"/>
      <c r="C69" s="37"/>
      <c r="D69" s="37"/>
      <c r="E69" s="37"/>
      <c r="F69" s="37"/>
      <c r="G69" s="37"/>
      <c r="H69" s="37"/>
      <c r="I69" s="37">
        <f>IFERROR(__xludf.DUMMYFUNCTION("""COMPUTED_VALUE"""),65.0)</f>
        <v>65</v>
      </c>
      <c r="J69" s="37"/>
      <c r="K69" s="37"/>
      <c r="L69" s="37"/>
      <c r="M69" s="37" t="str">
        <f>IFERROR(__xludf.DUMMYFUNCTION("""COMPUTED_VALUE"""),"Journal")</f>
        <v>Journal</v>
      </c>
      <c r="N69" s="45">
        <f>IFERROR(__xludf.DUMMYFUNCTION("""COMPUTED_VALUE"""),45790.0)</f>
        <v>45790</v>
      </c>
      <c r="O69" s="37">
        <f>IFERROR(__xludf.DUMMYFUNCTION("""COMPUTED_VALUE"""),17308.0)</f>
        <v>17308</v>
      </c>
      <c r="P69" s="37"/>
      <c r="Q69" s="37"/>
      <c r="R69" s="37"/>
      <c r="S69" s="37"/>
      <c r="T69" s="37"/>
      <c r="U69" s="37" t="str">
        <f>IFERROR(__xludf.DUMMYFUNCTION("""COMPUTED_VALUE"""),"資廚管理顧問股份有限公司(公司卡)_202504_InsightOps 年費 (2025/03/30 ~ 2026/03/30)")</f>
        <v>資廚管理顧問股份有限公司(公司卡)_202504_InsightOps 年費 (2025/03/30 ~ 2026/03/30)</v>
      </c>
      <c r="V69" s="37"/>
      <c r="W69" s="37"/>
      <c r="X69" s="37"/>
      <c r="Y69" s="49">
        <f>IFERROR(__xludf.DUMMYFUNCTION("""COMPUTED_VALUE"""),162035.0)</f>
        <v>162035</v>
      </c>
      <c r="Z69" s="37">
        <f>IFERROR(__xludf.DUMMYFUNCTION("""COMPUTED_VALUE"""),520001.0)</f>
        <v>520001</v>
      </c>
      <c r="AA69" s="37" t="str">
        <f>IFERROR(__xludf.DUMMYFUNCTION("""COMPUTED_VALUE"""),"研發中心")</f>
        <v>研發中心</v>
      </c>
      <c r="AB69" s="48" t="str">
        <f>IFERROR(__xludf.DUMMYFUNCTION("""COMPUTED_VALUE"""),"執行長室 : 研發中心 : 軟體工程部")</f>
        <v>執行長室 : 研發中心 : 軟體工程部</v>
      </c>
      <c r="AC69" s="48" t="str">
        <f>IFERROR(__xludf.DUMMYFUNCTION("""COMPUTED_VALUE"""),"No_Product_Line")</f>
        <v>No_Product_Line</v>
      </c>
      <c r="AD69" s="48" t="str">
        <f>IFERROR(__xludf.DUMMYFUNCTION("""COMPUTED_VALUE"""),"Baseline")</f>
        <v>Baseline</v>
      </c>
      <c r="AE69" s="48" t="str">
        <f>IFERROR(__xludf.DUMMYFUNCTION("""COMPUTED_VALUE"""),"Baseline")</f>
        <v>Baseline</v>
      </c>
      <c r="AF69" s="49">
        <f>IFERROR(__xludf.DUMMYFUNCTION("""COMPUTED_VALUE"""),389040.0)</f>
        <v>389040</v>
      </c>
      <c r="AG69" s="49">
        <f>IFERROR(__xludf.DUMMYFUNCTION("""COMPUTED_VALUE"""),12.0)</f>
        <v>12</v>
      </c>
      <c r="AH69" s="49">
        <f>IFERROR(__xludf.DUMMYFUNCTION("""COMPUTED_VALUE"""),227005.0)</f>
        <v>227005</v>
      </c>
      <c r="AI69" s="49">
        <f>IFERROR(__xludf.DUMMYFUNCTION("""COMPUTED_VALUE"""),0.0)</f>
        <v>0</v>
      </c>
      <c r="AJ69" s="37"/>
      <c r="AK69" s="37"/>
      <c r="AL69" s="37"/>
      <c r="AM69" s="37"/>
      <c r="AN69" s="49">
        <f>IFERROR(__xludf.DUMMYFUNCTION("""COMPUTED_VALUE"""),97377.0)</f>
        <v>97377</v>
      </c>
      <c r="AO69" s="49">
        <f>IFERROR(__xludf.DUMMYFUNCTION("""COMPUTED_VALUE"""),32407.0)</f>
        <v>32407</v>
      </c>
      <c r="AP69" s="49">
        <f>IFERROR(__xludf.DUMMYFUNCTION("""COMPUTED_VALUE"""),32407.0)</f>
        <v>32407</v>
      </c>
      <c r="AQ69" s="49">
        <f>IFERROR(__xludf.DUMMYFUNCTION("""COMPUTED_VALUE"""),32407.0)</f>
        <v>32407</v>
      </c>
      <c r="AR69" s="49">
        <f>IFERROR(__xludf.DUMMYFUNCTION("""COMPUTED_VALUE"""),32407.0)</f>
        <v>32407</v>
      </c>
      <c r="AS69" s="49">
        <f>IFERROR(__xludf.DUMMYFUNCTION("""COMPUTED_VALUE"""),32407.0)</f>
        <v>32407</v>
      </c>
      <c r="AT69" s="49">
        <f>IFERROR(__xludf.DUMMYFUNCTION("""COMPUTED_VALUE"""),32407.0)</f>
        <v>32407</v>
      </c>
      <c r="AU69" s="49">
        <f>IFERROR(__xludf.DUMMYFUNCTION("""COMPUTED_VALUE"""),32407.0)</f>
        <v>32407</v>
      </c>
      <c r="AV69" s="49">
        <f>IFERROR(__xludf.DUMMYFUNCTION("""COMPUTED_VALUE"""),32407.0)</f>
        <v>32407</v>
      </c>
      <c r="AW69" s="49">
        <f>IFERROR(__xludf.DUMMYFUNCTION("""COMPUTED_VALUE"""),32407.0)</f>
        <v>32407</v>
      </c>
      <c r="AX69" s="37"/>
      <c r="AY69" s="37"/>
      <c r="AZ69" s="37"/>
    </row>
    <row r="70">
      <c r="B70" s="37"/>
      <c r="C70" s="37"/>
      <c r="D70" s="37"/>
      <c r="E70" s="37"/>
      <c r="F70" s="37"/>
      <c r="G70" s="37"/>
      <c r="H70" s="37"/>
      <c r="I70" s="37">
        <f>IFERROR(__xludf.DUMMYFUNCTION("""COMPUTED_VALUE"""),66.0)</f>
        <v>66</v>
      </c>
      <c r="J70" s="37"/>
      <c r="K70" s="37"/>
      <c r="L70" s="37"/>
      <c r="M70" s="37" t="str">
        <f>IFERROR(__xludf.DUMMYFUNCTION("""COMPUTED_VALUE"""),"Journal")</f>
        <v>Journal</v>
      </c>
      <c r="N70" s="45">
        <f>IFERROR(__xludf.DUMMYFUNCTION("""COMPUTED_VALUE"""),45818.0)</f>
        <v>45818</v>
      </c>
      <c r="O70" s="37">
        <f>IFERROR(__xludf.DUMMYFUNCTION("""COMPUTED_VALUE"""),17654.0)</f>
        <v>17654</v>
      </c>
      <c r="P70" s="37"/>
      <c r="Q70" s="37"/>
      <c r="R70" s="37"/>
      <c r="S70" s="37"/>
      <c r="T70" s="37"/>
      <c r="U70" s="37" t="str">
        <f>IFERROR(__xludf.DUMMYFUNCTION("""COMPUTED_VALUE"""),"資廚管理顧問股份有限公司(公司卡)_202506_SiteGround 網站主機服務(20250521-20260520)")</f>
        <v>資廚管理顧問股份有限公司(公司卡)_202506_SiteGround 網站主機服務(20250521-20260520)</v>
      </c>
      <c r="V70" s="37"/>
      <c r="W70" s="37"/>
      <c r="X70" s="37"/>
      <c r="Y70" s="49">
        <f>IFERROR(__xludf.DUMMYFUNCTION("""COMPUTED_VALUE"""),9506.0)</f>
        <v>9506</v>
      </c>
      <c r="Z70" s="37">
        <f>IFERROR(__xludf.DUMMYFUNCTION("""COMPUTED_VALUE"""),603201.0)</f>
        <v>603201</v>
      </c>
      <c r="AA70" s="37" t="str">
        <f>IFERROR(__xludf.DUMMYFUNCTION("""COMPUTED_VALUE"""),"行銷營運中心")</f>
        <v>行銷營運中心</v>
      </c>
      <c r="AB70" s="48" t="str">
        <f>IFERROR(__xludf.DUMMYFUNCTION("""COMPUTED_VALUE"""),"執行長室 : 行銷營運中心 : 產品行銷部")</f>
        <v>執行長室 : 行銷營運中心 : 產品行銷部</v>
      </c>
      <c r="AC70" s="48" t="str">
        <f>IFERROR(__xludf.DUMMYFUNCTION("""COMPUTED_VALUE"""),"No_Product_Line")</f>
        <v>No_Product_Line</v>
      </c>
      <c r="AD70" s="48" t="str">
        <f>IFERROR(__xludf.DUMMYFUNCTION("""COMPUTED_VALUE"""),"Baseline")</f>
        <v>Baseline</v>
      </c>
      <c r="AE70" s="48" t="str">
        <f>IFERROR(__xludf.DUMMYFUNCTION("""COMPUTED_VALUE"""),"Baseline")</f>
        <v>Baseline</v>
      </c>
      <c r="AF70" s="49">
        <f>IFERROR(__xludf.DUMMYFUNCTION("""COMPUTED_VALUE"""),16302.0)</f>
        <v>16302</v>
      </c>
      <c r="AG70" s="49">
        <f>IFERROR(__xludf.DUMMYFUNCTION("""COMPUTED_VALUE"""),12.0)</f>
        <v>12</v>
      </c>
      <c r="AH70" s="49">
        <f>IFERROR(__xludf.DUMMYFUNCTION("""COMPUTED_VALUE"""),6796.0)</f>
        <v>6796</v>
      </c>
      <c r="AI70" s="49">
        <f>IFERROR(__xludf.DUMMYFUNCTION("""COMPUTED_VALUE"""),0.0)</f>
        <v>0</v>
      </c>
      <c r="AJ70" s="37"/>
      <c r="AK70" s="37"/>
      <c r="AL70" s="37"/>
      <c r="AM70" s="37"/>
      <c r="AN70" s="37"/>
      <c r="AO70" s="49">
        <f>IFERROR(__xludf.DUMMYFUNCTION("""COMPUTED_VALUE"""),2722.0)</f>
        <v>2722</v>
      </c>
      <c r="AP70" s="49">
        <f>IFERROR(__xludf.DUMMYFUNCTION("""COMPUTED_VALUE"""),1358.0)</f>
        <v>1358</v>
      </c>
      <c r="AQ70" s="49">
        <f>IFERROR(__xludf.DUMMYFUNCTION("""COMPUTED_VALUE"""),1358.0)</f>
        <v>1358</v>
      </c>
      <c r="AR70" s="49">
        <f>IFERROR(__xludf.DUMMYFUNCTION("""COMPUTED_VALUE"""),1358.0)</f>
        <v>1358</v>
      </c>
      <c r="AS70" s="49">
        <f>IFERROR(__xludf.DUMMYFUNCTION("""COMPUTED_VALUE"""),1358.0)</f>
        <v>1358</v>
      </c>
      <c r="AT70" s="49">
        <f>IFERROR(__xludf.DUMMYFUNCTION("""COMPUTED_VALUE"""),1358.0)</f>
        <v>1358</v>
      </c>
      <c r="AU70" s="49">
        <f>IFERROR(__xludf.DUMMYFUNCTION("""COMPUTED_VALUE"""),1358.0)</f>
        <v>1358</v>
      </c>
      <c r="AV70" s="49">
        <f>IFERROR(__xludf.DUMMYFUNCTION("""COMPUTED_VALUE"""),1358.0)</f>
        <v>1358</v>
      </c>
      <c r="AW70" s="49">
        <f>IFERROR(__xludf.DUMMYFUNCTION("""COMPUTED_VALUE"""),1358.0)</f>
        <v>1358</v>
      </c>
      <c r="AX70" s="49">
        <f>IFERROR(__xludf.DUMMYFUNCTION("""COMPUTED_VALUE"""),1358.0)</f>
        <v>1358</v>
      </c>
      <c r="AY70" s="49">
        <f>IFERROR(__xludf.DUMMYFUNCTION("""COMPUTED_VALUE"""),1358.0)</f>
        <v>1358</v>
      </c>
      <c r="AZ70" s="37"/>
    </row>
    <row r="71">
      <c r="B71" s="37"/>
      <c r="C71" s="37"/>
      <c r="D71" s="37"/>
      <c r="E71" s="37"/>
      <c r="F71" s="37"/>
      <c r="G71" s="37"/>
      <c r="H71" s="37"/>
      <c r="I71" s="37">
        <f>IFERROR(__xludf.DUMMYFUNCTION("""COMPUTED_VALUE"""),67.0)</f>
        <v>67</v>
      </c>
      <c r="J71" s="37"/>
      <c r="K71" s="37"/>
      <c r="L71" s="37"/>
      <c r="M71" s="37" t="str">
        <f>IFERROR(__xludf.DUMMYFUNCTION("""COMPUTED_VALUE"""),"Journal")</f>
        <v>Journal</v>
      </c>
      <c r="N71" s="45">
        <f>IFERROR(__xludf.DUMMYFUNCTION("""COMPUTED_VALUE"""),45818.0)</f>
        <v>45818</v>
      </c>
      <c r="O71" s="37">
        <f>IFERROR(__xludf.DUMMYFUNCTION("""COMPUTED_VALUE"""),17654.0)</f>
        <v>17654</v>
      </c>
      <c r="P71" s="37"/>
      <c r="Q71" s="37"/>
      <c r="R71" s="37"/>
      <c r="S71" s="37"/>
      <c r="T71" s="37"/>
      <c r="U71" s="37" t="str">
        <f>IFERROR(__xludf.DUMMYFUNCTION("""COMPUTED_VALUE"""),"黃駿朋_202505_Raycast AI工具年繳 (20250512-20260512)")</f>
        <v>黃駿朋_202505_Raycast AI工具年繳 (20250512-20260512)</v>
      </c>
      <c r="V71" s="37"/>
      <c r="W71" s="37"/>
      <c r="X71" s="37"/>
      <c r="Y71" s="49">
        <f>IFERROR(__xludf.DUMMYFUNCTION("""COMPUTED_VALUE"""),3381.0)</f>
        <v>3381</v>
      </c>
      <c r="Z71" s="37">
        <f>IFERROR(__xludf.DUMMYFUNCTION("""COMPUTED_VALUE"""),520001.0)</f>
        <v>520001</v>
      </c>
      <c r="AA71" s="37" t="str">
        <f>IFERROR(__xludf.DUMMYFUNCTION("""COMPUTED_VALUE"""),"研發中心")</f>
        <v>研發中心</v>
      </c>
      <c r="AB71" s="48" t="str">
        <f>IFERROR(__xludf.DUMMYFUNCTION("""COMPUTED_VALUE"""),"執行長室 : 研發中心 : 軟體工程部")</f>
        <v>執行長室 : 研發中心 : 軟體工程部</v>
      </c>
      <c r="AC71" s="48" t="str">
        <f>IFERROR(__xludf.DUMMYFUNCTION("""COMPUTED_VALUE"""),"No_Product_Line")</f>
        <v>No_Product_Line</v>
      </c>
      <c r="AD71" s="48" t="str">
        <f>IFERROR(__xludf.DUMMYFUNCTION("""COMPUTED_VALUE"""),"Baseline")</f>
        <v>Baseline</v>
      </c>
      <c r="AE71" s="48" t="str">
        <f>IFERROR(__xludf.DUMMYFUNCTION("""COMPUTED_VALUE"""),"Baseline")</f>
        <v>Baseline</v>
      </c>
      <c r="AF71" s="49">
        <f>IFERROR(__xludf.DUMMYFUNCTION("""COMPUTED_VALUE"""),5798.0)</f>
        <v>5798</v>
      </c>
      <c r="AG71" s="49">
        <f>IFERROR(__xludf.DUMMYFUNCTION("""COMPUTED_VALUE"""),12.0)</f>
        <v>12</v>
      </c>
      <c r="AH71" s="49">
        <f>IFERROR(__xludf.DUMMYFUNCTION("""COMPUTED_VALUE"""),2417.0)</f>
        <v>2417</v>
      </c>
      <c r="AI71" s="49">
        <f>IFERROR(__xludf.DUMMYFUNCTION("""COMPUTED_VALUE"""),0.0)</f>
        <v>0</v>
      </c>
      <c r="AJ71" s="37"/>
      <c r="AK71" s="37"/>
      <c r="AL71" s="37"/>
      <c r="AM71" s="37"/>
      <c r="AN71" s="37"/>
      <c r="AO71" s="49">
        <f>IFERROR(__xludf.DUMMYFUNCTION("""COMPUTED_VALUE"""),968.0)</f>
        <v>968</v>
      </c>
      <c r="AP71" s="49">
        <f>IFERROR(__xludf.DUMMYFUNCTION("""COMPUTED_VALUE"""),483.0)</f>
        <v>483</v>
      </c>
      <c r="AQ71" s="49">
        <f>IFERROR(__xludf.DUMMYFUNCTION("""COMPUTED_VALUE"""),483.0)</f>
        <v>483</v>
      </c>
      <c r="AR71" s="49">
        <f>IFERROR(__xludf.DUMMYFUNCTION("""COMPUTED_VALUE"""),483.0)</f>
        <v>483</v>
      </c>
      <c r="AS71" s="49">
        <f>IFERROR(__xludf.DUMMYFUNCTION("""COMPUTED_VALUE"""),483.0)</f>
        <v>483</v>
      </c>
      <c r="AT71" s="49">
        <f>IFERROR(__xludf.DUMMYFUNCTION("""COMPUTED_VALUE"""),483.0)</f>
        <v>483</v>
      </c>
      <c r="AU71" s="49">
        <f>IFERROR(__xludf.DUMMYFUNCTION("""COMPUTED_VALUE"""),483.0)</f>
        <v>483</v>
      </c>
      <c r="AV71" s="49">
        <f>IFERROR(__xludf.DUMMYFUNCTION("""COMPUTED_VALUE"""),483.0)</f>
        <v>483</v>
      </c>
      <c r="AW71" s="49">
        <f>IFERROR(__xludf.DUMMYFUNCTION("""COMPUTED_VALUE"""),483.0)</f>
        <v>483</v>
      </c>
      <c r="AX71" s="49">
        <f>IFERROR(__xludf.DUMMYFUNCTION("""COMPUTED_VALUE"""),483.0)</f>
        <v>483</v>
      </c>
      <c r="AY71" s="49">
        <f>IFERROR(__xludf.DUMMYFUNCTION("""COMPUTED_VALUE"""),483.0)</f>
        <v>483</v>
      </c>
      <c r="AZ71" s="37"/>
    </row>
    <row r="72">
      <c r="B72" s="37"/>
      <c r="C72" s="37"/>
      <c r="D72" s="37"/>
      <c r="E72" s="37"/>
      <c r="F72" s="37"/>
      <c r="G72" s="37"/>
      <c r="H72" s="37"/>
      <c r="I72" s="37">
        <f>IFERROR(__xludf.DUMMYFUNCTION("""COMPUTED_VALUE"""),68.0)</f>
        <v>68</v>
      </c>
      <c r="J72" s="37"/>
      <c r="K72" s="37"/>
      <c r="L72" s="37"/>
      <c r="M72" s="37" t="str">
        <f>IFERROR(__xludf.DUMMYFUNCTION("""COMPUTED_VALUE"""),"Journal")</f>
        <v>Journal</v>
      </c>
      <c r="N72" s="45">
        <f>IFERROR(__xludf.DUMMYFUNCTION("""COMPUTED_VALUE"""),45818.0)</f>
        <v>45818</v>
      </c>
      <c r="O72" s="37">
        <f>IFERROR(__xludf.DUMMYFUNCTION("""COMPUTED_VALUE"""),17654.0)</f>
        <v>17654</v>
      </c>
      <c r="P72" s="37"/>
      <c r="Q72" s="37"/>
      <c r="R72" s="37"/>
      <c r="S72" s="37"/>
      <c r="T72" s="37"/>
      <c r="U72" s="37" t="str">
        <f>IFERROR(__xludf.DUMMYFUNCTION("""COMPUTED_VALUE"""),"資廚管理顧問股份有限公司(公司卡)_202506_Codecov Pro軟體工具_PCAR-3190 (20250526-20260526)")</f>
        <v>資廚管理顧問股份有限公司(公司卡)_202506_Codecov Pro軟體工具_PCAR-3190 (20250526-20260526)</v>
      </c>
      <c r="V72" s="37"/>
      <c r="W72" s="37"/>
      <c r="X72" s="37"/>
      <c r="Y72" s="49">
        <f>IFERROR(__xludf.DUMMYFUNCTION("""COMPUTED_VALUE"""),54288.0)</f>
        <v>54288</v>
      </c>
      <c r="Z72" s="37">
        <f>IFERROR(__xludf.DUMMYFUNCTION("""COMPUTED_VALUE"""),520001.0)</f>
        <v>520001</v>
      </c>
      <c r="AA72" s="37" t="str">
        <f>IFERROR(__xludf.DUMMYFUNCTION("""COMPUTED_VALUE"""),"研發中心")</f>
        <v>研發中心</v>
      </c>
      <c r="AB72" s="48" t="str">
        <f>IFERROR(__xludf.DUMMYFUNCTION("""COMPUTED_VALUE"""),"執行長室 : 研發中心 : 軟體工程部")</f>
        <v>執行長室 : 研發中心 : 軟體工程部</v>
      </c>
      <c r="AC72" s="48" t="str">
        <f>IFERROR(__xludf.DUMMYFUNCTION("""COMPUTED_VALUE"""),"No_Product_Line")</f>
        <v>No_Product_Line</v>
      </c>
      <c r="AD72" s="48" t="str">
        <f>IFERROR(__xludf.DUMMYFUNCTION("""COMPUTED_VALUE"""),"Baseline")</f>
        <v>Baseline</v>
      </c>
      <c r="AE72" s="48" t="str">
        <f>IFERROR(__xludf.DUMMYFUNCTION("""COMPUTED_VALUE"""),"Baseline")</f>
        <v>Baseline</v>
      </c>
      <c r="AF72" s="49">
        <f>IFERROR(__xludf.DUMMYFUNCTION("""COMPUTED_VALUE"""),93100.0)</f>
        <v>93100</v>
      </c>
      <c r="AG72" s="49">
        <f>IFERROR(__xludf.DUMMYFUNCTION("""COMPUTED_VALUE"""),12.0)</f>
        <v>12</v>
      </c>
      <c r="AH72" s="49">
        <f>IFERROR(__xludf.DUMMYFUNCTION("""COMPUTED_VALUE"""),38812.0)</f>
        <v>38812</v>
      </c>
      <c r="AI72" s="49">
        <f>IFERROR(__xludf.DUMMYFUNCTION("""COMPUTED_VALUE"""),0.0)</f>
        <v>0</v>
      </c>
      <c r="AJ72" s="37"/>
      <c r="AK72" s="37"/>
      <c r="AL72" s="37"/>
      <c r="AM72" s="37"/>
      <c r="AN72" s="37"/>
      <c r="AO72" s="49">
        <f>IFERROR(__xludf.DUMMYFUNCTION("""COMPUTED_VALUE"""),15547.0)</f>
        <v>15547</v>
      </c>
      <c r="AP72" s="49">
        <f>IFERROR(__xludf.DUMMYFUNCTION("""COMPUTED_VALUE"""),7755.0)</f>
        <v>7755</v>
      </c>
      <c r="AQ72" s="49">
        <f>IFERROR(__xludf.DUMMYFUNCTION("""COMPUTED_VALUE"""),7755.0)</f>
        <v>7755</v>
      </c>
      <c r="AR72" s="49">
        <f>IFERROR(__xludf.DUMMYFUNCTION("""COMPUTED_VALUE"""),7755.0)</f>
        <v>7755</v>
      </c>
      <c r="AS72" s="49">
        <f>IFERROR(__xludf.DUMMYFUNCTION("""COMPUTED_VALUE"""),7755.0)</f>
        <v>7755</v>
      </c>
      <c r="AT72" s="49">
        <f>IFERROR(__xludf.DUMMYFUNCTION("""COMPUTED_VALUE"""),7755.0)</f>
        <v>7755</v>
      </c>
      <c r="AU72" s="49">
        <f>IFERROR(__xludf.DUMMYFUNCTION("""COMPUTED_VALUE"""),7755.0)</f>
        <v>7755</v>
      </c>
      <c r="AV72" s="49">
        <f>IFERROR(__xludf.DUMMYFUNCTION("""COMPUTED_VALUE"""),7755.0)</f>
        <v>7755</v>
      </c>
      <c r="AW72" s="49">
        <f>IFERROR(__xludf.DUMMYFUNCTION("""COMPUTED_VALUE"""),7755.0)</f>
        <v>7755</v>
      </c>
      <c r="AX72" s="49">
        <f>IFERROR(__xludf.DUMMYFUNCTION("""COMPUTED_VALUE"""),7755.0)</f>
        <v>7755</v>
      </c>
      <c r="AY72" s="49">
        <f>IFERROR(__xludf.DUMMYFUNCTION("""COMPUTED_VALUE"""),7758.0)</f>
        <v>7758</v>
      </c>
      <c r="AZ72" s="37"/>
    </row>
    <row r="73">
      <c r="B73" s="37"/>
      <c r="C73" s="37"/>
      <c r="D73" s="37"/>
      <c r="E73" s="37"/>
      <c r="F73" s="37"/>
      <c r="G73" s="37"/>
      <c r="H73" s="37"/>
      <c r="I73" s="37">
        <f>IFERROR(__xludf.DUMMYFUNCTION("""COMPUTED_VALUE"""),69.0)</f>
        <v>69</v>
      </c>
      <c r="J73" s="37"/>
      <c r="K73" s="37" t="str">
        <f>IFERROR(__xludf.DUMMYFUNCTION("""COMPUTED_VALUE"""),"Y")</f>
        <v>Y</v>
      </c>
      <c r="L73" s="37"/>
      <c r="M73" s="37"/>
      <c r="N73" s="45">
        <f>IFERROR(__xludf.DUMMYFUNCTION("""COMPUTED_VALUE"""),45827.0)</f>
        <v>45827</v>
      </c>
      <c r="O73" s="37" t="str">
        <f>IFERROR(__xludf.DUMMYFUNCTION("""COMPUTED_VALUE"""),"ER6311")</f>
        <v>ER6311</v>
      </c>
      <c r="P73" s="37"/>
      <c r="Q73" s="37"/>
      <c r="R73" s="37"/>
      <c r="S73" s="37"/>
      <c r="T73" s="37"/>
      <c r="U73" s="37" t="str">
        <f>IFERROR(__xludf.DUMMYFUNCTION("""COMPUTED_VALUE"""),"資廚通訊股份有限公司 202506 預付資料處理費(發)(Baseline預付，在12月轉費用)")</f>
        <v>資廚通訊股份有限公司 202506 預付資料處理費(發)(Baseline預付，在12月轉費用)</v>
      </c>
      <c r="V73" s="37"/>
      <c r="W73" s="37"/>
      <c r="X73" s="37"/>
      <c r="Y73" s="49">
        <f>IFERROR(__xludf.DUMMYFUNCTION("""COMPUTED_VALUE"""),95238.0)</f>
        <v>95238</v>
      </c>
      <c r="Z73" s="37">
        <f>IFERROR(__xludf.DUMMYFUNCTION("""COMPUTED_VALUE"""),1411.0)</f>
        <v>1411</v>
      </c>
      <c r="AA73" s="37" t="str">
        <f>IFERROR(__xludf.DUMMYFUNCTION("""COMPUTED_VALUE"""),"財務中心")</f>
        <v>財務中心</v>
      </c>
      <c r="AB73" s="48" t="str">
        <f>IFERROR(__xludf.DUMMYFUNCTION("""COMPUTED_VALUE"""),"執行長室 : 財務中心 : 財務中心")</f>
        <v>執行長室 : 財務中心 : 財務中心</v>
      </c>
      <c r="AC73" s="37"/>
      <c r="AD73" s="37"/>
      <c r="AE73" s="37"/>
      <c r="AF73" s="49">
        <f>IFERROR(__xludf.DUMMYFUNCTION("""COMPUTED_VALUE"""),95238.0)</f>
        <v>95238</v>
      </c>
      <c r="AG73" s="49">
        <f>IFERROR(__xludf.DUMMYFUNCTION("""COMPUTED_VALUE"""),1.0)</f>
        <v>1</v>
      </c>
      <c r="AH73" s="49">
        <f>IFERROR(__xludf.DUMMYFUNCTION("""COMPUTED_VALUE"""),0.0)</f>
        <v>0</v>
      </c>
      <c r="AI73" s="49">
        <f>IFERROR(__xludf.DUMMYFUNCTION("""COMPUTED_VALUE"""),0.0)</f>
        <v>0</v>
      </c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49">
        <f>IFERROR(__xludf.DUMMYFUNCTION("""COMPUTED_VALUE"""),95238.0)</f>
        <v>95238</v>
      </c>
      <c r="AV73" s="37"/>
      <c r="AW73" s="37"/>
      <c r="AX73" s="37"/>
      <c r="AY73" s="37"/>
      <c r="AZ73" s="37"/>
    </row>
    <row r="74">
      <c r="B74" s="37"/>
      <c r="C74" s="37"/>
      <c r="D74" s="37"/>
      <c r="E74" s="37"/>
      <c r="F74" s="37"/>
      <c r="G74" s="37"/>
      <c r="H74" s="37"/>
      <c r="I74" s="37">
        <f>IFERROR(__xludf.DUMMYFUNCTION("""COMPUTED_VALUE"""),70.0)</f>
        <v>70</v>
      </c>
      <c r="J74" s="37"/>
      <c r="K74" s="37"/>
      <c r="L74" s="37"/>
      <c r="M74" s="37" t="str">
        <f>IFERROR(__xludf.DUMMYFUNCTION("""COMPUTED_VALUE"""),"Journal")</f>
        <v>Journal</v>
      </c>
      <c r="N74" s="45">
        <f>IFERROR(__xludf.DUMMYFUNCTION("""COMPUTED_VALUE"""),45835.0)</f>
        <v>45835</v>
      </c>
      <c r="O74" s="37">
        <f>IFERROR(__xludf.DUMMYFUNCTION("""COMPUTED_VALUE"""),17746.0)</f>
        <v>17746</v>
      </c>
      <c r="P74" s="37"/>
      <c r="Q74" s="37"/>
      <c r="R74" s="37"/>
      <c r="S74" s="37"/>
      <c r="T74" s="37"/>
      <c r="U74" s="37" t="str">
        <f>IFERROR(__xludf.DUMMYFUNCTION("""COMPUTED_VALUE"""),"資廚管理顧問股份有限公司(公司卡)_202505_Cursor AI 編輯器 (20250504-20260209)")</f>
        <v>資廚管理顧問股份有限公司(公司卡)_202505_Cursor AI 編輯器 (20250504-20260209)</v>
      </c>
      <c r="V74" s="37"/>
      <c r="W74" s="37"/>
      <c r="X74" s="37"/>
      <c r="Y74" s="49">
        <f>IFERROR(__xludf.DUMMYFUNCTION("""COMPUTED_VALUE"""),4045.0)</f>
        <v>4045</v>
      </c>
      <c r="Z74" s="37">
        <f>IFERROR(__xludf.DUMMYFUNCTION("""COMPUTED_VALUE"""),520001.0)</f>
        <v>520001</v>
      </c>
      <c r="AA74" s="37" t="str">
        <f>IFERROR(__xludf.DUMMYFUNCTION("""COMPUTED_VALUE"""),"研發中心")</f>
        <v>研發中心</v>
      </c>
      <c r="AB74" s="48" t="str">
        <f>IFERROR(__xludf.DUMMYFUNCTION("""COMPUTED_VALUE"""),"執行長室 : 研發中心 : 軟體工程部")</f>
        <v>執行長室 : 研發中心 : 軟體工程部</v>
      </c>
      <c r="AC74" s="48" t="str">
        <f>IFERROR(__xludf.DUMMYFUNCTION("""COMPUTED_VALUE"""),"No_Product_Line")</f>
        <v>No_Product_Line</v>
      </c>
      <c r="AD74" s="48" t="str">
        <f>IFERROR(__xludf.DUMMYFUNCTION("""COMPUTED_VALUE"""),"Baseline")</f>
        <v>Baseline</v>
      </c>
      <c r="AE74" s="48" t="str">
        <f>IFERROR(__xludf.DUMMYFUNCTION("""COMPUTED_VALUE"""),"Baseline")</f>
        <v>Baseline</v>
      </c>
      <c r="AF74" s="49">
        <f>IFERROR(__xludf.DUMMYFUNCTION("""COMPUTED_VALUE"""),9106.0)</f>
        <v>9106</v>
      </c>
      <c r="AG74" s="49">
        <f>IFERROR(__xludf.DUMMYFUNCTION("""COMPUTED_VALUE"""),10.0)</f>
        <v>10</v>
      </c>
      <c r="AH74" s="49">
        <f>IFERROR(__xludf.DUMMYFUNCTION("""COMPUTED_VALUE"""),5061.0)</f>
        <v>5061</v>
      </c>
      <c r="AI74" s="49">
        <f>IFERROR(__xludf.DUMMYFUNCTION("""COMPUTED_VALUE"""),0.0)</f>
        <v>0</v>
      </c>
      <c r="AJ74" s="37"/>
      <c r="AK74" s="37"/>
      <c r="AL74" s="37"/>
      <c r="AM74" s="37"/>
      <c r="AN74" s="37"/>
      <c r="AO74" s="49">
        <f>IFERROR(__xludf.DUMMYFUNCTION("""COMPUTED_VALUE"""),2025.0)</f>
        <v>2025</v>
      </c>
      <c r="AP74" s="49">
        <f>IFERROR(__xludf.DUMMYFUNCTION("""COMPUTED_VALUE"""),1012.0)</f>
        <v>1012</v>
      </c>
      <c r="AQ74" s="49">
        <f>IFERROR(__xludf.DUMMYFUNCTION("""COMPUTED_VALUE"""),1012.0)</f>
        <v>1012</v>
      </c>
      <c r="AR74" s="49">
        <f>IFERROR(__xludf.DUMMYFUNCTION("""COMPUTED_VALUE"""),1012.0)</f>
        <v>1012</v>
      </c>
      <c r="AS74" s="49">
        <f>IFERROR(__xludf.DUMMYFUNCTION("""COMPUTED_VALUE"""),1012.0)</f>
        <v>1012</v>
      </c>
      <c r="AT74" s="49">
        <f>IFERROR(__xludf.DUMMYFUNCTION("""COMPUTED_VALUE"""),1012.0)</f>
        <v>1012</v>
      </c>
      <c r="AU74" s="49">
        <f>IFERROR(__xludf.DUMMYFUNCTION("""COMPUTED_VALUE"""),1012.0)</f>
        <v>1012</v>
      </c>
      <c r="AV74" s="49">
        <f>IFERROR(__xludf.DUMMYFUNCTION("""COMPUTED_VALUE"""),1009.0)</f>
        <v>1009</v>
      </c>
      <c r="AW74" s="37"/>
      <c r="AX74" s="37"/>
      <c r="AY74" s="37"/>
      <c r="AZ74" s="37"/>
    </row>
    <row r="75">
      <c r="B75" s="37"/>
      <c r="C75" s="37"/>
      <c r="D75" s="37"/>
      <c r="E75" s="37"/>
      <c r="F75" s="37"/>
      <c r="G75" s="37"/>
      <c r="H75" s="37"/>
      <c r="I75" s="37">
        <f>IFERROR(__xludf.DUMMYFUNCTION("""COMPUTED_VALUE"""),71.0)</f>
        <v>71</v>
      </c>
      <c r="J75" s="37"/>
      <c r="K75" s="37"/>
      <c r="L75" s="37"/>
      <c r="M75" s="37" t="str">
        <f>IFERROR(__xludf.DUMMYFUNCTION("""COMPUTED_VALUE"""),"Journal")</f>
        <v>Journal</v>
      </c>
      <c r="N75" s="45">
        <f>IFERROR(__xludf.DUMMYFUNCTION("""COMPUTED_VALUE"""),45835.0)</f>
        <v>45835</v>
      </c>
      <c r="O75" s="37">
        <f>IFERROR(__xludf.DUMMYFUNCTION("""COMPUTED_VALUE"""),17746.0)</f>
        <v>17746</v>
      </c>
      <c r="P75" s="37"/>
      <c r="Q75" s="37"/>
      <c r="R75" s="37"/>
      <c r="S75" s="37"/>
      <c r="T75" s="37"/>
      <c r="U75" s="37" t="str">
        <f>IFERROR(__xludf.DUMMYFUNCTION("""COMPUTED_VALUE"""),"資廚管理顧問股份有限公司(公司卡)_202505_Lokalise (20250507-20260507)")</f>
        <v>資廚管理顧問股份有限公司(公司卡)_202505_Lokalise (20250507-20260507)</v>
      </c>
      <c r="V75" s="37"/>
      <c r="W75" s="37"/>
      <c r="X75" s="37"/>
      <c r="Y75" s="49">
        <f>IFERROR(__xludf.DUMMYFUNCTION("""COMPUTED_VALUE"""),122537.0)</f>
        <v>122537</v>
      </c>
      <c r="Z75" s="37">
        <f>IFERROR(__xludf.DUMMYFUNCTION("""COMPUTED_VALUE"""),520001.0)</f>
        <v>520001</v>
      </c>
      <c r="AA75" s="37" t="str">
        <f>IFERROR(__xludf.DUMMYFUNCTION("""COMPUTED_VALUE"""),"研發中心")</f>
        <v>研發中心</v>
      </c>
      <c r="AB75" s="48" t="str">
        <f>IFERROR(__xludf.DUMMYFUNCTION("""COMPUTED_VALUE"""),"執行長室 : 研發中心 : 軟體工程部")</f>
        <v>執行長室 : 研發中心 : 軟體工程部</v>
      </c>
      <c r="AC75" s="48" t="str">
        <f>IFERROR(__xludf.DUMMYFUNCTION("""COMPUTED_VALUE"""),"No_Product_Line")</f>
        <v>No_Product_Line</v>
      </c>
      <c r="AD75" s="48" t="str">
        <f>IFERROR(__xludf.DUMMYFUNCTION("""COMPUTED_VALUE"""),"Baseline")</f>
        <v>Baseline</v>
      </c>
      <c r="AE75" s="48" t="str">
        <f>IFERROR(__xludf.DUMMYFUNCTION("""COMPUTED_VALUE"""),"Baseline")</f>
        <v>Baseline</v>
      </c>
      <c r="AF75" s="49">
        <f>IFERROR(__xludf.DUMMYFUNCTION("""COMPUTED_VALUE"""),210151.0)</f>
        <v>210151</v>
      </c>
      <c r="AG75" s="49">
        <f>IFERROR(__xludf.DUMMYFUNCTION("""COMPUTED_VALUE"""),12.0)</f>
        <v>12</v>
      </c>
      <c r="AH75" s="49">
        <f>IFERROR(__xludf.DUMMYFUNCTION("""COMPUTED_VALUE"""),87614.0)</f>
        <v>87614</v>
      </c>
      <c r="AI75" s="49">
        <f>IFERROR(__xludf.DUMMYFUNCTION("""COMPUTED_VALUE"""),0.0)</f>
        <v>0</v>
      </c>
      <c r="AJ75" s="37"/>
      <c r="AK75" s="37"/>
      <c r="AL75" s="37"/>
      <c r="AM75" s="37"/>
      <c r="AN75" s="37"/>
      <c r="AO75" s="49">
        <f>IFERROR(__xludf.DUMMYFUNCTION("""COMPUTED_VALUE"""),35096.0)</f>
        <v>35096</v>
      </c>
      <c r="AP75" s="49">
        <f>IFERROR(__xludf.DUMMYFUNCTION("""COMPUTED_VALUE"""),17506.0)</f>
        <v>17506</v>
      </c>
      <c r="AQ75" s="49">
        <f>IFERROR(__xludf.DUMMYFUNCTION("""COMPUTED_VALUE"""),17506.0)</f>
        <v>17506</v>
      </c>
      <c r="AR75" s="49">
        <f>IFERROR(__xludf.DUMMYFUNCTION("""COMPUTED_VALUE"""),17506.0)</f>
        <v>17506</v>
      </c>
      <c r="AS75" s="49">
        <f>IFERROR(__xludf.DUMMYFUNCTION("""COMPUTED_VALUE"""),17506.0)</f>
        <v>17506</v>
      </c>
      <c r="AT75" s="49">
        <f>IFERROR(__xludf.DUMMYFUNCTION("""COMPUTED_VALUE"""),17506.0)</f>
        <v>17506</v>
      </c>
      <c r="AU75" s="49">
        <f>IFERROR(__xludf.DUMMYFUNCTION("""COMPUTED_VALUE"""),17506.0)</f>
        <v>17506</v>
      </c>
      <c r="AV75" s="49">
        <f>IFERROR(__xludf.DUMMYFUNCTION("""COMPUTED_VALUE"""),17506.0)</f>
        <v>17506</v>
      </c>
      <c r="AW75" s="49">
        <f>IFERROR(__xludf.DUMMYFUNCTION("""COMPUTED_VALUE"""),17506.0)</f>
        <v>17506</v>
      </c>
      <c r="AX75" s="49">
        <f>IFERROR(__xludf.DUMMYFUNCTION("""COMPUTED_VALUE"""),17506.0)</f>
        <v>17506</v>
      </c>
      <c r="AY75" s="49">
        <f>IFERROR(__xludf.DUMMYFUNCTION("""COMPUTED_VALUE"""),17501.0)</f>
        <v>17501</v>
      </c>
      <c r="AZ75" s="37"/>
    </row>
    <row r="76">
      <c r="B76" s="37"/>
      <c r="C76" s="37"/>
      <c r="D76" s="37"/>
      <c r="E76" s="37"/>
      <c r="F76" s="37"/>
      <c r="G76" s="37"/>
      <c r="H76" s="37"/>
      <c r="I76" s="37">
        <f>IFERROR(__xludf.DUMMYFUNCTION("""COMPUTED_VALUE"""),72.0)</f>
        <v>72</v>
      </c>
      <c r="J76" s="37"/>
      <c r="K76" s="37"/>
      <c r="L76" s="37"/>
      <c r="M76" s="37" t="str">
        <f>IFERROR(__xludf.DUMMYFUNCTION("""COMPUTED_VALUE"""),"Journal")</f>
        <v>Journal</v>
      </c>
      <c r="N76" s="45">
        <f>IFERROR(__xludf.DUMMYFUNCTION("""COMPUTED_VALUE"""),45848.0)</f>
        <v>45848</v>
      </c>
      <c r="O76" s="37">
        <f>IFERROR(__xludf.DUMMYFUNCTION("""COMPUTED_VALUE"""),18008.0)</f>
        <v>18008</v>
      </c>
      <c r="P76" s="37"/>
      <c r="Q76" s="37"/>
      <c r="R76" s="37"/>
      <c r="S76" s="37"/>
      <c r="T76" s="37"/>
      <c r="U76" s="37" t="str">
        <f>IFERROR(__xludf.DUMMYFUNCTION("""COMPUTED_VALUE"""),"中德保全股份有限公司_202507_台北辦公室保全服務費(發)(2025/7/8-2026/7/7)(沖ER6447)")</f>
        <v>中德保全股份有限公司_202507_台北辦公室保全服務費(發)(2025/7/8-2026/7/7)(沖ER6447)</v>
      </c>
      <c r="V76" s="37"/>
      <c r="W76" s="37"/>
      <c r="X76" s="37"/>
      <c r="Y76" s="49">
        <f>IFERROR(__xludf.DUMMYFUNCTION("""COMPUTED_VALUE"""),24740.0)</f>
        <v>24740</v>
      </c>
      <c r="Z76" s="37">
        <f>IFERROR(__xludf.DUMMYFUNCTION("""COMPUTED_VALUE"""),612904.0)</f>
        <v>612904</v>
      </c>
      <c r="AA76" s="37" t="str">
        <f>IFERROR(__xludf.DUMMYFUNCTION("""COMPUTED_VALUE"""),"管理中心")</f>
        <v>管理中心</v>
      </c>
      <c r="AB76" s="48" t="str">
        <f>IFERROR(__xludf.DUMMYFUNCTION("""COMPUTED_VALUE"""),"執行長室 : 管理中心 : 行政總務部 : 行政總務團隊 : 行政總務組")</f>
        <v>執行長室 : 管理中心 : 行政總務部 : 行政總務團隊 : 行政總務組</v>
      </c>
      <c r="AC76" s="48" t="str">
        <f>IFERROR(__xludf.DUMMYFUNCTION("""COMPUTED_VALUE"""),"No_Product_Line")</f>
        <v>No_Product_Line</v>
      </c>
      <c r="AD76" s="48" t="str">
        <f>IFERROR(__xludf.DUMMYFUNCTION("""COMPUTED_VALUE"""),"Baseline")</f>
        <v>Baseline</v>
      </c>
      <c r="AE76" s="48" t="str">
        <f>IFERROR(__xludf.DUMMYFUNCTION("""COMPUTED_VALUE"""),"Baseline")</f>
        <v>Baseline</v>
      </c>
      <c r="AF76" s="49">
        <f>IFERROR(__xludf.DUMMYFUNCTION("""COMPUTED_VALUE"""),33000.0)</f>
        <v>33000</v>
      </c>
      <c r="AG76" s="49">
        <f>IFERROR(__xludf.DUMMYFUNCTION("""COMPUTED_VALUE"""),12.0)</f>
        <v>12</v>
      </c>
      <c r="AH76" s="49">
        <f>IFERROR(__xludf.DUMMYFUNCTION("""COMPUTED_VALUE"""),8260.0)</f>
        <v>8260</v>
      </c>
      <c r="AI76" s="49">
        <f>IFERROR(__xludf.DUMMYFUNCTION("""COMPUTED_VALUE"""),0.0)</f>
        <v>0</v>
      </c>
      <c r="AJ76" s="37"/>
      <c r="AK76" s="37"/>
      <c r="AL76" s="37"/>
      <c r="AM76" s="37"/>
      <c r="AN76" s="37"/>
      <c r="AO76" s="37"/>
      <c r="AP76" s="49">
        <f>IFERROR(__xludf.DUMMYFUNCTION("""COMPUTED_VALUE"""),2762.0)</f>
        <v>2762</v>
      </c>
      <c r="AQ76" s="49">
        <f>IFERROR(__xludf.DUMMYFUNCTION("""COMPUTED_VALUE"""),2749.0)</f>
        <v>2749</v>
      </c>
      <c r="AR76" s="49">
        <f>IFERROR(__xludf.DUMMYFUNCTION("""COMPUTED_VALUE"""),2749.0)</f>
        <v>2749</v>
      </c>
      <c r="AS76" s="49">
        <f>IFERROR(__xludf.DUMMYFUNCTION("""COMPUTED_VALUE"""),2749.0)</f>
        <v>2749</v>
      </c>
      <c r="AT76" s="49">
        <f>IFERROR(__xludf.DUMMYFUNCTION("""COMPUTED_VALUE"""),2749.0)</f>
        <v>2749</v>
      </c>
      <c r="AU76" s="49">
        <f>IFERROR(__xludf.DUMMYFUNCTION("""COMPUTED_VALUE"""),2749.0)</f>
        <v>2749</v>
      </c>
      <c r="AV76" s="49">
        <f>IFERROR(__xludf.DUMMYFUNCTION("""COMPUTED_VALUE"""),2749.0)</f>
        <v>2749</v>
      </c>
      <c r="AW76" s="49">
        <f>IFERROR(__xludf.DUMMYFUNCTION("""COMPUTED_VALUE"""),2749.0)</f>
        <v>2749</v>
      </c>
      <c r="AX76" s="49">
        <f>IFERROR(__xludf.DUMMYFUNCTION("""COMPUTED_VALUE"""),2749.0)</f>
        <v>2749</v>
      </c>
      <c r="AY76" s="49">
        <f>IFERROR(__xludf.DUMMYFUNCTION("""COMPUTED_VALUE"""),2749.0)</f>
        <v>2749</v>
      </c>
      <c r="AZ76" s="49">
        <f>IFERROR(__xludf.DUMMYFUNCTION("""COMPUTED_VALUE"""),2749.0)</f>
        <v>2749</v>
      </c>
    </row>
    <row r="77">
      <c r="B77" s="37"/>
      <c r="C77" s="37"/>
      <c r="D77" s="37"/>
      <c r="E77" s="37"/>
      <c r="F77" s="37"/>
      <c r="G77" s="37"/>
      <c r="H77" s="37"/>
      <c r="I77" s="37">
        <f>IFERROR(__xludf.DUMMYFUNCTION("""COMPUTED_VALUE"""),73.0)</f>
        <v>73</v>
      </c>
      <c r="J77" s="37"/>
      <c r="K77" s="37"/>
      <c r="L77" s="37"/>
      <c r="M77" s="37" t="str">
        <f>IFERROR(__xludf.DUMMYFUNCTION("""COMPUTED_VALUE"""),"Journal")</f>
        <v>Journal</v>
      </c>
      <c r="N77" s="45">
        <f>IFERROR(__xludf.DUMMYFUNCTION("""COMPUTED_VALUE"""),45848.0)</f>
        <v>45848</v>
      </c>
      <c r="O77" s="37">
        <f>IFERROR(__xludf.DUMMYFUNCTION("""COMPUTED_VALUE"""),18008.0)</f>
        <v>18008</v>
      </c>
      <c r="P77" s="37"/>
      <c r="Q77" s="37"/>
      <c r="R77" s="37"/>
      <c r="S77" s="37"/>
      <c r="T77" s="37"/>
      <c r="U77" s="37" t="str">
        <f>IFERROR(__xludf.DUMMYFUNCTION("""COMPUTED_VALUE"""),"資廚管理顧問股份有限公司(公司卡)_202507_刷公司卡後補收據_付款對像：godaddy，.app、.com.tw、.tw約期：2025/07/02-2026/07/02(findining.ai約期為2025/07/02-2027/07/02)(沖ER6443)")</f>
        <v>資廚管理顧問股份有限公司(公司卡)_202507_刷公司卡後補收據_付款對像：godaddy，.app、.com.tw、.tw約期：2025/07/02-2026/07/02(findining.ai約期為2025/07/02-2027/07/02)(沖ER6443)</v>
      </c>
      <c r="V77" s="37"/>
      <c r="W77" s="37"/>
      <c r="X77" s="37"/>
      <c r="Y77" s="49">
        <f>IFERROR(__xludf.DUMMYFUNCTION("""COMPUTED_VALUE"""),6267.0)</f>
        <v>6267</v>
      </c>
      <c r="Z77" s="37">
        <f>IFERROR(__xludf.DUMMYFUNCTION("""COMPUTED_VALUE"""),520001.0)</f>
        <v>520001</v>
      </c>
      <c r="AA77" s="37" t="str">
        <f>IFERROR(__xludf.DUMMYFUNCTION("""COMPUTED_VALUE"""),"執行長室")</f>
        <v>執行長室</v>
      </c>
      <c r="AB77" s="48" t="str">
        <f>IFERROR(__xludf.DUMMYFUNCTION("""COMPUTED_VALUE"""),"執行長室")</f>
        <v>執行長室</v>
      </c>
      <c r="AC77" s="48" t="str">
        <f>IFERROR(__xludf.DUMMYFUNCTION("""COMPUTED_VALUE"""),"No_Product_Line")</f>
        <v>No_Product_Line</v>
      </c>
      <c r="AD77" s="48" t="str">
        <f>IFERROR(__xludf.DUMMYFUNCTION("""COMPUTED_VALUE"""),"CEOTA1")</f>
        <v>CEOTA1</v>
      </c>
      <c r="AE77" s="48" t="str">
        <f>IFERROR(__xludf.DUMMYFUNCTION("""COMPUTED_VALUE"""),"S1KP2")</f>
        <v>S1KP2</v>
      </c>
      <c r="AF77" s="49">
        <f>IFERROR(__xludf.DUMMYFUNCTION("""COMPUTED_VALUE"""),8359.0)</f>
        <v>8359</v>
      </c>
      <c r="AG77" s="49">
        <f>IFERROR(__xludf.DUMMYFUNCTION("""COMPUTED_VALUE"""),12.0)</f>
        <v>12</v>
      </c>
      <c r="AH77" s="49">
        <f>IFERROR(__xludf.DUMMYFUNCTION("""COMPUTED_VALUE"""),2092.0)</f>
        <v>2092</v>
      </c>
      <c r="AI77" s="49">
        <f>IFERROR(__xludf.DUMMYFUNCTION("""COMPUTED_VALUE"""),0.0)</f>
        <v>0</v>
      </c>
      <c r="AJ77" s="37"/>
      <c r="AK77" s="37"/>
      <c r="AL77" s="37"/>
      <c r="AM77" s="37"/>
      <c r="AN77" s="37"/>
      <c r="AO77" s="37"/>
      <c r="AP77" s="49">
        <f>IFERROR(__xludf.DUMMYFUNCTION("""COMPUTED_VALUE"""),700.0)</f>
        <v>700</v>
      </c>
      <c r="AQ77" s="49">
        <f>IFERROR(__xludf.DUMMYFUNCTION("""COMPUTED_VALUE"""),696.0)</f>
        <v>696</v>
      </c>
      <c r="AR77" s="49">
        <f>IFERROR(__xludf.DUMMYFUNCTION("""COMPUTED_VALUE"""),696.0)</f>
        <v>696</v>
      </c>
      <c r="AS77" s="49">
        <f>IFERROR(__xludf.DUMMYFUNCTION("""COMPUTED_VALUE"""),696.0)</f>
        <v>696</v>
      </c>
      <c r="AT77" s="49">
        <f>IFERROR(__xludf.DUMMYFUNCTION("""COMPUTED_VALUE"""),696.0)</f>
        <v>696</v>
      </c>
      <c r="AU77" s="49">
        <f>IFERROR(__xludf.DUMMYFUNCTION("""COMPUTED_VALUE"""),696.0)</f>
        <v>696</v>
      </c>
      <c r="AV77" s="49">
        <f>IFERROR(__xludf.DUMMYFUNCTION("""COMPUTED_VALUE"""),696.0)</f>
        <v>696</v>
      </c>
      <c r="AW77" s="49">
        <f>IFERROR(__xludf.DUMMYFUNCTION("""COMPUTED_VALUE"""),696.0)</f>
        <v>696</v>
      </c>
      <c r="AX77" s="49">
        <f>IFERROR(__xludf.DUMMYFUNCTION("""COMPUTED_VALUE"""),696.0)</f>
        <v>696</v>
      </c>
      <c r="AY77" s="49">
        <f>IFERROR(__xludf.DUMMYFUNCTION("""COMPUTED_VALUE"""),696.0)</f>
        <v>696</v>
      </c>
      <c r="AZ77" s="49">
        <f>IFERROR(__xludf.DUMMYFUNCTION("""COMPUTED_VALUE"""),696.0)</f>
        <v>696</v>
      </c>
    </row>
    <row r="78">
      <c r="B78" s="37"/>
      <c r="C78" s="37"/>
      <c r="D78" s="37"/>
      <c r="E78" s="37"/>
      <c r="F78" s="37"/>
      <c r="G78" s="37"/>
      <c r="H78" s="37"/>
      <c r="I78" s="37">
        <f>IFERROR(__xludf.DUMMYFUNCTION("""COMPUTED_VALUE"""),74.0)</f>
        <v>74</v>
      </c>
      <c r="J78" s="37"/>
      <c r="K78" s="37"/>
      <c r="L78" s="37"/>
      <c r="M78" s="37" t="str">
        <f>IFERROR(__xludf.DUMMYFUNCTION("""COMPUTED_VALUE"""),"Journal")</f>
        <v>Journal</v>
      </c>
      <c r="N78" s="45">
        <f>IFERROR(__xludf.DUMMYFUNCTION("""COMPUTED_VALUE"""),45848.0)</f>
        <v>45848</v>
      </c>
      <c r="O78" s="37">
        <f>IFERROR(__xludf.DUMMYFUNCTION("""COMPUTED_VALUE"""),18008.0)</f>
        <v>18008</v>
      </c>
      <c r="P78" s="37"/>
      <c r="Q78" s="37"/>
      <c r="R78" s="37"/>
      <c r="S78" s="37"/>
      <c r="T78" s="37"/>
      <c r="U78" s="37" t="str">
        <f>IFERROR(__xludf.DUMMYFUNCTION("""COMPUTED_VALUE"""),"車欣蓓_202507_社群組共同使用帳號：Capcut 剪輯軟體一年費用（去除浮水印、進階特效、轉場功能）(20250725-20260725)(沖ER6660)")</f>
        <v>車欣蓓_202507_社群組共同使用帳號：Capcut 剪輯軟體一年費用（去除浮水印、進階特效、轉場功能）(20250725-20260725)(沖ER6660)</v>
      </c>
      <c r="V78" s="37"/>
      <c r="W78" s="37"/>
      <c r="X78" s="37"/>
      <c r="Y78" s="49">
        <f>IFERROR(__xludf.DUMMYFUNCTION("""COMPUTED_VALUE"""),3366.0)</f>
        <v>3366</v>
      </c>
      <c r="Z78" s="37">
        <f>IFERROR(__xludf.DUMMYFUNCTION("""COMPUTED_VALUE"""),603201.0)</f>
        <v>603201</v>
      </c>
      <c r="AA78" s="37" t="str">
        <f>IFERROR(__xludf.DUMMYFUNCTION("""COMPUTED_VALUE"""),"行銷營運中心")</f>
        <v>行銷營運中心</v>
      </c>
      <c r="AB78" s="48" t="str">
        <f>IFERROR(__xludf.DUMMYFUNCTION("""COMPUTED_VALUE"""),"執行長室 : 行銷營運中心 : 社群關係部 : 餐廳社群團隊 : 社群營運組")</f>
        <v>執行長室 : 行銷營運中心 : 社群關係部 : 餐廳社群團隊 : 社群營運組</v>
      </c>
      <c r="AC78" s="48" t="str">
        <f>IFERROR(__xludf.DUMMYFUNCTION("""COMPUTED_VALUE"""),"No_Product_Line")</f>
        <v>No_Product_Line</v>
      </c>
      <c r="AD78" s="48" t="str">
        <f>IFERROR(__xludf.DUMMYFUNCTION("""COMPUTED_VALUE"""),"Baseline")</f>
        <v>Baseline</v>
      </c>
      <c r="AE78" s="48" t="str">
        <f>IFERROR(__xludf.DUMMYFUNCTION("""COMPUTED_VALUE"""),"Baseline")</f>
        <v>Baseline</v>
      </c>
      <c r="AF78" s="49">
        <f>IFERROR(__xludf.DUMMYFUNCTION("""COMPUTED_VALUE"""),4490.0)</f>
        <v>4490</v>
      </c>
      <c r="AG78" s="49">
        <f>IFERROR(__xludf.DUMMYFUNCTION("""COMPUTED_VALUE"""),12.0)</f>
        <v>12</v>
      </c>
      <c r="AH78" s="49">
        <f>IFERROR(__xludf.DUMMYFUNCTION("""COMPUTED_VALUE"""),1124.0)</f>
        <v>1124</v>
      </c>
      <c r="AI78" s="49">
        <f>IFERROR(__xludf.DUMMYFUNCTION("""COMPUTED_VALUE"""),0.0)</f>
        <v>0</v>
      </c>
      <c r="AJ78" s="37"/>
      <c r="AK78" s="37"/>
      <c r="AL78" s="37"/>
      <c r="AM78" s="37"/>
      <c r="AN78" s="37"/>
      <c r="AO78" s="37"/>
      <c r="AP78" s="49">
        <f>IFERROR(__xludf.DUMMYFUNCTION("""COMPUTED_VALUE"""),376.0)</f>
        <v>376</v>
      </c>
      <c r="AQ78" s="49">
        <f>IFERROR(__xludf.DUMMYFUNCTION("""COMPUTED_VALUE"""),374.0)</f>
        <v>374</v>
      </c>
      <c r="AR78" s="49">
        <f>IFERROR(__xludf.DUMMYFUNCTION("""COMPUTED_VALUE"""),374.0)</f>
        <v>374</v>
      </c>
      <c r="AS78" s="49">
        <f>IFERROR(__xludf.DUMMYFUNCTION("""COMPUTED_VALUE"""),374.0)</f>
        <v>374</v>
      </c>
      <c r="AT78" s="49">
        <f>IFERROR(__xludf.DUMMYFUNCTION("""COMPUTED_VALUE"""),374.0)</f>
        <v>374</v>
      </c>
      <c r="AU78" s="49">
        <f>IFERROR(__xludf.DUMMYFUNCTION("""COMPUTED_VALUE"""),374.0)</f>
        <v>374</v>
      </c>
      <c r="AV78" s="49">
        <f>IFERROR(__xludf.DUMMYFUNCTION("""COMPUTED_VALUE"""),374.0)</f>
        <v>374</v>
      </c>
      <c r="AW78" s="49">
        <f>IFERROR(__xludf.DUMMYFUNCTION("""COMPUTED_VALUE"""),374.0)</f>
        <v>374</v>
      </c>
      <c r="AX78" s="49">
        <f>IFERROR(__xludf.DUMMYFUNCTION("""COMPUTED_VALUE"""),374.0)</f>
        <v>374</v>
      </c>
      <c r="AY78" s="49">
        <f>IFERROR(__xludf.DUMMYFUNCTION("""COMPUTED_VALUE"""),374.0)</f>
        <v>374</v>
      </c>
      <c r="AZ78" s="49">
        <f>IFERROR(__xludf.DUMMYFUNCTION("""COMPUTED_VALUE"""),374.0)</f>
        <v>374</v>
      </c>
    </row>
    <row r="79">
      <c r="B79" s="37"/>
      <c r="C79" s="37"/>
      <c r="D79" s="37"/>
      <c r="E79" s="37"/>
      <c r="F79" s="37"/>
      <c r="G79" s="37"/>
      <c r="H79" s="37"/>
      <c r="I79" s="37">
        <f>IFERROR(__xludf.DUMMYFUNCTION("""COMPUTED_VALUE"""),75.0)</f>
        <v>75</v>
      </c>
      <c r="J79" s="37"/>
      <c r="K79" s="37"/>
      <c r="L79" s="37"/>
      <c r="M79" s="37" t="str">
        <f>IFERROR(__xludf.DUMMYFUNCTION("""COMPUTED_VALUE"""),"Journal")</f>
        <v>Journal</v>
      </c>
      <c r="N79" s="45">
        <f>IFERROR(__xludf.DUMMYFUNCTION("""COMPUTED_VALUE"""),45867.0)</f>
        <v>45867</v>
      </c>
      <c r="O79" s="37">
        <f>IFERROR(__xludf.DUMMYFUNCTION("""COMPUTED_VALUE"""),18126.0)</f>
        <v>18126</v>
      </c>
      <c r="P79" s="37"/>
      <c r="Q79" s="37"/>
      <c r="R79" s="37"/>
      <c r="S79" s="37"/>
      <c r="T79" s="37"/>
      <c r="U79" s="37" t="str">
        <f>IFERROR(__xludf.DUMMYFUNCTION("""COMPUTED_VALUE"""),"資廚管理顧問股份有限公司(公司卡)_202505_Figma+FigJam設計生產力軟體工具款項(約期2025/5/27-2026/5/27)_ PCAR-3413(沖ER6607)")</f>
        <v>資廚管理顧問股份有限公司(公司卡)_202505_Figma+FigJam設計生產力軟體工具款項(約期2025/5/27-2026/5/27)_ PCAR-3413(沖ER6607)</v>
      </c>
      <c r="V79" s="37"/>
      <c r="W79" s="37"/>
      <c r="X79" s="37"/>
      <c r="Y79" s="49">
        <f>IFERROR(__xludf.DUMMYFUNCTION("""COMPUTED_VALUE"""),83632.0)</f>
        <v>83632</v>
      </c>
      <c r="Z79" s="37">
        <f>IFERROR(__xludf.DUMMYFUNCTION("""COMPUTED_VALUE"""),520001.0)</f>
        <v>520001</v>
      </c>
      <c r="AA79" s="37" t="str">
        <f>IFERROR(__xludf.DUMMYFUNCTION("""COMPUTED_VALUE"""),"研發中心")</f>
        <v>研發中心</v>
      </c>
      <c r="AB79" s="48" t="str">
        <f>IFERROR(__xludf.DUMMYFUNCTION("""COMPUTED_VALUE"""),"執行長室 : 研發中心 : 軟體工程部")</f>
        <v>執行長室 : 研發中心 : 軟體工程部</v>
      </c>
      <c r="AC79" s="48" t="str">
        <f>IFERROR(__xludf.DUMMYFUNCTION("""COMPUTED_VALUE"""),"No_Product_Line")</f>
        <v>No_Product_Line</v>
      </c>
      <c r="AD79" s="48" t="str">
        <f>IFERROR(__xludf.DUMMYFUNCTION("""COMPUTED_VALUE"""),"Baseline")</f>
        <v>Baseline</v>
      </c>
      <c r="AE79" s="48" t="str">
        <f>IFERROR(__xludf.DUMMYFUNCTION("""COMPUTED_VALUE"""),"Baseline")</f>
        <v>Baseline</v>
      </c>
      <c r="AF79" s="49">
        <f>IFERROR(__xludf.DUMMYFUNCTION("""COMPUTED_VALUE"""),143425.0)</f>
        <v>143425</v>
      </c>
      <c r="AG79" s="49">
        <f>IFERROR(__xludf.DUMMYFUNCTION("""COMPUTED_VALUE"""),12.0)</f>
        <v>12</v>
      </c>
      <c r="AH79" s="49">
        <f>IFERROR(__xludf.DUMMYFUNCTION("""COMPUTED_VALUE"""),59793.0)</f>
        <v>59793</v>
      </c>
      <c r="AI79" s="49">
        <f>IFERROR(__xludf.DUMMYFUNCTION("""COMPUTED_VALUE"""),0.0)</f>
        <v>0</v>
      </c>
      <c r="AJ79" s="37"/>
      <c r="AK79" s="37"/>
      <c r="AL79" s="37"/>
      <c r="AM79" s="37"/>
      <c r="AN79" s="37"/>
      <c r="AO79" s="37"/>
      <c r="AP79" s="49">
        <f>IFERROR(__xludf.DUMMYFUNCTION("""COMPUTED_VALUE"""),35899.0)</f>
        <v>35899</v>
      </c>
      <c r="AQ79" s="49">
        <f>IFERROR(__xludf.DUMMYFUNCTION("""COMPUTED_VALUE"""),11947.0)</f>
        <v>11947</v>
      </c>
      <c r="AR79" s="49">
        <f>IFERROR(__xludf.DUMMYFUNCTION("""COMPUTED_VALUE"""),11947.0)</f>
        <v>11947</v>
      </c>
      <c r="AS79" s="49">
        <f>IFERROR(__xludf.DUMMYFUNCTION("""COMPUTED_VALUE"""),11947.0)</f>
        <v>11947</v>
      </c>
      <c r="AT79" s="49">
        <f>IFERROR(__xludf.DUMMYFUNCTION("""COMPUTED_VALUE"""),11947.0)</f>
        <v>11947</v>
      </c>
      <c r="AU79" s="49">
        <f>IFERROR(__xludf.DUMMYFUNCTION("""COMPUTED_VALUE"""),11947.0)</f>
        <v>11947</v>
      </c>
      <c r="AV79" s="49">
        <f>IFERROR(__xludf.DUMMYFUNCTION("""COMPUTED_VALUE"""),11947.0)</f>
        <v>11947</v>
      </c>
      <c r="AW79" s="49">
        <f>IFERROR(__xludf.DUMMYFUNCTION("""COMPUTED_VALUE"""),11947.0)</f>
        <v>11947</v>
      </c>
      <c r="AX79" s="49">
        <f>IFERROR(__xludf.DUMMYFUNCTION("""COMPUTED_VALUE"""),11947.0)</f>
        <v>11947</v>
      </c>
      <c r="AY79" s="49">
        <f>IFERROR(__xludf.DUMMYFUNCTION("""COMPUTED_VALUE"""),11950.0)</f>
        <v>11950</v>
      </c>
      <c r="AZ79" s="37"/>
    </row>
    <row r="80">
      <c r="B80" s="37"/>
      <c r="C80" s="37"/>
      <c r="D80" s="37"/>
      <c r="E80" s="37"/>
      <c r="F80" s="37"/>
      <c r="G80" s="37"/>
      <c r="H80" s="37"/>
      <c r="I80" s="37">
        <f>IFERROR(__xludf.DUMMYFUNCTION("""COMPUTED_VALUE"""),76.0)</f>
        <v>76</v>
      </c>
      <c r="J80" s="37"/>
      <c r="K80" s="37"/>
      <c r="L80" s="37"/>
      <c r="M80" s="37" t="str">
        <f>IFERROR(__xludf.DUMMYFUNCTION("""COMPUTED_VALUE"""),"Journal")</f>
        <v>Journal</v>
      </c>
      <c r="N80" s="45">
        <f>IFERROR(__xludf.DUMMYFUNCTION("""COMPUTED_VALUE"""),45867.0)</f>
        <v>45867</v>
      </c>
      <c r="O80" s="37">
        <f>IFERROR(__xludf.DUMMYFUNCTION("""COMPUTED_VALUE"""),18126.0)</f>
        <v>18126</v>
      </c>
      <c r="P80" s="37"/>
      <c r="Q80" s="37"/>
      <c r="R80" s="37"/>
      <c r="S80" s="37"/>
      <c r="T80" s="37"/>
      <c r="U80" s="37" t="str">
        <f>IFERROR(__xludf.DUMMYFUNCTION("""COMPUTED_VALUE"""),"資廚管理顧問股份有限公司(公司卡)_202507_QE團隊測試案例管理工具TestRail款項(約期2025/7/1-2026/6/30)_PCAR-3321")</f>
        <v>資廚管理顧問股份有限公司(公司卡)_202507_QE團隊測試案例管理工具TestRail款項(約期2025/7/1-2026/6/30)_PCAR-3321</v>
      </c>
      <c r="V80" s="37"/>
      <c r="W80" s="37"/>
      <c r="X80" s="37"/>
      <c r="Y80" s="49">
        <f>IFERROR(__xludf.DUMMYFUNCTION("""COMPUTED_VALUE"""),83447.0)</f>
        <v>83447</v>
      </c>
      <c r="Z80" s="37">
        <f>IFERROR(__xludf.DUMMYFUNCTION("""COMPUTED_VALUE"""),520001.0)</f>
        <v>520001</v>
      </c>
      <c r="AA80" s="37" t="str">
        <f>IFERROR(__xludf.DUMMYFUNCTION("""COMPUTED_VALUE"""),"研發中心")</f>
        <v>研發中心</v>
      </c>
      <c r="AB80" s="48" t="str">
        <f>IFERROR(__xludf.DUMMYFUNCTION("""COMPUTED_VALUE"""),"執行長室 : 研發中心 : 軟體工程部")</f>
        <v>執行長室 : 研發中心 : 軟體工程部</v>
      </c>
      <c r="AC80" s="48" t="str">
        <f>IFERROR(__xludf.DUMMYFUNCTION("""COMPUTED_VALUE"""),"No_Product_Line")</f>
        <v>No_Product_Line</v>
      </c>
      <c r="AD80" s="48" t="str">
        <f>IFERROR(__xludf.DUMMYFUNCTION("""COMPUTED_VALUE"""),"Baseline")</f>
        <v>Baseline</v>
      </c>
      <c r="AE80" s="48" t="str">
        <f>IFERROR(__xludf.DUMMYFUNCTION("""COMPUTED_VALUE"""),"Baseline")</f>
        <v>Baseline</v>
      </c>
      <c r="AF80" s="49">
        <f>IFERROR(__xludf.DUMMYFUNCTION("""COMPUTED_VALUE"""),111307.0)</f>
        <v>111307</v>
      </c>
      <c r="AG80" s="49">
        <f>IFERROR(__xludf.DUMMYFUNCTION("""COMPUTED_VALUE"""),12.0)</f>
        <v>12</v>
      </c>
      <c r="AH80" s="49">
        <f>IFERROR(__xludf.DUMMYFUNCTION("""COMPUTED_VALUE"""),27860.0)</f>
        <v>27860</v>
      </c>
      <c r="AI80" s="49">
        <f>IFERROR(__xludf.DUMMYFUNCTION("""COMPUTED_VALUE"""),0.0)</f>
        <v>0</v>
      </c>
      <c r="AJ80" s="37"/>
      <c r="AK80" s="37"/>
      <c r="AL80" s="37"/>
      <c r="AM80" s="37"/>
      <c r="AN80" s="37"/>
      <c r="AO80" s="37"/>
      <c r="AP80" s="49">
        <f>IFERROR(__xludf.DUMMYFUNCTION("""COMPUTED_VALUE"""),9316.0)</f>
        <v>9316</v>
      </c>
      <c r="AQ80" s="49">
        <f>IFERROR(__xludf.DUMMYFUNCTION("""COMPUTED_VALUE"""),9272.0)</f>
        <v>9272</v>
      </c>
      <c r="AR80" s="49">
        <f>IFERROR(__xludf.DUMMYFUNCTION("""COMPUTED_VALUE"""),9272.0)</f>
        <v>9272</v>
      </c>
      <c r="AS80" s="49">
        <f>IFERROR(__xludf.DUMMYFUNCTION("""COMPUTED_VALUE"""),9272.0)</f>
        <v>9272</v>
      </c>
      <c r="AT80" s="49">
        <f>IFERROR(__xludf.DUMMYFUNCTION("""COMPUTED_VALUE"""),9272.0)</f>
        <v>9272</v>
      </c>
      <c r="AU80" s="49">
        <f>IFERROR(__xludf.DUMMYFUNCTION("""COMPUTED_VALUE"""),9272.0)</f>
        <v>9272</v>
      </c>
      <c r="AV80" s="49">
        <f>IFERROR(__xludf.DUMMYFUNCTION("""COMPUTED_VALUE"""),9272.0)</f>
        <v>9272</v>
      </c>
      <c r="AW80" s="49">
        <f>IFERROR(__xludf.DUMMYFUNCTION("""COMPUTED_VALUE"""),9272.0)</f>
        <v>9272</v>
      </c>
      <c r="AX80" s="49">
        <f>IFERROR(__xludf.DUMMYFUNCTION("""COMPUTED_VALUE"""),9272.0)</f>
        <v>9272</v>
      </c>
      <c r="AY80" s="49">
        <f>IFERROR(__xludf.DUMMYFUNCTION("""COMPUTED_VALUE"""),9272.0)</f>
        <v>9272</v>
      </c>
      <c r="AZ80" s="49">
        <f>IFERROR(__xludf.DUMMYFUNCTION("""COMPUTED_VALUE"""),9272.0)</f>
        <v>9272</v>
      </c>
    </row>
    <row r="81">
      <c r="B81" s="37"/>
      <c r="C81" s="37"/>
      <c r="D81" s="37"/>
      <c r="E81" s="37"/>
      <c r="F81" s="37"/>
      <c r="G81" s="37"/>
      <c r="H81" s="37"/>
      <c r="I81" s="37">
        <f>IFERROR(__xludf.DUMMYFUNCTION("""COMPUTED_VALUE"""),77.0)</f>
        <v>77</v>
      </c>
      <c r="J81" s="37" t="str">
        <f>IFERROR(__xludf.DUMMYFUNCTION("""COMPUTED_VALUE"""),"Y")</f>
        <v>Y</v>
      </c>
      <c r="K81" s="37" t="str">
        <f>IFERROR(__xludf.DUMMYFUNCTION("""COMPUTED_VALUE"""),"Y")</f>
        <v>Y</v>
      </c>
      <c r="L81" s="37"/>
      <c r="M81" s="37" t="str">
        <f>IFERROR(__xludf.DUMMYFUNCTION("""COMPUTED_VALUE"""),"Bill")</f>
        <v>Bill</v>
      </c>
      <c r="N81" s="45">
        <f>IFERROR(__xludf.DUMMYFUNCTION("""COMPUTED_VALUE"""),45889.0)</f>
        <v>45889</v>
      </c>
      <c r="O81" s="37">
        <f>IFERROR(__xludf.DUMMYFUNCTION("""COMPUTED_VALUE"""),6009.0)</f>
        <v>6009</v>
      </c>
      <c r="P81" s="37"/>
      <c r="Q81" s="37"/>
      <c r="R81" s="37"/>
      <c r="S81" s="37"/>
      <c r="T81" s="37"/>
      <c r="U81" s="37" t="str">
        <f>IFERROR(__xludf.DUMMYFUNCTION("""COMPUTED_VALUE"""),"Oracle Netsuite 202507 帳號季繳款項(20250801-20251031)(憑證在ER6659)")</f>
        <v>Oracle Netsuite 202507 帳號季繳款項(20250801-20251031)(憑證在ER6659)</v>
      </c>
      <c r="V81" s="37"/>
      <c r="W81" s="37"/>
      <c r="X81" s="37"/>
      <c r="Y81" s="49">
        <f>IFERROR(__xludf.DUMMYFUNCTION("""COMPUTED_VALUE"""),115120.0)</f>
        <v>115120</v>
      </c>
      <c r="Z81" s="37">
        <f>IFERROR(__xludf.DUMMYFUNCTION("""COMPUTED_VALUE"""),613201.0)</f>
        <v>613201</v>
      </c>
      <c r="AA81" s="37" t="str">
        <f>IFERROR(__xludf.DUMMYFUNCTION("""COMPUTED_VALUE"""),"管理中心")</f>
        <v>管理中心</v>
      </c>
      <c r="AB81" s="48" t="str">
        <f>IFERROR(__xludf.DUMMYFUNCTION("""COMPUTED_VALUE"""),"執行長室 : 管理中心 : 資訊部")</f>
        <v>執行長室 : 管理中心 : 資訊部</v>
      </c>
      <c r="AC81" s="48" t="str">
        <f>IFERROR(__xludf.DUMMYFUNCTION("""COMPUTED_VALUE"""),"No_Product_Line")</f>
        <v>No_Product_Line</v>
      </c>
      <c r="AD81" s="48" t="str">
        <f>IFERROR(__xludf.DUMMYFUNCTION("""COMPUTED_VALUE"""),"Baseline")</f>
        <v>Baseline</v>
      </c>
      <c r="AE81" s="48" t="str">
        <f>IFERROR(__xludf.DUMMYFUNCTION("""COMPUTED_VALUE"""),"Baseline")</f>
        <v>Baseline</v>
      </c>
      <c r="AF81" s="49">
        <f>IFERROR(__xludf.DUMMYFUNCTION("""COMPUTED_VALUE"""),345394.0)</f>
        <v>345394</v>
      </c>
      <c r="AG81" s="49">
        <f>IFERROR(__xludf.DUMMYFUNCTION("""COMPUTED_VALUE"""),3.0)</f>
        <v>3</v>
      </c>
      <c r="AH81" s="49">
        <f>IFERROR(__xludf.DUMMYFUNCTION("""COMPUTED_VALUE"""),230274.0)</f>
        <v>230274</v>
      </c>
      <c r="AI81" s="49">
        <f>IFERROR(__xludf.DUMMYFUNCTION("""COMPUTED_VALUE"""),0.0)</f>
        <v>0</v>
      </c>
      <c r="AJ81" s="37"/>
      <c r="AK81" s="37"/>
      <c r="AL81" s="37"/>
      <c r="AM81" s="37"/>
      <c r="AN81" s="37"/>
      <c r="AO81" s="37"/>
      <c r="AP81" s="37"/>
      <c r="AQ81" s="49">
        <f>IFERROR(__xludf.DUMMYFUNCTION("""COMPUTED_VALUE"""),115154.0)</f>
        <v>115154</v>
      </c>
      <c r="AR81" s="49">
        <f>IFERROR(__xludf.DUMMYFUNCTION("""COMPUTED_VALUE"""),115120.0)</f>
        <v>115120</v>
      </c>
      <c r="AS81" s="49">
        <f>IFERROR(__xludf.DUMMYFUNCTION("""COMPUTED_VALUE"""),115120.0)</f>
        <v>115120</v>
      </c>
      <c r="AT81" s="37"/>
      <c r="AU81" s="37"/>
      <c r="AV81" s="37"/>
      <c r="AW81" s="37"/>
      <c r="AX81" s="37"/>
      <c r="AY81" s="37"/>
      <c r="AZ81" s="37"/>
    </row>
    <row r="82">
      <c r="B82" s="37"/>
      <c r="C82" s="37"/>
      <c r="D82" s="37"/>
      <c r="E82" s="37"/>
      <c r="F82" s="37"/>
      <c r="G82" s="37"/>
      <c r="H82" s="37"/>
      <c r="I82" s="37">
        <f>IFERROR(__xludf.DUMMYFUNCTION("""COMPUTED_VALUE"""),78.0)</f>
        <v>78</v>
      </c>
      <c r="J82" s="37" t="str">
        <f>IFERROR(__xludf.DUMMYFUNCTION("""COMPUTED_VALUE"""),"Y")</f>
        <v>Y</v>
      </c>
      <c r="K82" s="37" t="str">
        <f>IFERROR(__xludf.DUMMYFUNCTION("""COMPUTED_VALUE"""),"Y")</f>
        <v>Y</v>
      </c>
      <c r="L82" s="37"/>
      <c r="M82" s="37" t="str">
        <f>IFERROR(__xludf.DUMMYFUNCTION("""COMPUTED_VALUE"""),"Bill")</f>
        <v>Bill</v>
      </c>
      <c r="N82" s="45">
        <f>IFERROR(__xludf.DUMMYFUNCTION("""COMPUTED_VALUE"""),45889.0)</f>
        <v>45889</v>
      </c>
      <c r="O82" s="37">
        <f>IFERROR(__xludf.DUMMYFUNCTION("""COMPUTED_VALUE"""),6009.0)</f>
        <v>6009</v>
      </c>
      <c r="P82" s="37"/>
      <c r="Q82" s="37"/>
      <c r="R82" s="37"/>
      <c r="S82" s="37"/>
      <c r="T82" s="37"/>
      <c r="U82" s="37" t="str">
        <f>IFERROR(__xludf.DUMMYFUNCTION("""COMPUTED_VALUE"""),"Oracle Netsuite 202507 帳號季繳款項(20250801-20251031)(憑證在ER6659)")</f>
        <v>Oracle Netsuite 202507 帳號季繳款項(20250801-20251031)(憑證在ER6659)</v>
      </c>
      <c r="V82" s="37"/>
      <c r="W82" s="37"/>
      <c r="X82" s="37"/>
      <c r="Y82" s="49">
        <f>IFERROR(__xludf.DUMMYFUNCTION("""COMPUTED_VALUE"""),3582.0)</f>
        <v>3582</v>
      </c>
      <c r="Z82" s="37">
        <f>IFERROR(__xludf.DUMMYFUNCTION("""COMPUTED_VALUE"""),613201.0)</f>
        <v>613201</v>
      </c>
      <c r="AA82" s="37" t="str">
        <f>IFERROR(__xludf.DUMMYFUNCTION("""COMPUTED_VALUE"""),"執行長室")</f>
        <v>執行長室</v>
      </c>
      <c r="AB82" s="48" t="str">
        <f>IFERROR(__xludf.DUMMYFUNCTION("""COMPUTED_VALUE"""),"執行長室")</f>
        <v>執行長室</v>
      </c>
      <c r="AC82" s="48" t="str">
        <f>IFERROR(__xludf.DUMMYFUNCTION("""COMPUTED_VALUE"""),"No_Product_Line")</f>
        <v>No_Product_Line</v>
      </c>
      <c r="AD82" s="48" t="str">
        <f>IFERROR(__xludf.DUMMYFUNCTION("""COMPUTED_VALUE"""),"Baseline")</f>
        <v>Baseline</v>
      </c>
      <c r="AE82" s="48" t="str">
        <f>IFERROR(__xludf.DUMMYFUNCTION("""COMPUTED_VALUE"""),"Baseline")</f>
        <v>Baseline</v>
      </c>
      <c r="AF82" s="49">
        <f>IFERROR(__xludf.DUMMYFUNCTION("""COMPUTED_VALUE"""),10745.0)</f>
        <v>10745</v>
      </c>
      <c r="AG82" s="49">
        <f>IFERROR(__xludf.DUMMYFUNCTION("""COMPUTED_VALUE"""),3.0)</f>
        <v>3</v>
      </c>
      <c r="AH82" s="49">
        <f>IFERROR(__xludf.DUMMYFUNCTION("""COMPUTED_VALUE"""),7163.0)</f>
        <v>7163</v>
      </c>
      <c r="AI82" s="49">
        <f>IFERROR(__xludf.DUMMYFUNCTION("""COMPUTED_VALUE"""),0.0)</f>
        <v>0</v>
      </c>
      <c r="AJ82" s="37"/>
      <c r="AK82" s="37"/>
      <c r="AL82" s="37"/>
      <c r="AM82" s="37"/>
      <c r="AN82" s="37"/>
      <c r="AO82" s="37"/>
      <c r="AP82" s="37"/>
      <c r="AQ82" s="49">
        <f>IFERROR(__xludf.DUMMYFUNCTION("""COMPUTED_VALUE"""),3582.0)</f>
        <v>3582</v>
      </c>
      <c r="AR82" s="49">
        <f>IFERROR(__xludf.DUMMYFUNCTION("""COMPUTED_VALUE"""),3581.0)</f>
        <v>3581</v>
      </c>
      <c r="AS82" s="49">
        <f>IFERROR(__xludf.DUMMYFUNCTION("""COMPUTED_VALUE"""),3582.0)</f>
        <v>3582</v>
      </c>
      <c r="AT82" s="37"/>
      <c r="AU82" s="37"/>
      <c r="AV82" s="37"/>
      <c r="AW82" s="37"/>
      <c r="AX82" s="37"/>
      <c r="AY82" s="37"/>
      <c r="AZ82" s="37"/>
    </row>
    <row r="83">
      <c r="B83" s="37"/>
      <c r="C83" s="37"/>
      <c r="D83" s="37"/>
      <c r="E83" s="37"/>
      <c r="F83" s="37"/>
      <c r="G83" s="37"/>
      <c r="H83" s="37"/>
      <c r="I83" s="37">
        <f>IFERROR(__xludf.DUMMYFUNCTION("""COMPUTED_VALUE"""),79.0)</f>
        <v>79</v>
      </c>
      <c r="J83" s="37" t="str">
        <f>IFERROR(__xludf.DUMMYFUNCTION("""COMPUTED_VALUE"""),"Y")</f>
        <v>Y</v>
      </c>
      <c r="K83" s="37" t="str">
        <f>IFERROR(__xludf.DUMMYFUNCTION("""COMPUTED_VALUE"""),"Y")</f>
        <v>Y</v>
      </c>
      <c r="L83" s="37"/>
      <c r="M83" s="37" t="str">
        <f>IFERROR(__xludf.DUMMYFUNCTION("""COMPUTED_VALUE"""),"Bill")</f>
        <v>Bill</v>
      </c>
      <c r="N83" s="45">
        <f>IFERROR(__xludf.DUMMYFUNCTION("""COMPUTED_VALUE"""),45889.0)</f>
        <v>45889</v>
      </c>
      <c r="O83" s="37">
        <f>IFERROR(__xludf.DUMMYFUNCTION("""COMPUTED_VALUE"""),6009.0)</f>
        <v>6009</v>
      </c>
      <c r="P83" s="37"/>
      <c r="Q83" s="37"/>
      <c r="R83" s="37"/>
      <c r="S83" s="37"/>
      <c r="T83" s="37"/>
      <c r="U83" s="37" t="str">
        <f>IFERROR(__xludf.DUMMYFUNCTION("""COMPUTED_VALUE"""),"Oracle Netsuite 202507 帳號季繳款項(20250801-20251031)(憑證在ER6659)")</f>
        <v>Oracle Netsuite 202507 帳號季繳款項(20250801-20251031)(憑證在ER6659)</v>
      </c>
      <c r="V83" s="37"/>
      <c r="W83" s="37"/>
      <c r="X83" s="37"/>
      <c r="Y83" s="49">
        <f>IFERROR(__xludf.DUMMYFUNCTION("""COMPUTED_VALUE"""),20860.0)</f>
        <v>20860</v>
      </c>
      <c r="Z83" s="37">
        <f>IFERROR(__xludf.DUMMYFUNCTION("""COMPUTED_VALUE"""),603201.0)</f>
        <v>603201</v>
      </c>
      <c r="AA83" s="37" t="str">
        <f>IFERROR(__xludf.DUMMYFUNCTION("""COMPUTED_VALUE"""),"行銷營運中心")</f>
        <v>行銷營運中心</v>
      </c>
      <c r="AB83" s="48" t="str">
        <f>IFERROR(__xludf.DUMMYFUNCTION("""COMPUTED_VALUE"""),"執行長室 : 行銷營運中心 : 行銷營運中心")</f>
        <v>執行長室 : 行銷營運中心 : 行銷營運中心</v>
      </c>
      <c r="AC83" s="48" t="str">
        <f>IFERROR(__xludf.DUMMYFUNCTION("""COMPUTED_VALUE"""),"No_Product_Line")</f>
        <v>No_Product_Line</v>
      </c>
      <c r="AD83" s="48" t="str">
        <f>IFERROR(__xludf.DUMMYFUNCTION("""COMPUTED_VALUE"""),"Baseline")</f>
        <v>Baseline</v>
      </c>
      <c r="AE83" s="48" t="str">
        <f>IFERROR(__xludf.DUMMYFUNCTION("""COMPUTED_VALUE"""),"Baseline")</f>
        <v>Baseline</v>
      </c>
      <c r="AF83" s="49">
        <f>IFERROR(__xludf.DUMMYFUNCTION("""COMPUTED_VALUE"""),62588.0)</f>
        <v>62588</v>
      </c>
      <c r="AG83" s="49">
        <f>IFERROR(__xludf.DUMMYFUNCTION("""COMPUTED_VALUE"""),3.0)</f>
        <v>3</v>
      </c>
      <c r="AH83" s="49">
        <f>IFERROR(__xludf.DUMMYFUNCTION("""COMPUTED_VALUE"""),41728.0)</f>
        <v>41728</v>
      </c>
      <c r="AI83" s="49">
        <f>IFERROR(__xludf.DUMMYFUNCTION("""COMPUTED_VALUE"""),0.0)</f>
        <v>0</v>
      </c>
      <c r="AJ83" s="37"/>
      <c r="AK83" s="37"/>
      <c r="AL83" s="37"/>
      <c r="AM83" s="37"/>
      <c r="AN83" s="37"/>
      <c r="AO83" s="37"/>
      <c r="AP83" s="37"/>
      <c r="AQ83" s="49">
        <f>IFERROR(__xludf.DUMMYFUNCTION("""COMPUTED_VALUE"""),20867.0)</f>
        <v>20867</v>
      </c>
      <c r="AR83" s="49">
        <f>IFERROR(__xludf.DUMMYFUNCTION("""COMPUTED_VALUE"""),20861.0)</f>
        <v>20861</v>
      </c>
      <c r="AS83" s="49">
        <f>IFERROR(__xludf.DUMMYFUNCTION("""COMPUTED_VALUE"""),20860.0)</f>
        <v>20860</v>
      </c>
      <c r="AT83" s="37"/>
      <c r="AU83" s="37"/>
      <c r="AV83" s="37"/>
      <c r="AW83" s="37"/>
      <c r="AX83" s="37"/>
      <c r="AY83" s="37"/>
      <c r="AZ83" s="37"/>
    </row>
    <row r="84">
      <c r="B84" s="37"/>
      <c r="C84" s="37"/>
      <c r="D84" s="37"/>
      <c r="E84" s="37"/>
      <c r="F84" s="37"/>
      <c r="G84" s="37"/>
      <c r="H84" s="37"/>
      <c r="I84" s="37">
        <f>IFERROR(__xludf.DUMMYFUNCTION("""COMPUTED_VALUE"""),80.0)</f>
        <v>80</v>
      </c>
      <c r="J84" s="37" t="str">
        <f>IFERROR(__xludf.DUMMYFUNCTION("""COMPUTED_VALUE"""),"Y")</f>
        <v>Y</v>
      </c>
      <c r="K84" s="37" t="str">
        <f>IFERROR(__xludf.DUMMYFUNCTION("""COMPUTED_VALUE"""),"Y")</f>
        <v>Y</v>
      </c>
      <c r="L84" s="37"/>
      <c r="M84" s="37" t="str">
        <f>IFERROR(__xludf.DUMMYFUNCTION("""COMPUTED_VALUE"""),"Bill")</f>
        <v>Bill</v>
      </c>
      <c r="N84" s="45">
        <f>IFERROR(__xludf.DUMMYFUNCTION("""COMPUTED_VALUE"""),45889.0)</f>
        <v>45889</v>
      </c>
      <c r="O84" s="37">
        <f>IFERROR(__xludf.DUMMYFUNCTION("""COMPUTED_VALUE"""),6009.0)</f>
        <v>6009</v>
      </c>
      <c r="P84" s="37"/>
      <c r="Q84" s="37"/>
      <c r="R84" s="37"/>
      <c r="S84" s="37"/>
      <c r="T84" s="37"/>
      <c r="U84" s="37" t="str">
        <f>IFERROR(__xludf.DUMMYFUNCTION("""COMPUTED_VALUE"""),"Oracle Netsuite 202507 帳號季繳款項(20250801-20251031)(憑證在ER6659)")</f>
        <v>Oracle Netsuite 202507 帳號季繳款項(20250801-20251031)(憑證在ER6659)</v>
      </c>
      <c r="V84" s="37"/>
      <c r="W84" s="37"/>
      <c r="X84" s="37"/>
      <c r="Y84" s="49">
        <f>IFERROR(__xludf.DUMMYFUNCTION("""COMPUTED_VALUE"""),3582.0)</f>
        <v>3582</v>
      </c>
      <c r="Z84" s="37">
        <f>IFERROR(__xludf.DUMMYFUNCTION("""COMPUTED_VALUE"""),613201.0)</f>
        <v>613201</v>
      </c>
      <c r="AA84" s="37" t="str">
        <f>IFERROR(__xludf.DUMMYFUNCTION("""COMPUTED_VALUE"""),"策略資料中心")</f>
        <v>策略資料中心</v>
      </c>
      <c r="AB84" s="48" t="str">
        <f>IFERROR(__xludf.DUMMYFUNCTION("""COMPUTED_VALUE"""),"執行長室 : 策略資料中心 : 策略資料中心")</f>
        <v>執行長室 : 策略資料中心 : 策略資料中心</v>
      </c>
      <c r="AC84" s="48" t="str">
        <f>IFERROR(__xludf.DUMMYFUNCTION("""COMPUTED_VALUE"""),"No_Product_Line")</f>
        <v>No_Product_Line</v>
      </c>
      <c r="AD84" s="48" t="str">
        <f>IFERROR(__xludf.DUMMYFUNCTION("""COMPUTED_VALUE"""),"Baseline")</f>
        <v>Baseline</v>
      </c>
      <c r="AE84" s="48" t="str">
        <f>IFERROR(__xludf.DUMMYFUNCTION("""COMPUTED_VALUE"""),"Baseline")</f>
        <v>Baseline</v>
      </c>
      <c r="AF84" s="49">
        <f>IFERROR(__xludf.DUMMYFUNCTION("""COMPUTED_VALUE"""),10745.0)</f>
        <v>10745</v>
      </c>
      <c r="AG84" s="49">
        <f>IFERROR(__xludf.DUMMYFUNCTION("""COMPUTED_VALUE"""),3.0)</f>
        <v>3</v>
      </c>
      <c r="AH84" s="49">
        <f>IFERROR(__xludf.DUMMYFUNCTION("""COMPUTED_VALUE"""),7163.0)</f>
        <v>7163</v>
      </c>
      <c r="AI84" s="49">
        <f>IFERROR(__xludf.DUMMYFUNCTION("""COMPUTED_VALUE"""),0.0)</f>
        <v>0</v>
      </c>
      <c r="AJ84" s="37"/>
      <c r="AK84" s="37"/>
      <c r="AL84" s="37"/>
      <c r="AM84" s="37"/>
      <c r="AN84" s="37"/>
      <c r="AO84" s="37"/>
      <c r="AP84" s="37"/>
      <c r="AQ84" s="49">
        <f>IFERROR(__xludf.DUMMYFUNCTION("""COMPUTED_VALUE"""),3582.0)</f>
        <v>3582</v>
      </c>
      <c r="AR84" s="49">
        <f>IFERROR(__xludf.DUMMYFUNCTION("""COMPUTED_VALUE"""),3581.0)</f>
        <v>3581</v>
      </c>
      <c r="AS84" s="49">
        <f>IFERROR(__xludf.DUMMYFUNCTION("""COMPUTED_VALUE"""),3582.0)</f>
        <v>3582</v>
      </c>
      <c r="AT84" s="37"/>
      <c r="AU84" s="37"/>
      <c r="AV84" s="37"/>
      <c r="AW84" s="37"/>
      <c r="AX84" s="37"/>
      <c r="AY84" s="37"/>
      <c r="AZ84" s="37"/>
    </row>
    <row r="85">
      <c r="B85" s="37"/>
      <c r="C85" s="37"/>
      <c r="D85" s="37"/>
      <c r="E85" s="37"/>
      <c r="F85" s="37"/>
      <c r="G85" s="37"/>
      <c r="H85" s="37"/>
      <c r="I85" s="37">
        <f>IFERROR(__xludf.DUMMYFUNCTION("""COMPUTED_VALUE"""),81.0)</f>
        <v>81</v>
      </c>
      <c r="J85" s="37" t="str">
        <f>IFERROR(__xludf.DUMMYFUNCTION("""COMPUTED_VALUE"""),"Y")</f>
        <v>Y</v>
      </c>
      <c r="K85" s="37" t="str">
        <f>IFERROR(__xludf.DUMMYFUNCTION("""COMPUTED_VALUE"""),"Y")</f>
        <v>Y</v>
      </c>
      <c r="L85" s="37"/>
      <c r="M85" s="37" t="str">
        <f>IFERROR(__xludf.DUMMYFUNCTION("""COMPUTED_VALUE"""),"Bill")</f>
        <v>Bill</v>
      </c>
      <c r="N85" s="45">
        <f>IFERROR(__xludf.DUMMYFUNCTION("""COMPUTED_VALUE"""),45889.0)</f>
        <v>45889</v>
      </c>
      <c r="O85" s="37">
        <f>IFERROR(__xludf.DUMMYFUNCTION("""COMPUTED_VALUE"""),6009.0)</f>
        <v>6009</v>
      </c>
      <c r="P85" s="37"/>
      <c r="Q85" s="37"/>
      <c r="R85" s="37"/>
      <c r="S85" s="37"/>
      <c r="T85" s="37"/>
      <c r="U85" s="37" t="str">
        <f>IFERROR(__xludf.DUMMYFUNCTION("""COMPUTED_VALUE"""),"Oracle Netsuite 202507 帳號季繳款項(20250801-20251031)(憑證在ER6659)")</f>
        <v>Oracle Netsuite 202507 帳號季繳款項(20250801-20251031)(憑證在ER6659)</v>
      </c>
      <c r="V85" s="37"/>
      <c r="W85" s="37"/>
      <c r="X85" s="37"/>
      <c r="Y85" s="49">
        <f>IFERROR(__xludf.DUMMYFUNCTION("""COMPUTED_VALUE"""),15196.0)</f>
        <v>15196</v>
      </c>
      <c r="Z85" s="37">
        <f>IFERROR(__xludf.DUMMYFUNCTION("""COMPUTED_VALUE"""),623201.0)</f>
        <v>623201</v>
      </c>
      <c r="AA85" s="37" t="str">
        <f>IFERROR(__xludf.DUMMYFUNCTION("""COMPUTED_VALUE"""),"研發中心")</f>
        <v>研發中心</v>
      </c>
      <c r="AB85" s="48" t="str">
        <f>IFERROR(__xludf.DUMMYFUNCTION("""COMPUTED_VALUE"""),"執行長室 : 研發中心 : 研發中心")</f>
        <v>執行長室 : 研發中心 : 研發中心</v>
      </c>
      <c r="AC85" s="48" t="str">
        <f>IFERROR(__xludf.DUMMYFUNCTION("""COMPUTED_VALUE"""),"No_Product_Line")</f>
        <v>No_Product_Line</v>
      </c>
      <c r="AD85" s="48" t="str">
        <f>IFERROR(__xludf.DUMMYFUNCTION("""COMPUTED_VALUE"""),"Baseline")</f>
        <v>Baseline</v>
      </c>
      <c r="AE85" s="48" t="str">
        <f>IFERROR(__xludf.DUMMYFUNCTION("""COMPUTED_VALUE"""),"Baseline")</f>
        <v>Baseline</v>
      </c>
      <c r="AF85" s="49">
        <f>IFERROR(__xludf.DUMMYFUNCTION("""COMPUTED_VALUE"""),45592.0)</f>
        <v>45592</v>
      </c>
      <c r="AG85" s="49">
        <f>IFERROR(__xludf.DUMMYFUNCTION("""COMPUTED_VALUE"""),3.0)</f>
        <v>3</v>
      </c>
      <c r="AH85" s="49">
        <f>IFERROR(__xludf.DUMMYFUNCTION("""COMPUTED_VALUE"""),30396.0)</f>
        <v>30396</v>
      </c>
      <c r="AI85" s="49">
        <f>IFERROR(__xludf.DUMMYFUNCTION("""COMPUTED_VALUE"""),0.0)</f>
        <v>0</v>
      </c>
      <c r="AJ85" s="37"/>
      <c r="AK85" s="37"/>
      <c r="AL85" s="37"/>
      <c r="AM85" s="37"/>
      <c r="AN85" s="37"/>
      <c r="AO85" s="37"/>
      <c r="AP85" s="37"/>
      <c r="AQ85" s="49">
        <f>IFERROR(__xludf.DUMMYFUNCTION("""COMPUTED_VALUE"""),15200.0)</f>
        <v>15200</v>
      </c>
      <c r="AR85" s="49">
        <f>IFERROR(__xludf.DUMMYFUNCTION("""COMPUTED_VALUE"""),15196.0)</f>
        <v>15196</v>
      </c>
      <c r="AS85" s="49">
        <f>IFERROR(__xludf.DUMMYFUNCTION("""COMPUTED_VALUE"""),15196.0)</f>
        <v>15196</v>
      </c>
      <c r="AT85" s="37"/>
      <c r="AU85" s="37"/>
      <c r="AV85" s="37"/>
      <c r="AW85" s="37"/>
      <c r="AX85" s="37"/>
      <c r="AY85" s="37"/>
      <c r="AZ85" s="37"/>
    </row>
    <row r="86">
      <c r="B86" s="37"/>
      <c r="C86" s="37"/>
      <c r="D86" s="37"/>
      <c r="E86" s="37"/>
      <c r="F86" s="37"/>
      <c r="G86" s="37"/>
      <c r="H86" s="37"/>
      <c r="I86" s="37">
        <f>IFERROR(__xludf.DUMMYFUNCTION("""COMPUTED_VALUE"""),82.0)</f>
        <v>82</v>
      </c>
      <c r="J86" s="37" t="str">
        <f>IFERROR(__xludf.DUMMYFUNCTION("""COMPUTED_VALUE"""),"Y")</f>
        <v>Y</v>
      </c>
      <c r="K86" s="37" t="str">
        <f>IFERROR(__xludf.DUMMYFUNCTION("""COMPUTED_VALUE"""),"Y")</f>
        <v>Y</v>
      </c>
      <c r="L86" s="37"/>
      <c r="M86" s="37" t="str">
        <f>IFERROR(__xludf.DUMMYFUNCTION("""COMPUTED_VALUE"""),"Bill")</f>
        <v>Bill</v>
      </c>
      <c r="N86" s="45">
        <f>IFERROR(__xludf.DUMMYFUNCTION("""COMPUTED_VALUE"""),45889.0)</f>
        <v>45889</v>
      </c>
      <c r="O86" s="37">
        <f>IFERROR(__xludf.DUMMYFUNCTION("""COMPUTED_VALUE"""),6009.0)</f>
        <v>6009</v>
      </c>
      <c r="P86" s="37"/>
      <c r="Q86" s="37"/>
      <c r="R86" s="37"/>
      <c r="S86" s="37"/>
      <c r="T86" s="37"/>
      <c r="U86" s="37" t="str">
        <f>IFERROR(__xludf.DUMMYFUNCTION("""COMPUTED_VALUE"""),"Oracle Netsuite 202507 帳號季繳款項(20250801-20251031)(憑證在ER6659)")</f>
        <v>Oracle Netsuite 202507 帳號季繳款項(20250801-20251031)(憑證在ER6659)</v>
      </c>
      <c r="V86" s="37"/>
      <c r="W86" s="37"/>
      <c r="X86" s="37"/>
      <c r="Y86" s="49">
        <f>IFERROR(__xludf.DUMMYFUNCTION("""COMPUTED_VALUE"""),7919.0)</f>
        <v>7919</v>
      </c>
      <c r="Z86" s="37">
        <f>IFERROR(__xludf.DUMMYFUNCTION("""COMPUTED_VALUE"""),613201.0)</f>
        <v>613201</v>
      </c>
      <c r="AA86" s="37" t="str">
        <f>IFERROR(__xludf.DUMMYFUNCTION("""COMPUTED_VALUE"""),"財務中心")</f>
        <v>財務中心</v>
      </c>
      <c r="AB86" s="48" t="str">
        <f>IFERROR(__xludf.DUMMYFUNCTION("""COMPUTED_VALUE"""),"執行長室 : 財務中心 : 財務中心")</f>
        <v>執行長室 : 財務中心 : 財務中心</v>
      </c>
      <c r="AC86" s="48" t="str">
        <f>IFERROR(__xludf.DUMMYFUNCTION("""COMPUTED_VALUE"""),"No_Product_Line")</f>
        <v>No_Product_Line</v>
      </c>
      <c r="AD86" s="48" t="str">
        <f>IFERROR(__xludf.DUMMYFUNCTION("""COMPUTED_VALUE"""),"Baseline")</f>
        <v>Baseline</v>
      </c>
      <c r="AE86" s="48" t="str">
        <f>IFERROR(__xludf.DUMMYFUNCTION("""COMPUTED_VALUE"""),"Baseline")</f>
        <v>Baseline</v>
      </c>
      <c r="AF86" s="49">
        <f>IFERROR(__xludf.DUMMYFUNCTION("""COMPUTED_VALUE"""),23761.0)</f>
        <v>23761</v>
      </c>
      <c r="AG86" s="49">
        <f>IFERROR(__xludf.DUMMYFUNCTION("""COMPUTED_VALUE"""),3.0)</f>
        <v>3</v>
      </c>
      <c r="AH86" s="49">
        <f>IFERROR(__xludf.DUMMYFUNCTION("""COMPUTED_VALUE"""),15842.0)</f>
        <v>15842</v>
      </c>
      <c r="AI86" s="49">
        <f>IFERROR(__xludf.DUMMYFUNCTION("""COMPUTED_VALUE"""),0.0)</f>
        <v>0</v>
      </c>
      <c r="AJ86" s="37"/>
      <c r="AK86" s="37"/>
      <c r="AL86" s="37"/>
      <c r="AM86" s="37"/>
      <c r="AN86" s="37"/>
      <c r="AO86" s="37"/>
      <c r="AP86" s="37"/>
      <c r="AQ86" s="49">
        <f>IFERROR(__xludf.DUMMYFUNCTION("""COMPUTED_VALUE"""),7922.0)</f>
        <v>7922</v>
      </c>
      <c r="AR86" s="49">
        <f>IFERROR(__xludf.DUMMYFUNCTION("""COMPUTED_VALUE"""),7920.0)</f>
        <v>7920</v>
      </c>
      <c r="AS86" s="49">
        <f>IFERROR(__xludf.DUMMYFUNCTION("""COMPUTED_VALUE"""),7919.0)</f>
        <v>7919</v>
      </c>
      <c r="AT86" s="37"/>
      <c r="AU86" s="37"/>
      <c r="AV86" s="37"/>
      <c r="AW86" s="37"/>
      <c r="AX86" s="37"/>
      <c r="AY86" s="37"/>
      <c r="AZ86" s="37"/>
    </row>
    <row r="87">
      <c r="B87" s="37"/>
      <c r="C87" s="37"/>
      <c r="D87" s="37"/>
      <c r="E87" s="37"/>
      <c r="F87" s="37"/>
      <c r="G87" s="37"/>
      <c r="H87" s="37"/>
      <c r="I87" s="37">
        <f>IFERROR(__xludf.DUMMYFUNCTION("""COMPUTED_VALUE"""),83.0)</f>
        <v>83</v>
      </c>
      <c r="J87" s="37" t="str">
        <f>IFERROR(__xludf.DUMMYFUNCTION("""COMPUTED_VALUE"""),"Y")</f>
        <v>Y</v>
      </c>
      <c r="K87" s="37" t="str">
        <f>IFERROR(__xludf.DUMMYFUNCTION("""COMPUTED_VALUE"""),"Y")</f>
        <v>Y</v>
      </c>
      <c r="L87" s="37"/>
      <c r="M87" s="37" t="str">
        <f>IFERROR(__xludf.DUMMYFUNCTION("""COMPUTED_VALUE"""),"Bill")</f>
        <v>Bill</v>
      </c>
      <c r="N87" s="45">
        <f>IFERROR(__xludf.DUMMYFUNCTION("""COMPUTED_VALUE"""),45889.0)</f>
        <v>45889</v>
      </c>
      <c r="O87" s="37">
        <f>IFERROR(__xludf.DUMMYFUNCTION("""COMPUTED_VALUE"""),6009.0)</f>
        <v>6009</v>
      </c>
      <c r="P87" s="37"/>
      <c r="Q87" s="37"/>
      <c r="R87" s="37"/>
      <c r="S87" s="37"/>
      <c r="T87" s="37"/>
      <c r="U87" s="37" t="str">
        <f>IFERROR(__xludf.DUMMYFUNCTION("""COMPUTED_VALUE"""),"Oracle Netsuite 202507 帳號季繳款項(20250801-20251031)(憑證在ER6659)")</f>
        <v>Oracle Netsuite 202507 帳號季繳款項(20250801-20251031)(憑證在ER6659)</v>
      </c>
      <c r="V87" s="37"/>
      <c r="W87" s="37"/>
      <c r="X87" s="37"/>
      <c r="Y87" s="49">
        <f>IFERROR(__xludf.DUMMYFUNCTION("""COMPUTED_VALUE"""),6592.0)</f>
        <v>6592</v>
      </c>
      <c r="Z87" s="37">
        <f>IFERROR(__xludf.DUMMYFUNCTION("""COMPUTED_VALUE"""),613201.0)</f>
        <v>613201</v>
      </c>
      <c r="AA87" s="37" t="str">
        <f>IFERROR(__xludf.DUMMYFUNCTION("""COMPUTED_VALUE"""),"管理中心")</f>
        <v>管理中心</v>
      </c>
      <c r="AB87" s="48" t="str">
        <f>IFERROR(__xludf.DUMMYFUNCTION("""COMPUTED_VALUE"""),"執行長室 : 管理中心 : 管理中心")</f>
        <v>執行長室 : 管理中心 : 管理中心</v>
      </c>
      <c r="AC87" s="48" t="str">
        <f>IFERROR(__xludf.DUMMYFUNCTION("""COMPUTED_VALUE"""),"No_Product_Line")</f>
        <v>No_Product_Line</v>
      </c>
      <c r="AD87" s="48" t="str">
        <f>IFERROR(__xludf.DUMMYFUNCTION("""COMPUTED_VALUE"""),"Baseline")</f>
        <v>Baseline</v>
      </c>
      <c r="AE87" s="48" t="str">
        <f>IFERROR(__xludf.DUMMYFUNCTION("""COMPUTED_VALUE"""),"Baseline")</f>
        <v>Baseline</v>
      </c>
      <c r="AF87" s="49">
        <f>IFERROR(__xludf.DUMMYFUNCTION("""COMPUTED_VALUE"""),19780.0)</f>
        <v>19780</v>
      </c>
      <c r="AG87" s="49">
        <f>IFERROR(__xludf.DUMMYFUNCTION("""COMPUTED_VALUE"""),3.0)</f>
        <v>3</v>
      </c>
      <c r="AH87" s="49">
        <f>IFERROR(__xludf.DUMMYFUNCTION("""COMPUTED_VALUE"""),13188.0)</f>
        <v>13188</v>
      </c>
      <c r="AI87" s="49">
        <f>IFERROR(__xludf.DUMMYFUNCTION("""COMPUTED_VALUE"""),0.0)</f>
        <v>0</v>
      </c>
      <c r="AJ87" s="37"/>
      <c r="AK87" s="37"/>
      <c r="AL87" s="37"/>
      <c r="AM87" s="37"/>
      <c r="AN87" s="37"/>
      <c r="AO87" s="37"/>
      <c r="AP87" s="37"/>
      <c r="AQ87" s="49">
        <f>IFERROR(__xludf.DUMMYFUNCTION("""COMPUTED_VALUE"""),6595.0)</f>
        <v>6595</v>
      </c>
      <c r="AR87" s="49">
        <f>IFERROR(__xludf.DUMMYFUNCTION("""COMPUTED_VALUE"""),6593.0)</f>
        <v>6593</v>
      </c>
      <c r="AS87" s="49">
        <f>IFERROR(__xludf.DUMMYFUNCTION("""COMPUTED_VALUE"""),6592.0)</f>
        <v>6592</v>
      </c>
      <c r="AT87" s="37"/>
      <c r="AU87" s="37"/>
      <c r="AV87" s="37"/>
      <c r="AW87" s="37"/>
      <c r="AX87" s="37"/>
      <c r="AY87" s="37"/>
      <c r="AZ87" s="37"/>
    </row>
    <row r="88">
      <c r="B88" s="37"/>
      <c r="C88" s="37"/>
      <c r="D88" s="37"/>
      <c r="E88" s="37"/>
      <c r="F88" s="37"/>
      <c r="G88" s="37"/>
      <c r="H88" s="37"/>
      <c r="I88" s="37">
        <f>IFERROR(__xludf.DUMMYFUNCTION("""COMPUTED_VALUE"""),84.0)</f>
        <v>84</v>
      </c>
      <c r="J88" s="37" t="str">
        <f>IFERROR(__xludf.DUMMYFUNCTION("""COMPUTED_VALUE"""),"Y")</f>
        <v>Y</v>
      </c>
      <c r="K88" s="37" t="str">
        <f>IFERROR(__xludf.DUMMYFUNCTION("""COMPUTED_VALUE"""),"Y")</f>
        <v>Y</v>
      </c>
      <c r="L88" s="37"/>
      <c r="M88" s="37" t="str">
        <f>IFERROR(__xludf.DUMMYFUNCTION("""COMPUTED_VALUE"""),"Bill")</f>
        <v>Bill</v>
      </c>
      <c r="N88" s="45">
        <f>IFERROR(__xludf.DUMMYFUNCTION("""COMPUTED_VALUE"""),45889.0)</f>
        <v>45889</v>
      </c>
      <c r="O88" s="37">
        <f>IFERROR(__xludf.DUMMYFUNCTION("""COMPUTED_VALUE"""),6009.0)</f>
        <v>6009</v>
      </c>
      <c r="P88" s="37"/>
      <c r="Q88" s="37"/>
      <c r="R88" s="37"/>
      <c r="S88" s="37"/>
      <c r="T88" s="37"/>
      <c r="U88" s="37" t="str">
        <f>IFERROR(__xludf.DUMMYFUNCTION("""COMPUTED_VALUE"""),"Oracle Netsuite 202507 帳號季繳款項(20250801-20251031)(憑證在ER6659)")</f>
        <v>Oracle Netsuite 202507 帳號季繳款項(20250801-20251031)(憑證在ER6659)</v>
      </c>
      <c r="V88" s="37"/>
      <c r="W88" s="37"/>
      <c r="X88" s="37"/>
      <c r="Y88" s="49">
        <f>IFERROR(__xludf.DUMMYFUNCTION("""COMPUTED_VALUE"""),10336.0)</f>
        <v>10336</v>
      </c>
      <c r="Z88" s="37">
        <f>IFERROR(__xludf.DUMMYFUNCTION("""COMPUTED_VALUE"""),623201.0)</f>
        <v>623201</v>
      </c>
      <c r="AA88" s="37" t="str">
        <f>IFERROR(__xludf.DUMMYFUNCTION("""COMPUTED_VALUE"""),"客戶價值中心")</f>
        <v>客戶價值中心</v>
      </c>
      <c r="AB88" s="48" t="str">
        <f>IFERROR(__xludf.DUMMYFUNCTION("""COMPUTED_VALUE"""),"執行長室 : 客戶價值中心 : 客戶價值中心")</f>
        <v>執行長室 : 客戶價值中心 : 客戶價值中心</v>
      </c>
      <c r="AC88" s="48" t="str">
        <f>IFERROR(__xludf.DUMMYFUNCTION("""COMPUTED_VALUE"""),"No_Product_Line")</f>
        <v>No_Product_Line</v>
      </c>
      <c r="AD88" s="48" t="str">
        <f>IFERROR(__xludf.DUMMYFUNCTION("""COMPUTED_VALUE"""),"Baseline")</f>
        <v>Baseline</v>
      </c>
      <c r="AE88" s="48" t="str">
        <f>IFERROR(__xludf.DUMMYFUNCTION("""COMPUTED_VALUE"""),"Baseline")</f>
        <v>Baseline</v>
      </c>
      <c r="AF88" s="49">
        <f>IFERROR(__xludf.DUMMYFUNCTION("""COMPUTED_VALUE"""),31013.0)</f>
        <v>31013</v>
      </c>
      <c r="AG88" s="49">
        <f>IFERROR(__xludf.DUMMYFUNCTION("""COMPUTED_VALUE"""),3.0)</f>
        <v>3</v>
      </c>
      <c r="AH88" s="49">
        <f>IFERROR(__xludf.DUMMYFUNCTION("""COMPUTED_VALUE"""),20677.0)</f>
        <v>20677</v>
      </c>
      <c r="AI88" s="49">
        <f>IFERROR(__xludf.DUMMYFUNCTION("""COMPUTED_VALUE"""),0.0)</f>
        <v>0</v>
      </c>
      <c r="AJ88" s="37"/>
      <c r="AK88" s="37"/>
      <c r="AL88" s="37"/>
      <c r="AM88" s="37"/>
      <c r="AN88" s="37"/>
      <c r="AO88" s="37"/>
      <c r="AP88" s="37"/>
      <c r="AQ88" s="49">
        <f>IFERROR(__xludf.DUMMYFUNCTION("""COMPUTED_VALUE"""),10340.0)</f>
        <v>10340</v>
      </c>
      <c r="AR88" s="49">
        <f>IFERROR(__xludf.DUMMYFUNCTION("""COMPUTED_VALUE"""),10337.0)</f>
        <v>10337</v>
      </c>
      <c r="AS88" s="49">
        <f>IFERROR(__xludf.DUMMYFUNCTION("""COMPUTED_VALUE"""),10336.0)</f>
        <v>10336</v>
      </c>
      <c r="AT88" s="37"/>
      <c r="AU88" s="37"/>
      <c r="AV88" s="37"/>
      <c r="AW88" s="37"/>
      <c r="AX88" s="37"/>
      <c r="AY88" s="37"/>
      <c r="AZ88" s="37"/>
    </row>
    <row r="89">
      <c r="B89" s="37"/>
      <c r="C89" s="37"/>
      <c r="D89" s="37"/>
      <c r="E89" s="37"/>
      <c r="F89" s="37"/>
      <c r="G89" s="37"/>
      <c r="H89" s="37"/>
      <c r="I89" s="37">
        <f>IFERROR(__xludf.DUMMYFUNCTION("""COMPUTED_VALUE"""),85.0)</f>
        <v>85</v>
      </c>
      <c r="J89" s="37"/>
      <c r="K89" s="37"/>
      <c r="L89" s="37"/>
      <c r="M89" s="37" t="str">
        <f>IFERROR(__xludf.DUMMYFUNCTION("""COMPUTED_VALUE"""),"Bill")</f>
        <v>Bill</v>
      </c>
      <c r="N89" s="45">
        <f>IFERROR(__xludf.DUMMYFUNCTION("""COMPUTED_VALUE"""),45891.0)</f>
        <v>45891</v>
      </c>
      <c r="O89" s="37">
        <f>IFERROR(__xludf.DUMMYFUNCTION("""COMPUTED_VALUE"""),6014.0)</f>
        <v>6014</v>
      </c>
      <c r="P89" s="37"/>
      <c r="Q89" s="37"/>
      <c r="R89" s="37"/>
      <c r="S89" s="37"/>
      <c r="T89" s="37"/>
      <c r="U89" s="37" t="str">
        <f>IFERROR(__xludf.DUMMYFUNCTION("""COMPUTED_VALUE"""),"一零四資訊科技股份有限公司_202508_ 104招募管理平台廣告費用(1140822-1150822)_PCAR-3593")</f>
        <v>一零四資訊科技股份有限公司_202508_ 104招募管理平台廣告費用(1140822-1150822)_PCAR-3593</v>
      </c>
      <c r="V89" s="37"/>
      <c r="W89" s="37"/>
      <c r="X89" s="37"/>
      <c r="Y89" s="49">
        <f>IFERROR(__xludf.DUMMYFUNCTION("""COMPUTED_VALUE"""),30940.0)</f>
        <v>30940</v>
      </c>
      <c r="Z89" s="37">
        <f>IFERROR(__xludf.DUMMYFUNCTION("""COMPUTED_VALUE"""),6117.0)</f>
        <v>6117</v>
      </c>
      <c r="AA89" s="37" t="str">
        <f>IFERROR(__xludf.DUMMYFUNCTION("""COMPUTED_VALUE"""),"管理中心")</f>
        <v>管理中心</v>
      </c>
      <c r="AB89" s="48" t="str">
        <f>IFERROR(__xludf.DUMMYFUNCTION("""COMPUTED_VALUE"""),"執行長室 : 管理中心 : 人力資源部")</f>
        <v>執行長室 : 管理中心 : 人力資源部</v>
      </c>
      <c r="AC89" s="48" t="str">
        <f>IFERROR(__xludf.DUMMYFUNCTION("""COMPUTED_VALUE"""),"No_Product_Line")</f>
        <v>No_Product_Line</v>
      </c>
      <c r="AD89" s="48" t="str">
        <f>IFERROR(__xludf.DUMMYFUNCTION("""COMPUTED_VALUE"""),"Baseline")</f>
        <v>Baseline</v>
      </c>
      <c r="AE89" s="48" t="str">
        <f>IFERROR(__xludf.DUMMYFUNCTION("""COMPUTED_VALUE"""),"Baseline")</f>
        <v>Baseline</v>
      </c>
      <c r="AF89" s="49">
        <f>IFERROR(__xludf.DUMMYFUNCTION("""COMPUTED_VALUE"""),37143.0)</f>
        <v>37143</v>
      </c>
      <c r="AG89" s="49">
        <f>IFERROR(__xludf.DUMMYFUNCTION("""COMPUTED_VALUE"""),12.0)</f>
        <v>12</v>
      </c>
      <c r="AH89" s="49">
        <f>IFERROR(__xludf.DUMMYFUNCTION("""COMPUTED_VALUE"""),6203.0)</f>
        <v>6203</v>
      </c>
      <c r="AI89" s="49">
        <f>IFERROR(__xludf.DUMMYFUNCTION("""COMPUTED_VALUE"""),0.0)</f>
        <v>0</v>
      </c>
      <c r="AJ89" s="37"/>
      <c r="AK89" s="37"/>
      <c r="AL89" s="37"/>
      <c r="AM89" s="37"/>
      <c r="AN89" s="37"/>
      <c r="AO89" s="37"/>
      <c r="AP89" s="37"/>
      <c r="AQ89" s="49">
        <f>IFERROR(__xludf.DUMMYFUNCTION("""COMPUTED_VALUE"""),3109.0)</f>
        <v>3109</v>
      </c>
      <c r="AR89" s="49">
        <f>IFERROR(__xludf.DUMMYFUNCTION("""COMPUTED_VALUE"""),3094.0)</f>
        <v>3094</v>
      </c>
      <c r="AS89" s="49">
        <f>IFERROR(__xludf.DUMMYFUNCTION("""COMPUTED_VALUE"""),3094.0)</f>
        <v>3094</v>
      </c>
      <c r="AT89" s="49">
        <f>IFERROR(__xludf.DUMMYFUNCTION("""COMPUTED_VALUE"""),3094.0)</f>
        <v>3094</v>
      </c>
      <c r="AU89" s="49">
        <f>IFERROR(__xludf.DUMMYFUNCTION("""COMPUTED_VALUE"""),3094.0)</f>
        <v>3094</v>
      </c>
      <c r="AV89" s="49">
        <f>IFERROR(__xludf.DUMMYFUNCTION("""COMPUTED_VALUE"""),3094.0)</f>
        <v>3094</v>
      </c>
      <c r="AW89" s="49">
        <f>IFERROR(__xludf.DUMMYFUNCTION("""COMPUTED_VALUE"""),3094.0)</f>
        <v>3094</v>
      </c>
      <c r="AX89" s="49">
        <f>IFERROR(__xludf.DUMMYFUNCTION("""COMPUTED_VALUE"""),3094.0)</f>
        <v>3094</v>
      </c>
      <c r="AY89" s="49">
        <f>IFERROR(__xludf.DUMMYFUNCTION("""COMPUTED_VALUE"""),3094.0)</f>
        <v>3094</v>
      </c>
      <c r="AZ89" s="49">
        <f>IFERROR(__xludf.DUMMYFUNCTION("""COMPUTED_VALUE"""),3094.0)</f>
        <v>3094</v>
      </c>
    </row>
    <row r="90">
      <c r="B90" s="37"/>
      <c r="C90" s="37"/>
      <c r="D90" s="37"/>
      <c r="E90" s="37"/>
      <c r="F90" s="37"/>
      <c r="G90" s="37"/>
      <c r="H90" s="37"/>
      <c r="I90" s="37">
        <f>IFERROR(__xludf.DUMMYFUNCTION("""COMPUTED_VALUE"""),86.0)</f>
        <v>86</v>
      </c>
      <c r="J90" s="37" t="str">
        <f>IFERROR(__xludf.DUMMYFUNCTION("""COMPUTED_VALUE"""),"Y")</f>
        <v>Y</v>
      </c>
      <c r="K90" s="37"/>
      <c r="L90" s="37"/>
      <c r="M90" s="37" t="str">
        <f>IFERROR(__xludf.DUMMYFUNCTION("""COMPUTED_VALUE"""),"Bill")</f>
        <v>Bill</v>
      </c>
      <c r="N90" s="45">
        <f>IFERROR(__xludf.DUMMYFUNCTION("""COMPUTED_VALUE"""),45891.0)</f>
        <v>45891</v>
      </c>
      <c r="O90" s="37">
        <f>IFERROR(__xludf.DUMMYFUNCTION("""COMPUTED_VALUE"""),6023.0)</f>
        <v>6023</v>
      </c>
      <c r="P90" s="37"/>
      <c r="Q90" s="37"/>
      <c r="R90" s="37"/>
      <c r="S90" s="37"/>
      <c r="T90" s="37"/>
      <c r="U90" s="37" t="str">
        <f>IFERROR(__xludf.DUMMYFUNCTION("""COMPUTED_VALUE"""),"Salesforce.com Singapore Pte. Ltd_202508_SalesForce年度續約(2025/8/15-2026/8/14)")</f>
        <v>Salesforce.com Singapore Pte. Ltd_202508_SalesForce年度續約(2025/8/15-2026/8/14)</v>
      </c>
      <c r="V90" s="37"/>
      <c r="W90" s="37"/>
      <c r="X90" s="37"/>
      <c r="Y90" s="49">
        <f>IFERROR(__xludf.DUMMYFUNCTION("""COMPUTED_VALUE"""),90996.0)</f>
        <v>90996</v>
      </c>
      <c r="Z90" s="37">
        <f>IFERROR(__xludf.DUMMYFUNCTION("""COMPUTED_VALUE"""),613201.0)</f>
        <v>613201</v>
      </c>
      <c r="AA90" s="37" t="str">
        <f>IFERROR(__xludf.DUMMYFUNCTION("""COMPUTED_VALUE"""),"執行長室")</f>
        <v>執行長室</v>
      </c>
      <c r="AB90" s="48" t="str">
        <f>IFERROR(__xludf.DUMMYFUNCTION("""COMPUTED_VALUE"""),"執行長室")</f>
        <v>執行長室</v>
      </c>
      <c r="AC90" s="48" t="str">
        <f>IFERROR(__xludf.DUMMYFUNCTION("""COMPUTED_VALUE"""),"No_Product_Line")</f>
        <v>No_Product_Line</v>
      </c>
      <c r="AD90" s="48" t="str">
        <f>IFERROR(__xludf.DUMMYFUNCTION("""COMPUTED_VALUE"""),"Baseline")</f>
        <v>Baseline</v>
      </c>
      <c r="AE90" s="48" t="str">
        <f>IFERROR(__xludf.DUMMYFUNCTION("""COMPUTED_VALUE"""),"Baseline")</f>
        <v>Baseline</v>
      </c>
      <c r="AF90" s="49">
        <f>IFERROR(__xludf.DUMMYFUNCTION("""COMPUTED_VALUE"""),109239.0)</f>
        <v>109239</v>
      </c>
      <c r="AG90" s="49">
        <f>IFERROR(__xludf.DUMMYFUNCTION("""COMPUTED_VALUE"""),12.0)</f>
        <v>12</v>
      </c>
      <c r="AH90" s="49">
        <f>IFERROR(__xludf.DUMMYFUNCTION("""COMPUTED_VALUE"""),18243.0)</f>
        <v>18243</v>
      </c>
      <c r="AI90" s="49">
        <f>IFERROR(__xludf.DUMMYFUNCTION("""COMPUTED_VALUE"""),0.0)</f>
        <v>0</v>
      </c>
      <c r="AJ90" s="37"/>
      <c r="AK90" s="37"/>
      <c r="AL90" s="37"/>
      <c r="AM90" s="37"/>
      <c r="AN90" s="37"/>
      <c r="AO90" s="37"/>
      <c r="AP90" s="37"/>
      <c r="AQ90" s="49">
        <f>IFERROR(__xludf.DUMMYFUNCTION("""COMPUTED_VALUE"""),9143.0)</f>
        <v>9143</v>
      </c>
      <c r="AR90" s="49">
        <f>IFERROR(__xludf.DUMMYFUNCTION("""COMPUTED_VALUE"""),9100.0)</f>
        <v>9100</v>
      </c>
      <c r="AS90" s="49">
        <f>IFERROR(__xludf.DUMMYFUNCTION("""COMPUTED_VALUE"""),9100.0)</f>
        <v>9100</v>
      </c>
      <c r="AT90" s="49">
        <f>IFERROR(__xludf.DUMMYFUNCTION("""COMPUTED_VALUE"""),9100.0)</f>
        <v>9100</v>
      </c>
      <c r="AU90" s="49">
        <f>IFERROR(__xludf.DUMMYFUNCTION("""COMPUTED_VALUE"""),9100.0)</f>
        <v>9100</v>
      </c>
      <c r="AV90" s="49">
        <f>IFERROR(__xludf.DUMMYFUNCTION("""COMPUTED_VALUE"""),9100.0)</f>
        <v>9100</v>
      </c>
      <c r="AW90" s="49">
        <f>IFERROR(__xludf.DUMMYFUNCTION("""COMPUTED_VALUE"""),9100.0)</f>
        <v>9100</v>
      </c>
      <c r="AX90" s="49">
        <f>IFERROR(__xludf.DUMMYFUNCTION("""COMPUTED_VALUE"""),9100.0)</f>
        <v>9100</v>
      </c>
      <c r="AY90" s="49">
        <f>IFERROR(__xludf.DUMMYFUNCTION("""COMPUTED_VALUE"""),9100.0)</f>
        <v>9100</v>
      </c>
      <c r="AZ90" s="49">
        <f>IFERROR(__xludf.DUMMYFUNCTION("""COMPUTED_VALUE"""),9100.0)</f>
        <v>9100</v>
      </c>
    </row>
    <row r="91">
      <c r="B91" s="37"/>
      <c r="C91" s="37"/>
      <c r="D91" s="37"/>
      <c r="E91" s="37"/>
      <c r="F91" s="37"/>
      <c r="G91" s="37"/>
      <c r="H91" s="37"/>
      <c r="I91" s="37">
        <f>IFERROR(__xludf.DUMMYFUNCTION("""COMPUTED_VALUE"""),87.0)</f>
        <v>87</v>
      </c>
      <c r="J91" s="37" t="str">
        <f>IFERROR(__xludf.DUMMYFUNCTION("""COMPUTED_VALUE"""),"Y")</f>
        <v>Y</v>
      </c>
      <c r="K91" s="37"/>
      <c r="L91" s="37"/>
      <c r="M91" s="37" t="str">
        <f>IFERROR(__xludf.DUMMYFUNCTION("""COMPUTED_VALUE"""),"Bill")</f>
        <v>Bill</v>
      </c>
      <c r="N91" s="45">
        <f>IFERROR(__xludf.DUMMYFUNCTION("""COMPUTED_VALUE"""),45891.0)</f>
        <v>45891</v>
      </c>
      <c r="O91" s="37">
        <f>IFERROR(__xludf.DUMMYFUNCTION("""COMPUTED_VALUE"""),6023.0)</f>
        <v>6023</v>
      </c>
      <c r="P91" s="37"/>
      <c r="Q91" s="37"/>
      <c r="R91" s="37"/>
      <c r="S91" s="37"/>
      <c r="T91" s="37"/>
      <c r="U91" s="37" t="str">
        <f>IFERROR(__xludf.DUMMYFUNCTION("""COMPUTED_VALUE"""),"Salesforce.com Singapore Pte. Ltd_202508_SalesForce年度續約(2025/8/15-2026/8/14)")</f>
        <v>Salesforce.com Singapore Pte. Ltd_202508_SalesForce年度續約(2025/8/15-2026/8/14)</v>
      </c>
      <c r="V91" s="37"/>
      <c r="W91" s="37"/>
      <c r="X91" s="37"/>
      <c r="Y91" s="49">
        <f>IFERROR(__xludf.DUMMYFUNCTION("""COMPUTED_VALUE"""),90996.0)</f>
        <v>90996</v>
      </c>
      <c r="Z91" s="37">
        <f>IFERROR(__xludf.DUMMYFUNCTION("""COMPUTED_VALUE"""),613201.0)</f>
        <v>613201</v>
      </c>
      <c r="AA91" s="37" t="str">
        <f>IFERROR(__xludf.DUMMYFUNCTION("""COMPUTED_VALUE"""),"策略資料中心")</f>
        <v>策略資料中心</v>
      </c>
      <c r="AB91" s="48" t="str">
        <f>IFERROR(__xludf.DUMMYFUNCTION("""COMPUTED_VALUE"""),"執行長室 : 策略資料中心 : 策略資料中心")</f>
        <v>執行長室 : 策略資料中心 : 策略資料中心</v>
      </c>
      <c r="AC91" s="48" t="str">
        <f>IFERROR(__xludf.DUMMYFUNCTION("""COMPUTED_VALUE"""),"No_Product_Line")</f>
        <v>No_Product_Line</v>
      </c>
      <c r="AD91" s="48" t="str">
        <f>IFERROR(__xludf.DUMMYFUNCTION("""COMPUTED_VALUE"""),"Baseline")</f>
        <v>Baseline</v>
      </c>
      <c r="AE91" s="48" t="str">
        <f>IFERROR(__xludf.DUMMYFUNCTION("""COMPUTED_VALUE"""),"Baseline")</f>
        <v>Baseline</v>
      </c>
      <c r="AF91" s="49">
        <f>IFERROR(__xludf.DUMMYFUNCTION("""COMPUTED_VALUE"""),109239.0)</f>
        <v>109239</v>
      </c>
      <c r="AG91" s="49">
        <f>IFERROR(__xludf.DUMMYFUNCTION("""COMPUTED_VALUE"""),12.0)</f>
        <v>12</v>
      </c>
      <c r="AH91" s="49">
        <f>IFERROR(__xludf.DUMMYFUNCTION("""COMPUTED_VALUE"""),18243.0)</f>
        <v>18243</v>
      </c>
      <c r="AI91" s="49">
        <f>IFERROR(__xludf.DUMMYFUNCTION("""COMPUTED_VALUE"""),0.0)</f>
        <v>0</v>
      </c>
      <c r="AJ91" s="37"/>
      <c r="AK91" s="37"/>
      <c r="AL91" s="37"/>
      <c r="AM91" s="37"/>
      <c r="AN91" s="37"/>
      <c r="AO91" s="37"/>
      <c r="AP91" s="37"/>
      <c r="AQ91" s="49">
        <f>IFERROR(__xludf.DUMMYFUNCTION("""COMPUTED_VALUE"""),9143.0)</f>
        <v>9143</v>
      </c>
      <c r="AR91" s="49">
        <f>IFERROR(__xludf.DUMMYFUNCTION("""COMPUTED_VALUE"""),9100.0)</f>
        <v>9100</v>
      </c>
      <c r="AS91" s="49">
        <f>IFERROR(__xludf.DUMMYFUNCTION("""COMPUTED_VALUE"""),9100.0)</f>
        <v>9100</v>
      </c>
      <c r="AT91" s="49">
        <f>IFERROR(__xludf.DUMMYFUNCTION("""COMPUTED_VALUE"""),9100.0)</f>
        <v>9100</v>
      </c>
      <c r="AU91" s="49">
        <f>IFERROR(__xludf.DUMMYFUNCTION("""COMPUTED_VALUE"""),9100.0)</f>
        <v>9100</v>
      </c>
      <c r="AV91" s="49">
        <f>IFERROR(__xludf.DUMMYFUNCTION("""COMPUTED_VALUE"""),9100.0)</f>
        <v>9100</v>
      </c>
      <c r="AW91" s="49">
        <f>IFERROR(__xludf.DUMMYFUNCTION("""COMPUTED_VALUE"""),9100.0)</f>
        <v>9100</v>
      </c>
      <c r="AX91" s="49">
        <f>IFERROR(__xludf.DUMMYFUNCTION("""COMPUTED_VALUE"""),9100.0)</f>
        <v>9100</v>
      </c>
      <c r="AY91" s="49">
        <f>IFERROR(__xludf.DUMMYFUNCTION("""COMPUTED_VALUE"""),9100.0)</f>
        <v>9100</v>
      </c>
      <c r="AZ91" s="49">
        <f>IFERROR(__xludf.DUMMYFUNCTION("""COMPUTED_VALUE"""),9100.0)</f>
        <v>9100</v>
      </c>
    </row>
    <row r="92">
      <c r="B92" s="37"/>
      <c r="C92" s="37"/>
      <c r="D92" s="37"/>
      <c r="E92" s="37"/>
      <c r="F92" s="37"/>
      <c r="G92" s="37"/>
      <c r="H92" s="37"/>
      <c r="I92" s="37">
        <f>IFERROR(__xludf.DUMMYFUNCTION("""COMPUTED_VALUE"""),88.0)</f>
        <v>88</v>
      </c>
      <c r="J92" s="37" t="str">
        <f>IFERROR(__xludf.DUMMYFUNCTION("""COMPUTED_VALUE"""),"Y")</f>
        <v>Y</v>
      </c>
      <c r="K92" s="37"/>
      <c r="L92" s="37"/>
      <c r="M92" s="37" t="str">
        <f>IFERROR(__xludf.DUMMYFUNCTION("""COMPUTED_VALUE"""),"Bill")</f>
        <v>Bill</v>
      </c>
      <c r="N92" s="45">
        <f>IFERROR(__xludf.DUMMYFUNCTION("""COMPUTED_VALUE"""),45891.0)</f>
        <v>45891</v>
      </c>
      <c r="O92" s="37">
        <f>IFERROR(__xludf.DUMMYFUNCTION("""COMPUTED_VALUE"""),6023.0)</f>
        <v>6023</v>
      </c>
      <c r="P92" s="37"/>
      <c r="Q92" s="37"/>
      <c r="R92" s="37"/>
      <c r="S92" s="37"/>
      <c r="T92" s="37"/>
      <c r="U92" s="37" t="str">
        <f>IFERROR(__xludf.DUMMYFUNCTION("""COMPUTED_VALUE"""),"Salesforce.com Singapore Pte. Ltd_202508_SalesForce年度續約(2025/8/15-2026/8/14)")</f>
        <v>Salesforce.com Singapore Pte. Ltd_202508_SalesForce年度續約(2025/8/15-2026/8/14)</v>
      </c>
      <c r="V92" s="37"/>
      <c r="W92" s="37"/>
      <c r="X92" s="37"/>
      <c r="Y92" s="49">
        <f>IFERROR(__xludf.DUMMYFUNCTION("""COMPUTED_VALUE"""),1822087.0)</f>
        <v>1822087</v>
      </c>
      <c r="Z92" s="37">
        <f>IFERROR(__xludf.DUMMYFUNCTION("""COMPUTED_VALUE"""),603201.0)</f>
        <v>603201</v>
      </c>
      <c r="AA92" s="37" t="str">
        <f>IFERROR(__xludf.DUMMYFUNCTION("""COMPUTED_VALUE"""),"行銷營運中心")</f>
        <v>行銷營運中心</v>
      </c>
      <c r="AB92" s="48" t="str">
        <f>IFERROR(__xludf.DUMMYFUNCTION("""COMPUTED_VALUE"""),"執行長室 : 行銷營運中心 : 行銷營運中心")</f>
        <v>執行長室 : 行銷營運中心 : 行銷營運中心</v>
      </c>
      <c r="AC92" s="48" t="str">
        <f>IFERROR(__xludf.DUMMYFUNCTION("""COMPUTED_VALUE"""),"No_Product_Line")</f>
        <v>No_Product_Line</v>
      </c>
      <c r="AD92" s="48" t="str">
        <f>IFERROR(__xludf.DUMMYFUNCTION("""COMPUTED_VALUE"""),"Baseline")</f>
        <v>Baseline</v>
      </c>
      <c r="AE92" s="48" t="str">
        <f>IFERROR(__xludf.DUMMYFUNCTION("""COMPUTED_VALUE"""),"Baseline")</f>
        <v>Baseline</v>
      </c>
      <c r="AF92" s="49">
        <f>IFERROR(__xludf.DUMMYFUNCTION("""COMPUTED_VALUE"""),2187380.0)</f>
        <v>2187380</v>
      </c>
      <c r="AG92" s="49">
        <f>IFERROR(__xludf.DUMMYFUNCTION("""COMPUTED_VALUE"""),12.0)</f>
        <v>12</v>
      </c>
      <c r="AH92" s="49">
        <f>IFERROR(__xludf.DUMMYFUNCTION("""COMPUTED_VALUE"""),365293.0)</f>
        <v>365293</v>
      </c>
      <c r="AI92" s="49">
        <f>IFERROR(__xludf.DUMMYFUNCTION("""COMPUTED_VALUE"""),0.0)</f>
        <v>0</v>
      </c>
      <c r="AJ92" s="37"/>
      <c r="AK92" s="37"/>
      <c r="AL92" s="37"/>
      <c r="AM92" s="37"/>
      <c r="AN92" s="37"/>
      <c r="AO92" s="37"/>
      <c r="AP92" s="37"/>
      <c r="AQ92" s="49">
        <f>IFERROR(__xludf.DUMMYFUNCTION("""COMPUTED_VALUE"""),183084.0)</f>
        <v>183084</v>
      </c>
      <c r="AR92" s="49">
        <f>IFERROR(__xludf.DUMMYFUNCTION("""COMPUTED_VALUE"""),182209.0)</f>
        <v>182209</v>
      </c>
      <c r="AS92" s="49">
        <f>IFERROR(__xludf.DUMMYFUNCTION("""COMPUTED_VALUE"""),182209.0)</f>
        <v>182209</v>
      </c>
      <c r="AT92" s="49">
        <f>IFERROR(__xludf.DUMMYFUNCTION("""COMPUTED_VALUE"""),182209.0)</f>
        <v>182209</v>
      </c>
      <c r="AU92" s="49">
        <f>IFERROR(__xludf.DUMMYFUNCTION("""COMPUTED_VALUE"""),182209.0)</f>
        <v>182209</v>
      </c>
      <c r="AV92" s="49">
        <f>IFERROR(__xludf.DUMMYFUNCTION("""COMPUTED_VALUE"""),182209.0)</f>
        <v>182209</v>
      </c>
      <c r="AW92" s="49">
        <f>IFERROR(__xludf.DUMMYFUNCTION("""COMPUTED_VALUE"""),182209.0)</f>
        <v>182209</v>
      </c>
      <c r="AX92" s="49">
        <f>IFERROR(__xludf.DUMMYFUNCTION("""COMPUTED_VALUE"""),182209.0)</f>
        <v>182209</v>
      </c>
      <c r="AY92" s="49">
        <f>IFERROR(__xludf.DUMMYFUNCTION("""COMPUTED_VALUE"""),182209.0)</f>
        <v>182209</v>
      </c>
      <c r="AZ92" s="49">
        <f>IFERROR(__xludf.DUMMYFUNCTION("""COMPUTED_VALUE"""),182209.0)</f>
        <v>182209</v>
      </c>
    </row>
    <row r="93">
      <c r="B93" s="37"/>
      <c r="C93" s="37"/>
      <c r="D93" s="37"/>
      <c r="E93" s="37"/>
      <c r="F93" s="37"/>
      <c r="G93" s="37"/>
      <c r="H93" s="37"/>
      <c r="I93" s="37">
        <f>IFERROR(__xludf.DUMMYFUNCTION("""COMPUTED_VALUE"""),89.0)</f>
        <v>89</v>
      </c>
      <c r="J93" s="37" t="str">
        <f>IFERROR(__xludf.DUMMYFUNCTION("""COMPUTED_VALUE"""),"Y")</f>
        <v>Y</v>
      </c>
      <c r="K93" s="37"/>
      <c r="L93" s="37"/>
      <c r="M93" s="37" t="str">
        <f>IFERROR(__xludf.DUMMYFUNCTION("""COMPUTED_VALUE"""),"Bill")</f>
        <v>Bill</v>
      </c>
      <c r="N93" s="45">
        <f>IFERROR(__xludf.DUMMYFUNCTION("""COMPUTED_VALUE"""),45891.0)</f>
        <v>45891</v>
      </c>
      <c r="O93" s="37">
        <f>IFERROR(__xludf.DUMMYFUNCTION("""COMPUTED_VALUE"""),6023.0)</f>
        <v>6023</v>
      </c>
      <c r="P93" s="37"/>
      <c r="Q93" s="37"/>
      <c r="R93" s="37"/>
      <c r="S93" s="37"/>
      <c r="T93" s="37"/>
      <c r="U93" s="37" t="str">
        <f>IFERROR(__xludf.DUMMYFUNCTION("""COMPUTED_VALUE"""),"Salesforce.com Singapore Pte. Ltd_202508_SalesForce年度續約(2025/8/15-2026/8/14)")</f>
        <v>Salesforce.com Singapore Pte. Ltd_202508_SalesForce年度續約(2025/8/15-2026/8/14)</v>
      </c>
      <c r="V93" s="37"/>
      <c r="W93" s="37"/>
      <c r="X93" s="37"/>
      <c r="Y93" s="49">
        <f>IFERROR(__xludf.DUMMYFUNCTION("""COMPUTED_VALUE"""),90996.0)</f>
        <v>90996</v>
      </c>
      <c r="Z93" s="37">
        <f>IFERROR(__xludf.DUMMYFUNCTION("""COMPUTED_VALUE"""),623201.0)</f>
        <v>623201</v>
      </c>
      <c r="AA93" s="37" t="str">
        <f>IFERROR(__xludf.DUMMYFUNCTION("""COMPUTED_VALUE"""),"研發中心")</f>
        <v>研發中心</v>
      </c>
      <c r="AB93" s="48" t="str">
        <f>IFERROR(__xludf.DUMMYFUNCTION("""COMPUTED_VALUE"""),"執行長室 : 研發中心 : 研發中心")</f>
        <v>執行長室 : 研發中心 : 研發中心</v>
      </c>
      <c r="AC93" s="48" t="str">
        <f>IFERROR(__xludf.DUMMYFUNCTION("""COMPUTED_VALUE"""),"No_Product_Line")</f>
        <v>No_Product_Line</v>
      </c>
      <c r="AD93" s="48" t="str">
        <f>IFERROR(__xludf.DUMMYFUNCTION("""COMPUTED_VALUE"""),"Baseline")</f>
        <v>Baseline</v>
      </c>
      <c r="AE93" s="48" t="str">
        <f>IFERROR(__xludf.DUMMYFUNCTION("""COMPUTED_VALUE"""),"Baseline")</f>
        <v>Baseline</v>
      </c>
      <c r="AF93" s="49">
        <f>IFERROR(__xludf.DUMMYFUNCTION("""COMPUTED_VALUE"""),109239.0)</f>
        <v>109239</v>
      </c>
      <c r="AG93" s="49">
        <f>IFERROR(__xludf.DUMMYFUNCTION("""COMPUTED_VALUE"""),12.0)</f>
        <v>12</v>
      </c>
      <c r="AH93" s="49">
        <f>IFERROR(__xludf.DUMMYFUNCTION("""COMPUTED_VALUE"""),18243.0)</f>
        <v>18243</v>
      </c>
      <c r="AI93" s="49">
        <f>IFERROR(__xludf.DUMMYFUNCTION("""COMPUTED_VALUE"""),0.0)</f>
        <v>0</v>
      </c>
      <c r="AJ93" s="37"/>
      <c r="AK93" s="37"/>
      <c r="AL93" s="37"/>
      <c r="AM93" s="37"/>
      <c r="AN93" s="37"/>
      <c r="AO93" s="37"/>
      <c r="AP93" s="37"/>
      <c r="AQ93" s="49">
        <f>IFERROR(__xludf.DUMMYFUNCTION("""COMPUTED_VALUE"""),9143.0)</f>
        <v>9143</v>
      </c>
      <c r="AR93" s="49">
        <f>IFERROR(__xludf.DUMMYFUNCTION("""COMPUTED_VALUE"""),9100.0)</f>
        <v>9100</v>
      </c>
      <c r="AS93" s="49">
        <f>IFERROR(__xludf.DUMMYFUNCTION("""COMPUTED_VALUE"""),9100.0)</f>
        <v>9100</v>
      </c>
      <c r="AT93" s="49">
        <f>IFERROR(__xludf.DUMMYFUNCTION("""COMPUTED_VALUE"""),9100.0)</f>
        <v>9100</v>
      </c>
      <c r="AU93" s="49">
        <f>IFERROR(__xludf.DUMMYFUNCTION("""COMPUTED_VALUE"""),9100.0)</f>
        <v>9100</v>
      </c>
      <c r="AV93" s="49">
        <f>IFERROR(__xludf.DUMMYFUNCTION("""COMPUTED_VALUE"""),9100.0)</f>
        <v>9100</v>
      </c>
      <c r="AW93" s="49">
        <f>IFERROR(__xludf.DUMMYFUNCTION("""COMPUTED_VALUE"""),9100.0)</f>
        <v>9100</v>
      </c>
      <c r="AX93" s="49">
        <f>IFERROR(__xludf.DUMMYFUNCTION("""COMPUTED_VALUE"""),9100.0)</f>
        <v>9100</v>
      </c>
      <c r="AY93" s="49">
        <f>IFERROR(__xludf.DUMMYFUNCTION("""COMPUTED_VALUE"""),9100.0)</f>
        <v>9100</v>
      </c>
      <c r="AZ93" s="49">
        <f>IFERROR(__xludf.DUMMYFUNCTION("""COMPUTED_VALUE"""),9100.0)</f>
        <v>9100</v>
      </c>
    </row>
    <row r="94">
      <c r="B94" s="37"/>
      <c r="C94" s="37"/>
      <c r="D94" s="37"/>
      <c r="E94" s="37"/>
      <c r="F94" s="37"/>
      <c r="G94" s="37"/>
      <c r="H94" s="37"/>
      <c r="I94" s="37">
        <f>IFERROR(__xludf.DUMMYFUNCTION("""COMPUTED_VALUE"""),90.0)</f>
        <v>90</v>
      </c>
      <c r="J94" s="37" t="str">
        <f>IFERROR(__xludf.DUMMYFUNCTION("""COMPUTED_VALUE"""),"Y")</f>
        <v>Y</v>
      </c>
      <c r="K94" s="37"/>
      <c r="L94" s="37"/>
      <c r="M94" s="37" t="str">
        <f>IFERROR(__xludf.DUMMYFUNCTION("""COMPUTED_VALUE"""),"Bill")</f>
        <v>Bill</v>
      </c>
      <c r="N94" s="45">
        <f>IFERROR(__xludf.DUMMYFUNCTION("""COMPUTED_VALUE"""),45891.0)</f>
        <v>45891</v>
      </c>
      <c r="O94" s="37">
        <f>IFERROR(__xludf.DUMMYFUNCTION("""COMPUTED_VALUE"""),6023.0)</f>
        <v>6023</v>
      </c>
      <c r="P94" s="37"/>
      <c r="Q94" s="37"/>
      <c r="R94" s="37"/>
      <c r="S94" s="37"/>
      <c r="T94" s="37"/>
      <c r="U94" s="37" t="str">
        <f>IFERROR(__xludf.DUMMYFUNCTION("""COMPUTED_VALUE"""),"Salesforce.com Singapore Pte. Ltd_202508_SalesForce年度續約(2025/8/15-2026/8/14)")</f>
        <v>Salesforce.com Singapore Pte. Ltd_202508_SalesForce年度續約(2025/8/15-2026/8/14)</v>
      </c>
      <c r="V94" s="37"/>
      <c r="W94" s="37"/>
      <c r="X94" s="37"/>
      <c r="Y94" s="49">
        <f>IFERROR(__xludf.DUMMYFUNCTION("""COMPUTED_VALUE"""),389415.0)</f>
        <v>389415</v>
      </c>
      <c r="Z94" s="37">
        <f>IFERROR(__xludf.DUMMYFUNCTION("""COMPUTED_VALUE"""),613201.0)</f>
        <v>613201</v>
      </c>
      <c r="AA94" s="37" t="str">
        <f>IFERROR(__xludf.DUMMYFUNCTION("""COMPUTED_VALUE"""),"管理中心")</f>
        <v>管理中心</v>
      </c>
      <c r="AB94" s="48" t="str">
        <f>IFERROR(__xludf.DUMMYFUNCTION("""COMPUTED_VALUE"""),"執行長室 : 管理中心 : 資訊部")</f>
        <v>執行長室 : 管理中心 : 資訊部</v>
      </c>
      <c r="AC94" s="48" t="str">
        <f>IFERROR(__xludf.DUMMYFUNCTION("""COMPUTED_VALUE"""),"No_Product_Line")</f>
        <v>No_Product_Line</v>
      </c>
      <c r="AD94" s="48" t="str">
        <f>IFERROR(__xludf.DUMMYFUNCTION("""COMPUTED_VALUE"""),"Baseline")</f>
        <v>Baseline</v>
      </c>
      <c r="AE94" s="48" t="str">
        <f>IFERROR(__xludf.DUMMYFUNCTION("""COMPUTED_VALUE"""),"Baseline")</f>
        <v>Baseline</v>
      </c>
      <c r="AF94" s="49">
        <f>IFERROR(__xludf.DUMMYFUNCTION("""COMPUTED_VALUE"""),467486.0)</f>
        <v>467486</v>
      </c>
      <c r="AG94" s="49">
        <f>IFERROR(__xludf.DUMMYFUNCTION("""COMPUTED_VALUE"""),12.0)</f>
        <v>12</v>
      </c>
      <c r="AH94" s="49">
        <f>IFERROR(__xludf.DUMMYFUNCTION("""COMPUTED_VALUE"""),78071.0)</f>
        <v>78071</v>
      </c>
      <c r="AI94" s="49">
        <f>IFERROR(__xludf.DUMMYFUNCTION("""COMPUTED_VALUE"""),0.0)</f>
        <v>0</v>
      </c>
      <c r="AJ94" s="37"/>
      <c r="AK94" s="37"/>
      <c r="AL94" s="37"/>
      <c r="AM94" s="37"/>
      <c r="AN94" s="37"/>
      <c r="AO94" s="37"/>
      <c r="AP94" s="37"/>
      <c r="AQ94" s="49">
        <f>IFERROR(__xludf.DUMMYFUNCTION("""COMPUTED_VALUE"""),39129.0)</f>
        <v>39129</v>
      </c>
      <c r="AR94" s="49">
        <f>IFERROR(__xludf.DUMMYFUNCTION("""COMPUTED_VALUE"""),38942.0)</f>
        <v>38942</v>
      </c>
      <c r="AS94" s="49">
        <f>IFERROR(__xludf.DUMMYFUNCTION("""COMPUTED_VALUE"""),38942.0)</f>
        <v>38942</v>
      </c>
      <c r="AT94" s="49">
        <f>IFERROR(__xludf.DUMMYFUNCTION("""COMPUTED_VALUE"""),38942.0)</f>
        <v>38942</v>
      </c>
      <c r="AU94" s="49">
        <f>IFERROR(__xludf.DUMMYFUNCTION("""COMPUTED_VALUE"""),38942.0)</f>
        <v>38942</v>
      </c>
      <c r="AV94" s="49">
        <f>IFERROR(__xludf.DUMMYFUNCTION("""COMPUTED_VALUE"""),38942.0)</f>
        <v>38942</v>
      </c>
      <c r="AW94" s="49">
        <f>IFERROR(__xludf.DUMMYFUNCTION("""COMPUTED_VALUE"""),38942.0)</f>
        <v>38942</v>
      </c>
      <c r="AX94" s="49">
        <f>IFERROR(__xludf.DUMMYFUNCTION("""COMPUTED_VALUE"""),38942.0)</f>
        <v>38942</v>
      </c>
      <c r="AY94" s="49">
        <f>IFERROR(__xludf.DUMMYFUNCTION("""COMPUTED_VALUE"""),38942.0)</f>
        <v>38942</v>
      </c>
      <c r="AZ94" s="49">
        <f>IFERROR(__xludf.DUMMYFUNCTION("""COMPUTED_VALUE"""),38942.0)</f>
        <v>38942</v>
      </c>
    </row>
    <row r="95">
      <c r="B95" s="37"/>
      <c r="C95" s="37"/>
      <c r="D95" s="37"/>
      <c r="E95" s="37"/>
      <c r="F95" s="37"/>
      <c r="G95" s="37"/>
      <c r="H95" s="37"/>
      <c r="I95" s="37">
        <f>IFERROR(__xludf.DUMMYFUNCTION("""COMPUTED_VALUE"""),91.0)</f>
        <v>91</v>
      </c>
      <c r="J95" s="37" t="str">
        <f>IFERROR(__xludf.DUMMYFUNCTION("""COMPUTED_VALUE"""),"Y")</f>
        <v>Y</v>
      </c>
      <c r="K95" s="37"/>
      <c r="L95" s="37"/>
      <c r="M95" s="37" t="str">
        <f>IFERROR(__xludf.DUMMYFUNCTION("""COMPUTED_VALUE"""),"Bill")</f>
        <v>Bill</v>
      </c>
      <c r="N95" s="45">
        <f>IFERROR(__xludf.DUMMYFUNCTION("""COMPUTED_VALUE"""),45891.0)</f>
        <v>45891</v>
      </c>
      <c r="O95" s="37">
        <f>IFERROR(__xludf.DUMMYFUNCTION("""COMPUTED_VALUE"""),6023.0)</f>
        <v>6023</v>
      </c>
      <c r="P95" s="37"/>
      <c r="Q95" s="37"/>
      <c r="R95" s="37"/>
      <c r="S95" s="37"/>
      <c r="T95" s="37"/>
      <c r="U95" s="37" t="str">
        <f>IFERROR(__xludf.DUMMYFUNCTION("""COMPUTED_VALUE"""),"Salesforce.com Singapore Pte. Ltd_202508_SalesForce年度續約(2025/8/15-2026/8/14)")</f>
        <v>Salesforce.com Singapore Pte. Ltd_202508_SalesForce年度續約(2025/8/15-2026/8/14)</v>
      </c>
      <c r="V95" s="37"/>
      <c r="W95" s="37"/>
      <c r="X95" s="37"/>
      <c r="Y95" s="49">
        <f>IFERROR(__xludf.DUMMYFUNCTION("""COMPUTED_VALUE"""),273294.0)</f>
        <v>273294</v>
      </c>
      <c r="Z95" s="37">
        <f>IFERROR(__xludf.DUMMYFUNCTION("""COMPUTED_VALUE"""),623201.0)</f>
        <v>623201</v>
      </c>
      <c r="AA95" s="37" t="str">
        <f>IFERROR(__xludf.DUMMYFUNCTION("""COMPUTED_VALUE"""),"客戶價值中心")</f>
        <v>客戶價值中心</v>
      </c>
      <c r="AB95" s="48" t="str">
        <f>IFERROR(__xludf.DUMMYFUNCTION("""COMPUTED_VALUE"""),"執行長室 : 客戶價值中心 : 客戶價值中心")</f>
        <v>執行長室 : 客戶價值中心 : 客戶價值中心</v>
      </c>
      <c r="AC95" s="48" t="str">
        <f>IFERROR(__xludf.DUMMYFUNCTION("""COMPUTED_VALUE"""),"No_Product_Line")</f>
        <v>No_Product_Line</v>
      </c>
      <c r="AD95" s="48" t="str">
        <f>IFERROR(__xludf.DUMMYFUNCTION("""COMPUTED_VALUE"""),"Baseline")</f>
        <v>Baseline</v>
      </c>
      <c r="AE95" s="48" t="str">
        <f>IFERROR(__xludf.DUMMYFUNCTION("""COMPUTED_VALUE"""),"Baseline")</f>
        <v>Baseline</v>
      </c>
      <c r="AF95" s="49">
        <f>IFERROR(__xludf.DUMMYFUNCTION("""COMPUTED_VALUE"""),328084.0)</f>
        <v>328084</v>
      </c>
      <c r="AG95" s="49">
        <f>IFERROR(__xludf.DUMMYFUNCTION("""COMPUTED_VALUE"""),12.0)</f>
        <v>12</v>
      </c>
      <c r="AH95" s="49">
        <f>IFERROR(__xludf.DUMMYFUNCTION("""COMPUTED_VALUE"""),54790.0)</f>
        <v>54790</v>
      </c>
      <c r="AI95" s="49">
        <f>IFERROR(__xludf.DUMMYFUNCTION("""COMPUTED_VALUE"""),0.0)</f>
        <v>0</v>
      </c>
      <c r="AJ95" s="37"/>
      <c r="AK95" s="37"/>
      <c r="AL95" s="37"/>
      <c r="AM95" s="37"/>
      <c r="AN95" s="37"/>
      <c r="AO95" s="37"/>
      <c r="AP95" s="37"/>
      <c r="AQ95" s="49">
        <f>IFERROR(__xludf.DUMMYFUNCTION("""COMPUTED_VALUE"""),27461.0)</f>
        <v>27461</v>
      </c>
      <c r="AR95" s="49">
        <f>IFERROR(__xludf.DUMMYFUNCTION("""COMPUTED_VALUE"""),27329.0)</f>
        <v>27329</v>
      </c>
      <c r="AS95" s="49">
        <f>IFERROR(__xludf.DUMMYFUNCTION("""COMPUTED_VALUE"""),27329.0)</f>
        <v>27329</v>
      </c>
      <c r="AT95" s="49">
        <f>IFERROR(__xludf.DUMMYFUNCTION("""COMPUTED_VALUE"""),27329.0)</f>
        <v>27329</v>
      </c>
      <c r="AU95" s="49">
        <f>IFERROR(__xludf.DUMMYFUNCTION("""COMPUTED_VALUE"""),27329.0)</f>
        <v>27329</v>
      </c>
      <c r="AV95" s="49">
        <f>IFERROR(__xludf.DUMMYFUNCTION("""COMPUTED_VALUE"""),27329.0)</f>
        <v>27329</v>
      </c>
      <c r="AW95" s="49">
        <f>IFERROR(__xludf.DUMMYFUNCTION("""COMPUTED_VALUE"""),27329.0)</f>
        <v>27329</v>
      </c>
      <c r="AX95" s="49">
        <f>IFERROR(__xludf.DUMMYFUNCTION("""COMPUTED_VALUE"""),27329.0)</f>
        <v>27329</v>
      </c>
      <c r="AY95" s="49">
        <f>IFERROR(__xludf.DUMMYFUNCTION("""COMPUTED_VALUE"""),27329.0)</f>
        <v>27329</v>
      </c>
      <c r="AZ95" s="49">
        <f>IFERROR(__xludf.DUMMYFUNCTION("""COMPUTED_VALUE"""),27329.0)</f>
        <v>27329</v>
      </c>
    </row>
    <row r="96">
      <c r="B96" s="37"/>
      <c r="C96" s="37"/>
      <c r="D96" s="37"/>
      <c r="E96" s="37"/>
      <c r="F96" s="37"/>
      <c r="G96" s="37"/>
      <c r="H96" s="37"/>
      <c r="I96" s="37">
        <f>IFERROR(__xludf.DUMMYFUNCTION("""COMPUTED_VALUE"""),92.0)</f>
        <v>92</v>
      </c>
      <c r="J96" s="37"/>
      <c r="K96" s="37"/>
      <c r="L96" s="37"/>
      <c r="M96" s="37" t="str">
        <f>IFERROR(__xludf.DUMMYFUNCTION("""COMPUTED_VALUE"""),"Bill")</f>
        <v>Bill</v>
      </c>
      <c r="N96" s="45">
        <f>IFERROR(__xludf.DUMMYFUNCTION("""COMPUTED_VALUE"""),45891.0)</f>
        <v>45891</v>
      </c>
      <c r="O96" s="37">
        <f>IFERROR(__xludf.DUMMYFUNCTION("""COMPUTED_VALUE"""),6024.0)</f>
        <v>6024</v>
      </c>
      <c r="P96" s="37"/>
      <c r="Q96" s="37"/>
      <c r="R96" s="37"/>
      <c r="S96" s="37"/>
      <c r="T96" s="37"/>
      <c r="U96" s="37" t="str">
        <f>IFERROR(__xludf.DUMMYFUNCTION("""COMPUTED_VALUE"""),"富邦人壽保險股份有限公司_202508_2025年度團體保險費用(1140801-1150731)_PCAR-3649")</f>
        <v>富邦人壽保險股份有限公司_202508_2025年度團體保險費用(1140801-1150731)_PCAR-3649</v>
      </c>
      <c r="V96" s="37"/>
      <c r="W96" s="37"/>
      <c r="X96" s="37"/>
      <c r="Y96" s="49">
        <f>IFERROR(__xludf.DUMMYFUNCTION("""COMPUTED_VALUE"""),213756.0)</f>
        <v>213756</v>
      </c>
      <c r="Z96" s="37">
        <f>IFERROR(__xludf.DUMMYFUNCTION("""COMPUTED_VALUE"""),611903.0)</f>
        <v>611903</v>
      </c>
      <c r="AA96" s="37" t="str">
        <f>IFERROR(__xludf.DUMMYFUNCTION("""COMPUTED_VALUE"""),"管理中心")</f>
        <v>管理中心</v>
      </c>
      <c r="AB96" s="48" t="str">
        <f>IFERROR(__xludf.DUMMYFUNCTION("""COMPUTED_VALUE"""),"執行長室 : 管理中心 : 管理中心")</f>
        <v>執行長室 : 管理中心 : 管理中心</v>
      </c>
      <c r="AC96" s="48" t="str">
        <f>IFERROR(__xludf.DUMMYFUNCTION("""COMPUTED_VALUE"""),"No_Product_Line")</f>
        <v>No_Product_Line</v>
      </c>
      <c r="AD96" s="48" t="str">
        <f>IFERROR(__xludf.DUMMYFUNCTION("""COMPUTED_VALUE"""),"Baseline")</f>
        <v>Baseline</v>
      </c>
      <c r="AE96" s="48" t="str">
        <f>IFERROR(__xludf.DUMMYFUNCTION("""COMPUTED_VALUE"""),"Baseline")</f>
        <v>Baseline</v>
      </c>
      <c r="AF96" s="49">
        <f>IFERROR(__xludf.DUMMYFUNCTION("""COMPUTED_VALUE"""),256610.0)</f>
        <v>256610</v>
      </c>
      <c r="AG96" s="49">
        <f>IFERROR(__xludf.DUMMYFUNCTION("""COMPUTED_VALUE"""),12.0)</f>
        <v>12</v>
      </c>
      <c r="AH96" s="49">
        <f>IFERROR(__xludf.DUMMYFUNCTION("""COMPUTED_VALUE"""),42854.0)</f>
        <v>42854</v>
      </c>
      <c r="AI96" s="49">
        <f>IFERROR(__xludf.DUMMYFUNCTION("""COMPUTED_VALUE"""),0.0)</f>
        <v>0</v>
      </c>
      <c r="AJ96" s="37"/>
      <c r="AK96" s="37"/>
      <c r="AL96" s="37"/>
      <c r="AM96" s="37"/>
      <c r="AN96" s="37"/>
      <c r="AO96" s="37"/>
      <c r="AP96" s="37"/>
      <c r="AQ96" s="49">
        <f>IFERROR(__xludf.DUMMYFUNCTION("""COMPUTED_VALUE"""),21478.0)</f>
        <v>21478</v>
      </c>
      <c r="AR96" s="49">
        <f>IFERROR(__xludf.DUMMYFUNCTION("""COMPUTED_VALUE"""),21376.0)</f>
        <v>21376</v>
      </c>
      <c r="AS96" s="49">
        <f>IFERROR(__xludf.DUMMYFUNCTION("""COMPUTED_VALUE"""),21376.0)</f>
        <v>21376</v>
      </c>
      <c r="AT96" s="49">
        <f>IFERROR(__xludf.DUMMYFUNCTION("""COMPUTED_VALUE"""),21376.0)</f>
        <v>21376</v>
      </c>
      <c r="AU96" s="49">
        <f>IFERROR(__xludf.DUMMYFUNCTION("""COMPUTED_VALUE"""),21376.0)</f>
        <v>21376</v>
      </c>
      <c r="AV96" s="49">
        <f>IFERROR(__xludf.DUMMYFUNCTION("""COMPUTED_VALUE"""),21376.0)</f>
        <v>21376</v>
      </c>
      <c r="AW96" s="49">
        <f>IFERROR(__xludf.DUMMYFUNCTION("""COMPUTED_VALUE"""),21376.0)</f>
        <v>21376</v>
      </c>
      <c r="AX96" s="49">
        <f>IFERROR(__xludf.DUMMYFUNCTION("""COMPUTED_VALUE"""),21376.0)</f>
        <v>21376</v>
      </c>
      <c r="AY96" s="49">
        <f>IFERROR(__xludf.DUMMYFUNCTION("""COMPUTED_VALUE"""),21376.0)</f>
        <v>21376</v>
      </c>
      <c r="AZ96" s="49">
        <f>IFERROR(__xludf.DUMMYFUNCTION("""COMPUTED_VALUE"""),21376.0)</f>
        <v>21376</v>
      </c>
    </row>
    <row r="97">
      <c r="B97" s="37"/>
      <c r="C97" s="37"/>
      <c r="D97" s="37"/>
      <c r="E97" s="37"/>
      <c r="F97" s="37"/>
      <c r="G97" s="37"/>
      <c r="H97" s="37"/>
      <c r="I97" s="37">
        <f>IFERROR(__xludf.DUMMYFUNCTION("""COMPUTED_VALUE"""),93.0)</f>
        <v>93</v>
      </c>
      <c r="J97" s="37"/>
      <c r="K97" s="37"/>
      <c r="L97" s="37"/>
      <c r="M97" s="37" t="str">
        <f>IFERROR(__xludf.DUMMYFUNCTION("""COMPUTED_VALUE"""),"Journal")</f>
        <v>Journal</v>
      </c>
      <c r="N97" s="45">
        <f>IFERROR(__xludf.DUMMYFUNCTION("""COMPUTED_VALUE"""),45900.0)</f>
        <v>45900</v>
      </c>
      <c r="O97" s="37">
        <f>IFERROR(__xludf.DUMMYFUNCTION("""COMPUTED_VALUE"""),18585.0)</f>
        <v>18585</v>
      </c>
      <c r="P97" s="37"/>
      <c r="Q97" s="37"/>
      <c r="R97" s="37"/>
      <c r="S97" s="37"/>
      <c r="T97" s="37"/>
      <c r="U97" s="37" t="str">
        <f>IFERROR(__xludf.DUMMYFUNCTION("""COMPUTED_VALUE"""),"簡單行動支付股份有限公司_202508_ezpay 電子發票年費制 - 尊榮型 (2025.10.17-2026.10.16)")</f>
        <v>簡單行動支付股份有限公司_202508_ezpay 電子發票年費制 - 尊榮型 (2025.10.17-2026.10.16)</v>
      </c>
      <c r="V97" s="37"/>
      <c r="W97" s="37"/>
      <c r="X97" s="37"/>
      <c r="Y97" s="49">
        <f>IFERROR(__xludf.DUMMYFUNCTION("""COMPUTED_VALUE"""),13714.0)</f>
        <v>13714</v>
      </c>
      <c r="Z97" s="37">
        <f>IFERROR(__xludf.DUMMYFUNCTION("""COMPUTED_VALUE"""),613201.0)</f>
        <v>613201</v>
      </c>
      <c r="AA97" s="37" t="str">
        <f>IFERROR(__xludf.DUMMYFUNCTION("""COMPUTED_VALUE"""),"財務中心")</f>
        <v>財務中心</v>
      </c>
      <c r="AB97" s="48" t="str">
        <f>IFERROR(__xludf.DUMMYFUNCTION("""COMPUTED_VALUE"""),"執行長室 : 財務中心 : 財務中心")</f>
        <v>執行長室 : 財務中心 : 財務中心</v>
      </c>
      <c r="AC97" s="48" t="str">
        <f>IFERROR(__xludf.DUMMYFUNCTION("""COMPUTED_VALUE"""),"No_Product_Line")</f>
        <v>No_Product_Line</v>
      </c>
      <c r="AD97" s="48" t="str">
        <f>IFERROR(__xludf.DUMMYFUNCTION("""COMPUTED_VALUE"""),"Baseline")</f>
        <v>Baseline</v>
      </c>
      <c r="AE97" s="48" t="str">
        <f>IFERROR(__xludf.DUMMYFUNCTION("""COMPUTED_VALUE"""),"Baseline")</f>
        <v>Baseline</v>
      </c>
      <c r="AF97" s="49">
        <f>IFERROR(__xludf.DUMMYFUNCTION("""COMPUTED_VALUE"""),13714.0)</f>
        <v>13714</v>
      </c>
      <c r="AG97" s="49">
        <f>IFERROR(__xludf.DUMMYFUNCTION("""COMPUTED_VALUE"""),12.0)</f>
        <v>12</v>
      </c>
      <c r="AH97" s="49">
        <f>IFERROR(__xludf.DUMMYFUNCTION("""COMPUTED_VALUE"""),0.0)</f>
        <v>0</v>
      </c>
      <c r="AI97" s="49">
        <f>IFERROR(__xludf.DUMMYFUNCTION("""COMPUTED_VALUE"""),0.0)</f>
        <v>0</v>
      </c>
      <c r="AJ97" s="37"/>
      <c r="AK97" s="37"/>
      <c r="AL97" s="37"/>
      <c r="AM97" s="37"/>
      <c r="AN97" s="37"/>
      <c r="AO97" s="37"/>
      <c r="AP97" s="37"/>
      <c r="AQ97" s="37"/>
      <c r="AR97" s="37"/>
      <c r="AS97" s="49">
        <f>IFERROR(__xludf.DUMMYFUNCTION("""COMPUTED_VALUE"""),1148.0)</f>
        <v>1148</v>
      </c>
      <c r="AT97" s="49">
        <f>IFERROR(__xludf.DUMMYFUNCTION("""COMPUTED_VALUE"""),1142.0)</f>
        <v>1142</v>
      </c>
      <c r="AU97" s="49">
        <f>IFERROR(__xludf.DUMMYFUNCTION("""COMPUTED_VALUE"""),1142.0)</f>
        <v>1142</v>
      </c>
      <c r="AV97" s="49">
        <f>IFERROR(__xludf.DUMMYFUNCTION("""COMPUTED_VALUE"""),1142.0)</f>
        <v>1142</v>
      </c>
      <c r="AW97" s="49">
        <f>IFERROR(__xludf.DUMMYFUNCTION("""COMPUTED_VALUE"""),1142.0)</f>
        <v>1142</v>
      </c>
      <c r="AX97" s="49">
        <f>IFERROR(__xludf.DUMMYFUNCTION("""COMPUTED_VALUE"""),1142.0)</f>
        <v>1142</v>
      </c>
      <c r="AY97" s="49">
        <f>IFERROR(__xludf.DUMMYFUNCTION("""COMPUTED_VALUE"""),1142.0)</f>
        <v>1142</v>
      </c>
      <c r="AZ97" s="49">
        <f>IFERROR(__xludf.DUMMYFUNCTION("""COMPUTED_VALUE"""),1142.0)</f>
        <v>1142</v>
      </c>
    </row>
    <row r="98">
      <c r="B98" s="37"/>
      <c r="C98" s="37"/>
      <c r="D98" s="37"/>
      <c r="E98" s="37"/>
      <c r="F98" s="37"/>
      <c r="G98" s="37"/>
      <c r="H98" s="37"/>
      <c r="I98" s="37">
        <f>IFERROR(__xludf.DUMMYFUNCTION("""COMPUTED_VALUE"""),94.0)</f>
        <v>94</v>
      </c>
      <c r="J98" s="37"/>
      <c r="K98" s="37"/>
      <c r="L98" s="37"/>
      <c r="M98" s="37" t="str">
        <f>IFERROR(__xludf.DUMMYFUNCTION("""COMPUTED_VALUE"""),"Journal")</f>
        <v>Journal</v>
      </c>
      <c r="N98" s="45">
        <f>IFERROR(__xludf.DUMMYFUNCTION("""COMPUTED_VALUE"""),45900.0)</f>
        <v>45900</v>
      </c>
      <c r="O98" s="37">
        <f>IFERROR(__xludf.DUMMYFUNCTION("""COMPUTED_VALUE"""),18674.0)</f>
        <v>18674</v>
      </c>
      <c r="P98" s="37"/>
      <c r="Q98" s="37"/>
      <c r="R98" s="37"/>
      <c r="S98" s="37"/>
      <c r="T98" s="37"/>
      <c r="U98" s="37" t="str">
        <f>IFERROR(__xludf.DUMMYFUNCTION("""COMPUTED_VALUE"""),"WordPress.com _2025.08_iCHEF 部落格年費 (20250815-20260814)")</f>
        <v>WordPress.com _2025.08_iCHEF 部落格年費 (20250815-20260814)</v>
      </c>
      <c r="V98" s="37"/>
      <c r="W98" s="37"/>
      <c r="X98" s="37"/>
      <c r="Y98" s="49">
        <f>IFERROR(__xludf.DUMMYFUNCTION("""COMPUTED_VALUE"""),7888.0)</f>
        <v>7888</v>
      </c>
      <c r="Z98" s="37">
        <f>IFERROR(__xludf.DUMMYFUNCTION("""COMPUTED_VALUE"""),603201.0)</f>
        <v>603201</v>
      </c>
      <c r="AA98" s="37" t="str">
        <f>IFERROR(__xludf.DUMMYFUNCTION("""COMPUTED_VALUE"""),"行銷營運中心")</f>
        <v>行銷營運中心</v>
      </c>
      <c r="AB98" s="48" t="str">
        <f>IFERROR(__xludf.DUMMYFUNCTION("""COMPUTED_VALUE"""),"執行長室 : 行銷營運中心 : 社群關係部 : 餐廳社群團隊")</f>
        <v>執行長室 : 行銷營運中心 : 社群關係部 : 餐廳社群團隊</v>
      </c>
      <c r="AC98" s="48" t="str">
        <f>IFERROR(__xludf.DUMMYFUNCTION("""COMPUTED_VALUE"""),"No_Product_Line")</f>
        <v>No_Product_Line</v>
      </c>
      <c r="AD98" s="48" t="str">
        <f>IFERROR(__xludf.DUMMYFUNCTION("""COMPUTED_VALUE"""),"Baseline")</f>
        <v>Baseline</v>
      </c>
      <c r="AE98" s="48" t="str">
        <f>IFERROR(__xludf.DUMMYFUNCTION("""COMPUTED_VALUE"""),"Baseline")</f>
        <v>Baseline</v>
      </c>
      <c r="AF98" s="49">
        <f>IFERROR(__xludf.DUMMYFUNCTION("""COMPUTED_VALUE"""),9470.0)</f>
        <v>9470</v>
      </c>
      <c r="AG98" s="49">
        <f>IFERROR(__xludf.DUMMYFUNCTION("""COMPUTED_VALUE"""),12.0)</f>
        <v>12</v>
      </c>
      <c r="AH98" s="49">
        <f>IFERROR(__xludf.DUMMYFUNCTION("""COMPUTED_VALUE"""),1582.0)</f>
        <v>1582</v>
      </c>
      <c r="AI98" s="49">
        <f>IFERROR(__xludf.DUMMYFUNCTION("""COMPUTED_VALUE"""),0.0)</f>
        <v>0</v>
      </c>
      <c r="AJ98" s="37"/>
      <c r="AK98" s="37"/>
      <c r="AL98" s="37"/>
      <c r="AM98" s="37"/>
      <c r="AN98" s="37"/>
      <c r="AO98" s="37"/>
      <c r="AP98" s="37"/>
      <c r="AQ98" s="49">
        <f>IFERROR(__xludf.DUMMYFUNCTION("""COMPUTED_VALUE"""),793.0)</f>
        <v>793</v>
      </c>
      <c r="AR98" s="49">
        <f>IFERROR(__xludf.DUMMYFUNCTION("""COMPUTED_VALUE"""),789.0)</f>
        <v>789</v>
      </c>
      <c r="AS98" s="49">
        <f>IFERROR(__xludf.DUMMYFUNCTION("""COMPUTED_VALUE"""),789.0)</f>
        <v>789</v>
      </c>
      <c r="AT98" s="49">
        <f>IFERROR(__xludf.DUMMYFUNCTION("""COMPUTED_VALUE"""),789.0)</f>
        <v>789</v>
      </c>
      <c r="AU98" s="49">
        <f>IFERROR(__xludf.DUMMYFUNCTION("""COMPUTED_VALUE"""),789.0)</f>
        <v>789</v>
      </c>
      <c r="AV98" s="49">
        <f>IFERROR(__xludf.DUMMYFUNCTION("""COMPUTED_VALUE"""),789.0)</f>
        <v>789</v>
      </c>
      <c r="AW98" s="49">
        <f>IFERROR(__xludf.DUMMYFUNCTION("""COMPUTED_VALUE"""),789.0)</f>
        <v>789</v>
      </c>
      <c r="AX98" s="49">
        <f>IFERROR(__xludf.DUMMYFUNCTION("""COMPUTED_VALUE"""),789.0)</f>
        <v>789</v>
      </c>
      <c r="AY98" s="49">
        <f>IFERROR(__xludf.DUMMYFUNCTION("""COMPUTED_VALUE"""),789.0)</f>
        <v>789</v>
      </c>
      <c r="AZ98" s="49">
        <f>IFERROR(__xludf.DUMMYFUNCTION("""COMPUTED_VALUE"""),789.0)</f>
        <v>789</v>
      </c>
    </row>
    <row r="99">
      <c r="B99" s="37"/>
      <c r="C99" s="37"/>
      <c r="D99" s="37"/>
      <c r="E99" s="37"/>
      <c r="F99" s="37"/>
      <c r="G99" s="37"/>
      <c r="H99" s="37"/>
      <c r="I99" s="37">
        <f>IFERROR(__xludf.DUMMYFUNCTION("""COMPUTED_VALUE"""),95.0)</f>
        <v>95</v>
      </c>
      <c r="J99" s="37"/>
      <c r="K99" s="37"/>
      <c r="L99" s="37"/>
      <c r="M99" s="37" t="str">
        <f>IFERROR(__xludf.DUMMYFUNCTION("""COMPUTED_VALUE"""),"Journal")</f>
        <v>Journal</v>
      </c>
      <c r="N99" s="45">
        <f>IFERROR(__xludf.DUMMYFUNCTION("""COMPUTED_VALUE"""),45900.0)</f>
        <v>45900</v>
      </c>
      <c r="O99" s="37">
        <f>IFERROR(__xludf.DUMMYFUNCTION("""COMPUTED_VALUE"""),18674.0)</f>
        <v>18674</v>
      </c>
      <c r="P99" s="37"/>
      <c r="Q99" s="37"/>
      <c r="R99" s="37"/>
      <c r="S99" s="37"/>
      <c r="T99" s="37"/>
      <c r="U99" s="37" t="str">
        <f>IFERROR(__xludf.DUMMYFUNCTION("""COMPUTED_VALUE"""),"資廚管理顧問股份有限公司(公司卡)_202508_Sentry (20250823-20260822)")</f>
        <v>資廚管理顧問股份有限公司(公司卡)_202508_Sentry (20250823-20260822)</v>
      </c>
      <c r="V99" s="37"/>
      <c r="W99" s="37"/>
      <c r="X99" s="37"/>
      <c r="Y99" s="49">
        <f>IFERROR(__xludf.DUMMYFUNCTION("""COMPUTED_VALUE"""),12478.0)</f>
        <v>12478</v>
      </c>
      <c r="Z99" s="37">
        <f>IFERROR(__xludf.DUMMYFUNCTION("""COMPUTED_VALUE"""),520001.0)</f>
        <v>520001</v>
      </c>
      <c r="AA99" s="37" t="str">
        <f>IFERROR(__xludf.DUMMYFUNCTION("""COMPUTED_VALUE"""),"研發中心")</f>
        <v>研發中心</v>
      </c>
      <c r="AB99" s="48" t="str">
        <f>IFERROR(__xludf.DUMMYFUNCTION("""COMPUTED_VALUE"""),"執行長室 : 研發中心 : 軟體工程部")</f>
        <v>執行長室 : 研發中心 : 軟體工程部</v>
      </c>
      <c r="AC99" s="48" t="str">
        <f>IFERROR(__xludf.DUMMYFUNCTION("""COMPUTED_VALUE"""),"No_Product_Line")</f>
        <v>No_Product_Line</v>
      </c>
      <c r="AD99" s="48" t="str">
        <f>IFERROR(__xludf.DUMMYFUNCTION("""COMPUTED_VALUE"""),"Baseline")</f>
        <v>Baseline</v>
      </c>
      <c r="AE99" s="48" t="str">
        <f>IFERROR(__xludf.DUMMYFUNCTION("""COMPUTED_VALUE"""),"Baseline")</f>
        <v>Baseline</v>
      </c>
      <c r="AF99" s="49">
        <f>IFERROR(__xludf.DUMMYFUNCTION("""COMPUTED_VALUE"""),14980.0)</f>
        <v>14980</v>
      </c>
      <c r="AG99" s="49">
        <f>IFERROR(__xludf.DUMMYFUNCTION("""COMPUTED_VALUE"""),12.0)</f>
        <v>12</v>
      </c>
      <c r="AH99" s="49">
        <f>IFERROR(__xludf.DUMMYFUNCTION("""COMPUTED_VALUE"""),2502.0)</f>
        <v>2502</v>
      </c>
      <c r="AI99" s="49">
        <f>IFERROR(__xludf.DUMMYFUNCTION("""COMPUTED_VALUE"""),0.0)</f>
        <v>0</v>
      </c>
      <c r="AJ99" s="37"/>
      <c r="AK99" s="37"/>
      <c r="AL99" s="37"/>
      <c r="AM99" s="37"/>
      <c r="AN99" s="37"/>
      <c r="AO99" s="37"/>
      <c r="AP99" s="37"/>
      <c r="AQ99" s="49">
        <f>IFERROR(__xludf.DUMMYFUNCTION("""COMPUTED_VALUE"""),1254.0)</f>
        <v>1254</v>
      </c>
      <c r="AR99" s="49">
        <f>IFERROR(__xludf.DUMMYFUNCTION("""COMPUTED_VALUE"""),1248.0)</f>
        <v>1248</v>
      </c>
      <c r="AS99" s="49">
        <f>IFERROR(__xludf.DUMMYFUNCTION("""COMPUTED_VALUE"""),1248.0)</f>
        <v>1248</v>
      </c>
      <c r="AT99" s="49">
        <f>IFERROR(__xludf.DUMMYFUNCTION("""COMPUTED_VALUE"""),1248.0)</f>
        <v>1248</v>
      </c>
      <c r="AU99" s="49">
        <f>IFERROR(__xludf.DUMMYFUNCTION("""COMPUTED_VALUE"""),1248.0)</f>
        <v>1248</v>
      </c>
      <c r="AV99" s="49">
        <f>IFERROR(__xludf.DUMMYFUNCTION("""COMPUTED_VALUE"""),1248.0)</f>
        <v>1248</v>
      </c>
      <c r="AW99" s="49">
        <f>IFERROR(__xludf.DUMMYFUNCTION("""COMPUTED_VALUE"""),1248.0)</f>
        <v>1248</v>
      </c>
      <c r="AX99" s="49">
        <f>IFERROR(__xludf.DUMMYFUNCTION("""COMPUTED_VALUE"""),1248.0)</f>
        <v>1248</v>
      </c>
      <c r="AY99" s="49">
        <f>IFERROR(__xludf.DUMMYFUNCTION("""COMPUTED_VALUE"""),1248.0)</f>
        <v>1248</v>
      </c>
      <c r="AZ99" s="49">
        <f>IFERROR(__xludf.DUMMYFUNCTION("""COMPUTED_VALUE"""),1248.0)</f>
        <v>1248</v>
      </c>
    </row>
    <row r="100">
      <c r="B100" s="37"/>
      <c r="C100" s="37"/>
      <c r="D100" s="37"/>
      <c r="E100" s="37"/>
      <c r="F100" s="37"/>
      <c r="G100" s="37"/>
      <c r="H100" s="37"/>
      <c r="I100" s="37">
        <f>IFERROR(__xludf.DUMMYFUNCTION("""COMPUTED_VALUE"""),96.0)</f>
        <v>96</v>
      </c>
      <c r="J100" s="37"/>
      <c r="K100" s="37"/>
      <c r="L100" s="37"/>
      <c r="M100" s="37" t="str">
        <f>IFERROR(__xludf.DUMMYFUNCTION("""COMPUTED_VALUE"""),"Journal")</f>
        <v>Journal</v>
      </c>
      <c r="N100" s="45">
        <f>IFERROR(__xludf.DUMMYFUNCTION("""COMPUTED_VALUE"""),45909.0)</f>
        <v>45909</v>
      </c>
      <c r="O100" s="37">
        <f>IFERROR(__xludf.DUMMYFUNCTION("""COMPUTED_VALUE"""),18723.0)</f>
        <v>18723</v>
      </c>
      <c r="P100" s="37"/>
      <c r="Q100" s="37"/>
      <c r="R100" s="37"/>
      <c r="S100" s="37"/>
      <c r="T100" s="37"/>
      <c r="U100" s="37" t="str">
        <f>IFERROR(__xludf.DUMMYFUNCTION("""COMPUTED_VALUE"""),"資廚管理顧問股份有限公司(公司卡)_202509_就愛開餐廳 Wordpress (20250924-20260924)")</f>
        <v>資廚管理顧問股份有限公司(公司卡)_202509_就愛開餐廳 Wordpress (20250924-20260924)</v>
      </c>
      <c r="V100" s="37"/>
      <c r="W100" s="37"/>
      <c r="X100" s="37"/>
      <c r="Y100" s="49">
        <f>IFERROR(__xludf.DUMMYFUNCTION("""COMPUTED_VALUE"""),8334.0)</f>
        <v>8334</v>
      </c>
      <c r="Z100" s="37">
        <f>IFERROR(__xludf.DUMMYFUNCTION("""COMPUTED_VALUE"""),603201.0)</f>
        <v>603201</v>
      </c>
      <c r="AA100" s="37" t="str">
        <f>IFERROR(__xludf.DUMMYFUNCTION("""COMPUTED_VALUE"""),"行銷營運中心")</f>
        <v>行銷營運中心</v>
      </c>
      <c r="AB100" s="48" t="str">
        <f>IFERROR(__xludf.DUMMYFUNCTION("""COMPUTED_VALUE"""),"執行長室 : 行銷營運中心 : 產品行銷部")</f>
        <v>執行長室 : 行銷營運中心 : 產品行銷部</v>
      </c>
      <c r="AC100" s="48" t="str">
        <f>IFERROR(__xludf.DUMMYFUNCTION("""COMPUTED_VALUE"""),"No_Product_Line")</f>
        <v>No_Product_Line</v>
      </c>
      <c r="AD100" s="48" t="str">
        <f>IFERROR(__xludf.DUMMYFUNCTION("""COMPUTED_VALUE"""),"Baseline")</f>
        <v>Baseline</v>
      </c>
      <c r="AE100" s="48" t="str">
        <f>IFERROR(__xludf.DUMMYFUNCTION("""COMPUTED_VALUE"""),"Baseline")</f>
        <v>Baseline</v>
      </c>
      <c r="AF100" s="49">
        <f>IFERROR(__xludf.DUMMYFUNCTION("""COMPUTED_VALUE"""),9095.0)</f>
        <v>9095</v>
      </c>
      <c r="AG100" s="49">
        <f>IFERROR(__xludf.DUMMYFUNCTION("""COMPUTED_VALUE"""),12.0)</f>
        <v>12</v>
      </c>
      <c r="AH100" s="49">
        <f>IFERROR(__xludf.DUMMYFUNCTION("""COMPUTED_VALUE"""),761.0)</f>
        <v>761</v>
      </c>
      <c r="AI100" s="49">
        <f>IFERROR(__xludf.DUMMYFUNCTION("""COMPUTED_VALUE"""),0.0)</f>
        <v>0</v>
      </c>
      <c r="AJ100" s="37"/>
      <c r="AK100" s="37"/>
      <c r="AL100" s="37"/>
      <c r="AM100" s="37"/>
      <c r="AN100" s="37"/>
      <c r="AO100" s="37"/>
      <c r="AP100" s="37"/>
      <c r="AQ100" s="37"/>
      <c r="AR100" s="49">
        <f>IFERROR(__xludf.DUMMYFUNCTION("""COMPUTED_VALUE"""),761.0)</f>
        <v>761</v>
      </c>
      <c r="AS100" s="49">
        <f>IFERROR(__xludf.DUMMYFUNCTION("""COMPUTED_VALUE"""),758.0)</f>
        <v>758</v>
      </c>
      <c r="AT100" s="49">
        <f>IFERROR(__xludf.DUMMYFUNCTION("""COMPUTED_VALUE"""),758.0)</f>
        <v>758</v>
      </c>
      <c r="AU100" s="49">
        <f>IFERROR(__xludf.DUMMYFUNCTION("""COMPUTED_VALUE"""),758.0)</f>
        <v>758</v>
      </c>
      <c r="AV100" s="49">
        <f>IFERROR(__xludf.DUMMYFUNCTION("""COMPUTED_VALUE"""),758.0)</f>
        <v>758</v>
      </c>
      <c r="AW100" s="49">
        <f>IFERROR(__xludf.DUMMYFUNCTION("""COMPUTED_VALUE"""),758.0)</f>
        <v>758</v>
      </c>
      <c r="AX100" s="49">
        <f>IFERROR(__xludf.DUMMYFUNCTION("""COMPUTED_VALUE"""),758.0)</f>
        <v>758</v>
      </c>
      <c r="AY100" s="49">
        <f>IFERROR(__xludf.DUMMYFUNCTION("""COMPUTED_VALUE"""),758.0)</f>
        <v>758</v>
      </c>
      <c r="AZ100" s="49">
        <f>IFERROR(__xludf.DUMMYFUNCTION("""COMPUTED_VALUE"""),758.0)</f>
        <v>758</v>
      </c>
    </row>
    <row r="101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</row>
    <row r="102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48">
        <f>IFERROR(__xludf.DUMMYFUNCTION("""COMPUTED_VALUE"""),5487592.0)</f>
        <v>5487592</v>
      </c>
      <c r="Z102" s="37"/>
      <c r="AA102" s="37"/>
      <c r="AB102" s="37"/>
      <c r="AC102" s="37"/>
      <c r="AD102" s="37"/>
      <c r="AE102" s="37"/>
      <c r="AF102" s="48">
        <f>IFERROR(__xludf.DUMMYFUNCTION("""COMPUTED_VALUE"""),1.3525931E7)</f>
        <v>13525931</v>
      </c>
      <c r="AG102" s="37"/>
      <c r="AH102" s="48">
        <f>IFERROR(__xludf.DUMMYFUNCTION("""COMPUTED_VALUE"""),8038339.0)</f>
        <v>8038339</v>
      </c>
      <c r="AI102" s="48">
        <f>IFERROR(__xludf.DUMMYFUNCTION("""COMPUTED_VALUE"""),617452.0)</f>
        <v>617452</v>
      </c>
      <c r="AJ102" s="48">
        <f>IFERROR(__xludf.DUMMYFUNCTION("""COMPUTED_VALUE"""),496392.0)</f>
        <v>496392</v>
      </c>
      <c r="AK102" s="48">
        <f>IFERROR(__xludf.DUMMYFUNCTION("""COMPUTED_VALUE"""),527111.0)</f>
        <v>527111</v>
      </c>
      <c r="AL102" s="48">
        <f>IFERROR(__xludf.DUMMYFUNCTION("""COMPUTED_VALUE"""),723901.0)</f>
        <v>723901</v>
      </c>
      <c r="AM102" s="48">
        <f>IFERROR(__xludf.DUMMYFUNCTION("""COMPUTED_VALUE"""),701075.0)</f>
        <v>701075</v>
      </c>
      <c r="AN102" s="48">
        <f>IFERROR(__xludf.DUMMYFUNCTION("""COMPUTED_VALUE"""),807801.0)</f>
        <v>807801</v>
      </c>
      <c r="AO102" s="48">
        <f>IFERROR(__xludf.DUMMYFUNCTION("""COMPUTED_VALUE"""),794222.0)</f>
        <v>794222</v>
      </c>
      <c r="AP102" s="48">
        <f>IFERROR(__xludf.DUMMYFUNCTION("""COMPUTED_VALUE"""),815031.0)</f>
        <v>815031</v>
      </c>
      <c r="AQ102" s="48">
        <f>IFERROR(__xludf.DUMMYFUNCTION("""COMPUTED_VALUE"""),1277995.0)</f>
        <v>1277995</v>
      </c>
      <c r="AR102" s="48">
        <f>IFERROR(__xludf.DUMMYFUNCTION("""COMPUTED_VALUE"""),1277359.0)</f>
        <v>1277359</v>
      </c>
      <c r="AS102" s="48">
        <f>IFERROR(__xludf.DUMMYFUNCTION("""COMPUTED_VALUE"""),1130716.0)</f>
        <v>1130716</v>
      </c>
      <c r="AT102" s="48">
        <f>IFERROR(__xludf.DUMMYFUNCTION("""COMPUTED_VALUE"""),887689.0)</f>
        <v>887689</v>
      </c>
      <c r="AU102" s="48">
        <f>IFERROR(__xludf.DUMMYFUNCTION("""COMPUTED_VALUE"""),796420.0)</f>
        <v>796420</v>
      </c>
      <c r="AV102" s="48">
        <f>IFERROR(__xludf.DUMMYFUNCTION("""COMPUTED_VALUE"""),536383.0)</f>
        <v>536383</v>
      </c>
      <c r="AW102" s="48">
        <f>IFERROR(__xludf.DUMMYFUNCTION("""COMPUTED_VALUE"""),462303.0)</f>
        <v>462303</v>
      </c>
      <c r="AX102" s="48">
        <f>IFERROR(__xludf.DUMMYFUNCTION("""COMPUTED_VALUE"""),362711.0)</f>
        <v>362711</v>
      </c>
      <c r="AY102" s="48">
        <f>IFERROR(__xludf.DUMMYFUNCTION("""COMPUTED_VALUE"""),358751.0)</f>
        <v>358751</v>
      </c>
      <c r="AZ102" s="48">
        <f>IFERROR(__xludf.DUMMYFUNCTION("""COMPUTED_VALUE"""),318830.0)</f>
        <v>318830</v>
      </c>
    </row>
    <row r="103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</row>
    <row r="104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</row>
    <row r="105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</row>
    <row r="106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</row>
    <row r="107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</row>
    <row r="108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</row>
    <row r="109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</row>
    <row r="110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</row>
    <row r="111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</row>
    <row r="112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</row>
    <row r="113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</row>
    <row r="114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</row>
    <row r="115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</row>
    <row r="116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</row>
    <row r="117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</row>
    <row r="118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</row>
    <row r="119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</row>
    <row r="120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</row>
    <row r="121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</row>
    <row r="122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</row>
    <row r="123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</row>
    <row r="124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</row>
    <row r="125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</row>
    <row r="126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</row>
    <row r="127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</row>
    <row r="128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</row>
    <row r="129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</row>
    <row r="130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</row>
    <row r="131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</row>
    <row r="132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</row>
    <row r="133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</row>
    <row r="134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</row>
    <row r="135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</row>
    <row r="136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</row>
    <row r="137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</row>
    <row r="138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</row>
    <row r="139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</row>
    <row r="140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</row>
    <row r="141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</row>
    <row r="142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</row>
    <row r="143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</row>
    <row r="144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</row>
    <row r="145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</row>
    <row r="146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</row>
    <row r="147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</row>
    <row r="148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</row>
    <row r="149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</row>
    <row r="150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</row>
    <row r="151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</row>
    <row r="152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</row>
    <row r="153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</row>
    <row r="154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</row>
    <row r="155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</row>
    <row r="156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</row>
    <row r="157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</row>
    <row r="158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</row>
    <row r="159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</row>
    <row r="160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</row>
    <row r="161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</row>
    <row r="162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</row>
    <row r="163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</row>
    <row r="164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</row>
    <row r="165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</row>
    <row r="166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</row>
    <row r="167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</row>
    <row r="168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</row>
    <row r="169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</row>
    <row r="170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</row>
    <row r="171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</row>
    <row r="172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</row>
    <row r="173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</row>
    <row r="174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</row>
    <row r="175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</row>
    <row r="176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</row>
    <row r="177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</row>
    <row r="178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</row>
    <row r="179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</row>
    <row r="180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</row>
    <row r="181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</row>
    <row r="182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</row>
    <row r="183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</row>
    <row r="184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</row>
    <row r="185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</row>
    <row r="186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</row>
    <row r="187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</row>
    <row r="188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</row>
    <row r="189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</row>
    <row r="190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</row>
    <row r="191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</row>
    <row r="192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</row>
    <row r="193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</row>
    <row r="194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</row>
    <row r="195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</row>
    <row r="196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</row>
    <row r="197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</row>
    <row r="198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</row>
    <row r="199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</row>
    <row r="200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</row>
    <row r="201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</row>
    <row r="202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</row>
    <row r="203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</row>
    <row r="204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</row>
    <row r="205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</row>
    <row r="206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  <c r="AY206" s="37"/>
      <c r="AZ206" s="37"/>
    </row>
    <row r="207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37"/>
      <c r="AN207" s="37"/>
      <c r="AO207" s="37"/>
      <c r="AP207" s="37"/>
      <c r="AQ207" s="37"/>
      <c r="AR207" s="37"/>
      <c r="AS207" s="37"/>
      <c r="AT207" s="37"/>
      <c r="AU207" s="37"/>
      <c r="AV207" s="37"/>
      <c r="AW207" s="37"/>
      <c r="AX207" s="37"/>
      <c r="AY207" s="37"/>
      <c r="AZ207" s="37"/>
    </row>
    <row r="208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  <c r="AY208" s="37"/>
      <c r="AZ208" s="37"/>
    </row>
    <row r="209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  <c r="AV209" s="37"/>
      <c r="AW209" s="37"/>
      <c r="AX209" s="37"/>
      <c r="AY209" s="37"/>
      <c r="AZ209" s="37"/>
    </row>
    <row r="210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  <c r="AY210" s="37"/>
      <c r="AZ210" s="37"/>
    </row>
    <row r="211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  <c r="AY211" s="37"/>
      <c r="AZ211" s="37"/>
    </row>
    <row r="212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  <c r="AY212" s="37"/>
      <c r="AZ212" s="37"/>
    </row>
    <row r="213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  <c r="AW213" s="37"/>
      <c r="AX213" s="37"/>
      <c r="AY213" s="37"/>
      <c r="AZ213" s="37"/>
    </row>
    <row r="214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  <c r="AY214" s="37"/>
      <c r="AZ214" s="37"/>
    </row>
    <row r="215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  <c r="AY215" s="37"/>
      <c r="AZ215" s="37"/>
    </row>
    <row r="216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  <c r="AY216" s="37"/>
      <c r="AZ216" s="37"/>
    </row>
    <row r="217"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  <c r="AY217" s="37"/>
      <c r="AZ217" s="37"/>
    </row>
    <row r="218"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  <c r="AY218" s="37"/>
      <c r="AZ218" s="37"/>
    </row>
    <row r="219"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37"/>
      <c r="AY219" s="37"/>
      <c r="AZ219" s="37"/>
    </row>
    <row r="220"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7"/>
      <c r="AY220" s="37"/>
      <c r="AZ220" s="37"/>
    </row>
    <row r="221"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  <c r="AY221" s="37"/>
      <c r="AZ221" s="37"/>
    </row>
    <row r="222"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  <c r="AY222" s="37"/>
      <c r="AZ222" s="37"/>
    </row>
    <row r="223"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  <c r="AY223" s="37"/>
      <c r="AZ223" s="37"/>
    </row>
    <row r="224"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37"/>
      <c r="AZ224" s="37"/>
    </row>
    <row r="225"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  <c r="AY225" s="37"/>
      <c r="AZ225" s="37"/>
    </row>
    <row r="226"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  <c r="AY226" s="37"/>
      <c r="AZ226" s="37"/>
    </row>
    <row r="227"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  <c r="AY227" s="37"/>
      <c r="AZ227" s="37"/>
    </row>
    <row r="228"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  <c r="AY228" s="37"/>
      <c r="AZ228" s="37"/>
    </row>
    <row r="229"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  <c r="AY229" s="37"/>
      <c r="AZ229" s="37"/>
    </row>
    <row r="230"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  <c r="AY230" s="37"/>
      <c r="AZ230" s="37"/>
    </row>
    <row r="231"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</row>
    <row r="232"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  <c r="AV232" s="37"/>
      <c r="AW232" s="37"/>
      <c r="AX232" s="37"/>
      <c r="AY232" s="37"/>
      <c r="AZ232" s="37"/>
    </row>
    <row r="233"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  <c r="AV233" s="37"/>
      <c r="AW233" s="37"/>
      <c r="AX233" s="37"/>
      <c r="AY233" s="37"/>
      <c r="AZ233" s="37"/>
    </row>
    <row r="234"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37"/>
      <c r="AY234" s="37"/>
      <c r="AZ234" s="37"/>
    </row>
    <row r="235"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  <c r="AV235" s="37"/>
      <c r="AW235" s="37"/>
      <c r="AX235" s="37"/>
      <c r="AY235" s="37"/>
      <c r="AZ235" s="37"/>
    </row>
    <row r="236"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  <c r="AV236" s="37"/>
      <c r="AW236" s="37"/>
      <c r="AX236" s="37"/>
      <c r="AY236" s="37"/>
      <c r="AZ236" s="37"/>
    </row>
    <row r="237"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37"/>
      <c r="AW237" s="37"/>
      <c r="AX237" s="37"/>
      <c r="AY237" s="37"/>
      <c r="AZ237" s="37"/>
    </row>
    <row r="238"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  <c r="AV238" s="37"/>
      <c r="AW238" s="37"/>
      <c r="AX238" s="37"/>
      <c r="AY238" s="37"/>
      <c r="AZ238" s="37"/>
    </row>
    <row r="239"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  <c r="AY239" s="37"/>
      <c r="AZ239" s="37"/>
    </row>
    <row r="240"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7"/>
      <c r="AW240" s="37"/>
      <c r="AX240" s="37"/>
      <c r="AY240" s="37"/>
      <c r="AZ240" s="37"/>
    </row>
    <row r="241"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37"/>
      <c r="AW241" s="37"/>
      <c r="AX241" s="37"/>
      <c r="AY241" s="37"/>
      <c r="AZ241" s="37"/>
    </row>
    <row r="242"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</row>
    <row r="243"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  <c r="AY243" s="37"/>
      <c r="AZ243" s="37"/>
    </row>
    <row r="244"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</row>
    <row r="245"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  <c r="AY245" s="37"/>
      <c r="AZ245" s="37"/>
    </row>
    <row r="246"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  <c r="AY246" s="37"/>
      <c r="AZ246" s="37"/>
    </row>
    <row r="247"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7"/>
      <c r="AX247" s="37"/>
      <c r="AY247" s="37"/>
      <c r="AZ247" s="37"/>
    </row>
    <row r="248"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  <c r="AY248" s="37"/>
      <c r="AZ248" s="37"/>
    </row>
    <row r="249"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  <c r="AY249" s="37"/>
      <c r="AZ249" s="37"/>
    </row>
    <row r="250"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  <c r="AY250" s="37"/>
      <c r="AZ250" s="37"/>
    </row>
    <row r="251"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  <c r="AY251" s="37"/>
      <c r="AZ251" s="37"/>
    </row>
    <row r="252"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  <c r="AY252" s="37"/>
      <c r="AZ252" s="37"/>
    </row>
    <row r="253"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  <c r="AY253" s="37"/>
      <c r="AZ253" s="37"/>
    </row>
    <row r="254"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  <c r="AY254" s="37"/>
      <c r="AZ254" s="37"/>
    </row>
    <row r="255"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  <c r="AY255" s="37"/>
      <c r="AZ255" s="37"/>
    </row>
    <row r="256"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  <c r="AY256" s="37"/>
      <c r="AZ256" s="37"/>
    </row>
    <row r="257"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  <c r="AY257" s="37"/>
      <c r="AZ257" s="37"/>
    </row>
    <row r="258"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  <c r="AY258" s="37"/>
      <c r="AZ258" s="37"/>
    </row>
    <row r="259"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  <c r="AY259" s="37"/>
      <c r="AZ259" s="37"/>
    </row>
    <row r="260"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  <c r="AV260" s="37"/>
      <c r="AW260" s="37"/>
      <c r="AX260" s="37"/>
      <c r="AY260" s="37"/>
      <c r="AZ260" s="37"/>
    </row>
    <row r="261"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  <c r="AV261" s="37"/>
      <c r="AW261" s="37"/>
      <c r="AX261" s="37"/>
      <c r="AY261" s="37"/>
      <c r="AZ261" s="37"/>
    </row>
    <row r="262"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  <c r="AU262" s="37"/>
      <c r="AV262" s="37"/>
      <c r="AW262" s="37"/>
      <c r="AX262" s="37"/>
      <c r="AY262" s="37"/>
      <c r="AZ262" s="37"/>
    </row>
    <row r="263"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  <c r="AV263" s="37"/>
      <c r="AW263" s="37"/>
      <c r="AX263" s="37"/>
      <c r="AY263" s="37"/>
      <c r="AZ263" s="37"/>
    </row>
    <row r="264"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7"/>
      <c r="AW264" s="37"/>
      <c r="AX264" s="37"/>
      <c r="AY264" s="37"/>
      <c r="AZ264" s="37"/>
    </row>
    <row r="265"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  <c r="AV265" s="37"/>
      <c r="AW265" s="37"/>
      <c r="AX265" s="37"/>
      <c r="AY265" s="37"/>
      <c r="AZ265" s="37"/>
    </row>
    <row r="266"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  <c r="AY266" s="37"/>
      <c r="AZ266" s="37"/>
    </row>
    <row r="267"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  <c r="AY267" s="37"/>
      <c r="AZ267" s="37"/>
    </row>
    <row r="268"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  <c r="AY268" s="37"/>
      <c r="AZ268" s="37"/>
    </row>
    <row r="269"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  <c r="AV269" s="37"/>
      <c r="AW269" s="37"/>
      <c r="AX269" s="37"/>
      <c r="AY269" s="37"/>
      <c r="AZ269" s="37"/>
    </row>
    <row r="270"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  <c r="AY270" s="37"/>
      <c r="AZ270" s="37"/>
    </row>
    <row r="271"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  <c r="AY271" s="37"/>
      <c r="AZ271" s="37"/>
    </row>
    <row r="272"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  <c r="AY272" s="37"/>
      <c r="AZ272" s="37"/>
    </row>
    <row r="273"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  <c r="AY273" s="37"/>
      <c r="AZ273" s="37"/>
    </row>
    <row r="274"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  <c r="AY274" s="37"/>
      <c r="AZ274" s="37"/>
    </row>
    <row r="275"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  <c r="AY275" s="37"/>
      <c r="AZ275" s="37"/>
    </row>
    <row r="276"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7"/>
      <c r="AW276" s="37"/>
      <c r="AX276" s="37"/>
      <c r="AY276" s="37"/>
      <c r="AZ276" s="37"/>
    </row>
    <row r="277"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  <c r="AY277" s="37"/>
      <c r="AZ277" s="37"/>
    </row>
    <row r="278"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  <c r="AV278" s="37"/>
      <c r="AW278" s="37"/>
      <c r="AX278" s="37"/>
      <c r="AY278" s="37"/>
      <c r="AZ278" s="37"/>
    </row>
    <row r="279"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  <c r="AY279" s="37"/>
      <c r="AZ279" s="37"/>
    </row>
    <row r="280"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  <c r="AY280" s="37"/>
      <c r="AZ280" s="37"/>
    </row>
    <row r="281"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</row>
    <row r="282"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  <c r="AY282" s="37"/>
      <c r="AZ282" s="37"/>
    </row>
    <row r="283"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  <c r="AY283" s="37"/>
      <c r="AZ283" s="37"/>
    </row>
    <row r="284"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  <c r="AY284" s="37"/>
      <c r="AZ284" s="37"/>
    </row>
    <row r="285"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</row>
    <row r="286"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  <c r="AY286" s="37"/>
      <c r="AZ286" s="37"/>
    </row>
    <row r="287"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  <c r="AY287" s="37"/>
      <c r="AZ287" s="37"/>
    </row>
    <row r="288"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  <c r="AV288" s="37"/>
      <c r="AW288" s="37"/>
      <c r="AX288" s="37"/>
      <c r="AY288" s="37"/>
      <c r="AZ288" s="37"/>
    </row>
    <row r="289"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  <c r="AV289" s="37"/>
      <c r="AW289" s="37"/>
      <c r="AX289" s="37"/>
      <c r="AY289" s="37"/>
      <c r="AZ289" s="37"/>
    </row>
    <row r="290"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  <c r="AV290" s="37"/>
      <c r="AW290" s="37"/>
      <c r="AX290" s="37"/>
      <c r="AY290" s="37"/>
      <c r="AZ290" s="37"/>
    </row>
    <row r="291"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  <c r="AV291" s="37"/>
      <c r="AW291" s="37"/>
      <c r="AX291" s="37"/>
      <c r="AY291" s="37"/>
      <c r="AZ291" s="37"/>
    </row>
    <row r="292"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  <c r="AU292" s="37"/>
      <c r="AV292" s="37"/>
      <c r="AW292" s="37"/>
      <c r="AX292" s="37"/>
      <c r="AY292" s="37"/>
      <c r="AZ292" s="37"/>
    </row>
    <row r="293"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  <c r="AV293" s="37"/>
      <c r="AW293" s="37"/>
      <c r="AX293" s="37"/>
      <c r="AY293" s="37"/>
      <c r="AZ293" s="37"/>
    </row>
    <row r="294"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  <c r="AV294" s="37"/>
      <c r="AW294" s="37"/>
      <c r="AX294" s="37"/>
      <c r="AY294" s="37"/>
      <c r="AZ294" s="37"/>
    </row>
    <row r="295"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  <c r="AV295" s="37"/>
      <c r="AW295" s="37"/>
      <c r="AX295" s="37"/>
      <c r="AY295" s="37"/>
      <c r="AZ295" s="37"/>
    </row>
    <row r="296"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  <c r="AV296" s="37"/>
      <c r="AW296" s="37"/>
      <c r="AX296" s="37"/>
      <c r="AY296" s="37"/>
      <c r="AZ296" s="37"/>
    </row>
    <row r="297"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  <c r="AY297" s="37"/>
      <c r="AZ297" s="37"/>
    </row>
    <row r="298"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  <c r="AY298" s="37"/>
      <c r="AZ298" s="37"/>
    </row>
    <row r="299"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  <c r="AY299" s="37"/>
      <c r="AZ299" s="37"/>
    </row>
    <row r="300"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  <c r="AY300" s="37"/>
      <c r="AZ300" s="37"/>
    </row>
    <row r="301"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  <c r="AY301" s="37"/>
      <c r="AZ301" s="37"/>
    </row>
    <row r="302"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  <c r="AV302" s="37"/>
      <c r="AW302" s="37"/>
      <c r="AX302" s="37"/>
      <c r="AY302" s="37"/>
      <c r="AZ302" s="37"/>
    </row>
    <row r="303"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  <c r="AY303" s="37"/>
      <c r="AZ303" s="37"/>
    </row>
    <row r="304"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  <c r="AY304" s="37"/>
      <c r="AZ304" s="37"/>
    </row>
    <row r="305"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  <c r="AY305" s="37"/>
      <c r="AZ305" s="37"/>
    </row>
    <row r="306"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  <c r="AW306" s="37"/>
      <c r="AX306" s="37"/>
      <c r="AY306" s="37"/>
      <c r="AZ306" s="37"/>
    </row>
    <row r="307"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  <c r="AY307" s="37"/>
      <c r="AZ307" s="37"/>
    </row>
    <row r="308"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  <c r="AY308" s="37"/>
      <c r="AZ308" s="37"/>
    </row>
    <row r="309"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  <c r="AY309" s="37"/>
      <c r="AZ309" s="37"/>
    </row>
    <row r="310"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  <c r="AY310" s="37"/>
      <c r="AZ310" s="37"/>
    </row>
    <row r="311"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  <c r="AW311" s="37"/>
      <c r="AX311" s="37"/>
      <c r="AY311" s="37"/>
      <c r="AZ311" s="37"/>
    </row>
    <row r="312"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  <c r="AY312" s="37"/>
      <c r="AZ312" s="37"/>
    </row>
    <row r="313"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  <c r="AY313" s="37"/>
      <c r="AZ313" s="37"/>
    </row>
    <row r="314"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37"/>
      <c r="AX314" s="37"/>
      <c r="AY314" s="37"/>
      <c r="AZ314" s="37"/>
    </row>
    <row r="315"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37"/>
      <c r="AX315" s="37"/>
      <c r="AY315" s="37"/>
      <c r="AZ315" s="37"/>
    </row>
    <row r="316"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  <c r="AY316" s="37"/>
      <c r="AZ316" s="37"/>
    </row>
    <row r="317"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  <c r="AU317" s="37"/>
      <c r="AV317" s="37"/>
      <c r="AW317" s="37"/>
      <c r="AX317" s="37"/>
      <c r="AY317" s="37"/>
      <c r="AZ317" s="37"/>
    </row>
    <row r="318"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  <c r="AV318" s="37"/>
      <c r="AW318" s="37"/>
      <c r="AX318" s="37"/>
      <c r="AY318" s="37"/>
      <c r="AZ318" s="37"/>
    </row>
    <row r="319"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  <c r="AV319" s="37"/>
      <c r="AW319" s="37"/>
      <c r="AX319" s="37"/>
      <c r="AY319" s="37"/>
      <c r="AZ319" s="37"/>
    </row>
    <row r="320"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  <c r="AV320" s="37"/>
      <c r="AW320" s="37"/>
      <c r="AX320" s="37"/>
      <c r="AY320" s="37"/>
      <c r="AZ320" s="37"/>
    </row>
    <row r="321"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37"/>
      <c r="AO321" s="37"/>
      <c r="AP321" s="37"/>
      <c r="AQ321" s="37"/>
      <c r="AR321" s="37"/>
      <c r="AS321" s="37"/>
      <c r="AT321" s="37"/>
      <c r="AU321" s="37"/>
      <c r="AV321" s="37"/>
      <c r="AW321" s="37"/>
      <c r="AX321" s="37"/>
      <c r="AY321" s="37"/>
      <c r="AZ321" s="37"/>
    </row>
    <row r="322"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  <c r="AW322" s="37"/>
      <c r="AX322" s="37"/>
      <c r="AY322" s="37"/>
      <c r="AZ322" s="37"/>
    </row>
    <row r="323"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  <c r="AV323" s="37"/>
      <c r="AW323" s="37"/>
      <c r="AX323" s="37"/>
      <c r="AY323" s="37"/>
      <c r="AZ323" s="37"/>
    </row>
    <row r="324"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  <c r="AM324" s="37"/>
      <c r="AN324" s="37"/>
      <c r="AO324" s="37"/>
      <c r="AP324" s="37"/>
      <c r="AQ324" s="37"/>
      <c r="AR324" s="37"/>
      <c r="AS324" s="37"/>
      <c r="AT324" s="37"/>
      <c r="AU324" s="37"/>
      <c r="AV324" s="37"/>
      <c r="AW324" s="37"/>
      <c r="AX324" s="37"/>
      <c r="AY324" s="37"/>
      <c r="AZ324" s="37"/>
    </row>
    <row r="325"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  <c r="AM325" s="37"/>
      <c r="AN325" s="37"/>
      <c r="AO325" s="37"/>
      <c r="AP325" s="37"/>
      <c r="AQ325" s="37"/>
      <c r="AR325" s="37"/>
      <c r="AS325" s="37"/>
      <c r="AT325" s="37"/>
      <c r="AU325" s="37"/>
      <c r="AV325" s="37"/>
      <c r="AW325" s="37"/>
      <c r="AX325" s="37"/>
      <c r="AY325" s="37"/>
      <c r="AZ325" s="37"/>
    </row>
    <row r="326"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  <c r="AV326" s="37"/>
      <c r="AW326" s="37"/>
      <c r="AX326" s="37"/>
      <c r="AY326" s="37"/>
      <c r="AZ326" s="37"/>
    </row>
    <row r="327"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  <c r="AV327" s="37"/>
      <c r="AW327" s="37"/>
      <c r="AX327" s="37"/>
      <c r="AY327" s="37"/>
      <c r="AZ327" s="37"/>
    </row>
    <row r="328"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  <c r="AV328" s="37"/>
      <c r="AW328" s="37"/>
      <c r="AX328" s="37"/>
      <c r="AY328" s="37"/>
      <c r="AZ328" s="37"/>
    </row>
    <row r="329"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7"/>
      <c r="AX329" s="37"/>
      <c r="AY329" s="37"/>
      <c r="AZ329" s="37"/>
    </row>
    <row r="330"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  <c r="AY330" s="37"/>
      <c r="AZ330" s="37"/>
    </row>
    <row r="331"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  <c r="AV331" s="37"/>
      <c r="AW331" s="37"/>
      <c r="AX331" s="37"/>
      <c r="AY331" s="37"/>
      <c r="AZ331" s="37"/>
    </row>
    <row r="332"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  <c r="AY332" s="37"/>
      <c r="AZ332" s="37"/>
    </row>
    <row r="333"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  <c r="AY333" s="37"/>
      <c r="AZ333" s="37"/>
    </row>
    <row r="334"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  <c r="AW334" s="37"/>
      <c r="AX334" s="37"/>
      <c r="AY334" s="37"/>
      <c r="AZ334" s="37"/>
    </row>
    <row r="335"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  <c r="AY335" s="37"/>
      <c r="AZ335" s="37"/>
    </row>
    <row r="336"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  <c r="AY336" s="37"/>
      <c r="AZ336" s="37"/>
    </row>
    <row r="337"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  <c r="AW337" s="37"/>
      <c r="AX337" s="37"/>
      <c r="AY337" s="37"/>
      <c r="AZ337" s="37"/>
    </row>
    <row r="338"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  <c r="AY338" s="37"/>
      <c r="AZ338" s="37"/>
    </row>
    <row r="339"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  <c r="AW339" s="37"/>
      <c r="AX339" s="37"/>
      <c r="AY339" s="37"/>
      <c r="AZ339" s="37"/>
    </row>
    <row r="340"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37"/>
      <c r="AY340" s="37"/>
      <c r="AZ340" s="37"/>
    </row>
    <row r="341"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  <c r="AY341" s="37"/>
      <c r="AZ341" s="37"/>
    </row>
    <row r="342"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  <c r="AY342" s="37"/>
      <c r="AZ342" s="37"/>
    </row>
    <row r="343"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  <c r="AV343" s="37"/>
      <c r="AW343" s="37"/>
      <c r="AX343" s="37"/>
      <c r="AY343" s="37"/>
      <c r="AZ343" s="37"/>
    </row>
    <row r="344"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  <c r="AV344" s="37"/>
      <c r="AW344" s="37"/>
      <c r="AX344" s="37"/>
      <c r="AY344" s="37"/>
      <c r="AZ344" s="37"/>
    </row>
    <row r="345"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  <c r="AV345" s="37"/>
      <c r="AW345" s="37"/>
      <c r="AX345" s="37"/>
      <c r="AY345" s="37"/>
      <c r="AZ345" s="37"/>
    </row>
    <row r="346"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  <c r="AV346" s="37"/>
      <c r="AW346" s="37"/>
      <c r="AX346" s="37"/>
      <c r="AY346" s="37"/>
      <c r="AZ346" s="37"/>
    </row>
    <row r="347"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  <c r="AY347" s="37"/>
      <c r="AZ347" s="37"/>
    </row>
    <row r="348"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  <c r="AV348" s="37"/>
      <c r="AW348" s="37"/>
      <c r="AX348" s="37"/>
      <c r="AY348" s="37"/>
      <c r="AZ348" s="37"/>
    </row>
    <row r="349"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  <c r="AV349" s="37"/>
      <c r="AW349" s="37"/>
      <c r="AX349" s="37"/>
      <c r="AY349" s="37"/>
      <c r="AZ349" s="37"/>
    </row>
    <row r="350"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  <c r="AY350" s="37"/>
      <c r="AZ350" s="37"/>
    </row>
    <row r="351"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37"/>
      <c r="AX351" s="37"/>
      <c r="AY351" s="37"/>
      <c r="AZ351" s="37"/>
    </row>
    <row r="352"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  <c r="AU352" s="37"/>
      <c r="AV352" s="37"/>
      <c r="AW352" s="37"/>
      <c r="AX352" s="37"/>
      <c r="AY352" s="37"/>
      <c r="AZ352" s="37"/>
    </row>
    <row r="353"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  <c r="AY353" s="37"/>
      <c r="AZ353" s="37"/>
    </row>
    <row r="354"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  <c r="AY354" s="37"/>
      <c r="AZ354" s="37"/>
    </row>
    <row r="355"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  <c r="AU355" s="37"/>
      <c r="AV355" s="37"/>
      <c r="AW355" s="37"/>
      <c r="AX355" s="37"/>
      <c r="AY355" s="37"/>
      <c r="AZ355" s="37"/>
    </row>
    <row r="356"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37"/>
      <c r="AY356" s="37"/>
      <c r="AZ356" s="37"/>
    </row>
    <row r="357"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  <c r="AV357" s="37"/>
      <c r="AW357" s="37"/>
      <c r="AX357" s="37"/>
      <c r="AY357" s="37"/>
      <c r="AZ357" s="37"/>
    </row>
    <row r="358"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37"/>
      <c r="AY358" s="37"/>
      <c r="AZ358" s="37"/>
    </row>
    <row r="359"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  <c r="AW359" s="37"/>
      <c r="AX359" s="37"/>
      <c r="AY359" s="37"/>
      <c r="AZ359" s="37"/>
    </row>
    <row r="360"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  <c r="AV360" s="37"/>
      <c r="AW360" s="37"/>
      <c r="AX360" s="37"/>
      <c r="AY360" s="37"/>
      <c r="AZ360" s="37"/>
    </row>
    <row r="361"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  <c r="AV361" s="37"/>
      <c r="AW361" s="37"/>
      <c r="AX361" s="37"/>
      <c r="AY361" s="37"/>
      <c r="AZ361" s="37"/>
    </row>
    <row r="362"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  <c r="AY362" s="37"/>
      <c r="AZ362" s="37"/>
    </row>
    <row r="363"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  <c r="AV363" s="37"/>
      <c r="AW363" s="37"/>
      <c r="AX363" s="37"/>
      <c r="AY363" s="37"/>
      <c r="AZ363" s="37"/>
    </row>
    <row r="364"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  <c r="AY364" s="37"/>
      <c r="AZ364" s="37"/>
    </row>
    <row r="365"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  <c r="AY365" s="37"/>
      <c r="AZ365" s="37"/>
    </row>
    <row r="366"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  <c r="AY366" s="37"/>
      <c r="AZ366" s="37"/>
    </row>
    <row r="367"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  <c r="AV367" s="37"/>
      <c r="AW367" s="37"/>
      <c r="AX367" s="37"/>
      <c r="AY367" s="37"/>
      <c r="AZ367" s="37"/>
    </row>
    <row r="368"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  <c r="AY368" s="37"/>
      <c r="AZ368" s="37"/>
    </row>
    <row r="369"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  <c r="AV369" s="37"/>
      <c r="AW369" s="37"/>
      <c r="AX369" s="37"/>
      <c r="AY369" s="37"/>
      <c r="AZ369" s="37"/>
    </row>
    <row r="370"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  <c r="AV370" s="37"/>
      <c r="AW370" s="37"/>
      <c r="AX370" s="37"/>
      <c r="AY370" s="37"/>
      <c r="AZ370" s="37"/>
    </row>
    <row r="371"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  <c r="AV371" s="37"/>
      <c r="AW371" s="37"/>
      <c r="AX371" s="37"/>
      <c r="AY371" s="37"/>
      <c r="AZ371" s="37"/>
    </row>
    <row r="372"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  <c r="AV372" s="37"/>
      <c r="AW372" s="37"/>
      <c r="AX372" s="37"/>
      <c r="AY372" s="37"/>
      <c r="AZ372" s="37"/>
    </row>
    <row r="373"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  <c r="AU373" s="37"/>
      <c r="AV373" s="37"/>
      <c r="AW373" s="37"/>
      <c r="AX373" s="37"/>
      <c r="AY373" s="37"/>
      <c r="AZ373" s="37"/>
    </row>
    <row r="374"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  <c r="AV374" s="37"/>
      <c r="AW374" s="37"/>
      <c r="AX374" s="37"/>
      <c r="AY374" s="37"/>
      <c r="AZ374" s="37"/>
    </row>
    <row r="375"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  <c r="AV375" s="37"/>
      <c r="AW375" s="37"/>
      <c r="AX375" s="37"/>
      <c r="AY375" s="37"/>
      <c r="AZ375" s="37"/>
    </row>
    <row r="376"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  <c r="AV376" s="37"/>
      <c r="AW376" s="37"/>
      <c r="AX376" s="37"/>
      <c r="AY376" s="37"/>
      <c r="AZ376" s="37"/>
    </row>
    <row r="377"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  <c r="AN377" s="37"/>
      <c r="AO377" s="37"/>
      <c r="AP377" s="37"/>
      <c r="AQ377" s="37"/>
      <c r="AR377" s="37"/>
      <c r="AS377" s="37"/>
      <c r="AT377" s="37"/>
      <c r="AU377" s="37"/>
      <c r="AV377" s="37"/>
      <c r="AW377" s="37"/>
      <c r="AX377" s="37"/>
      <c r="AY377" s="37"/>
      <c r="AZ377" s="37"/>
    </row>
    <row r="378"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  <c r="AU378" s="37"/>
      <c r="AV378" s="37"/>
      <c r="AW378" s="37"/>
      <c r="AX378" s="37"/>
      <c r="AY378" s="37"/>
      <c r="AZ378" s="37"/>
    </row>
    <row r="379"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/>
      <c r="AM379" s="37"/>
      <c r="AN379" s="37"/>
      <c r="AO379" s="37"/>
      <c r="AP379" s="37"/>
      <c r="AQ379" s="37"/>
      <c r="AR379" s="37"/>
      <c r="AS379" s="37"/>
      <c r="AT379" s="37"/>
      <c r="AU379" s="37"/>
      <c r="AV379" s="37"/>
      <c r="AW379" s="37"/>
      <c r="AX379" s="37"/>
      <c r="AY379" s="37"/>
      <c r="AZ379" s="37"/>
    </row>
    <row r="380"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  <c r="AN380" s="37"/>
      <c r="AO380" s="37"/>
      <c r="AP380" s="37"/>
      <c r="AQ380" s="37"/>
      <c r="AR380" s="37"/>
      <c r="AS380" s="37"/>
      <c r="AT380" s="37"/>
      <c r="AU380" s="37"/>
      <c r="AV380" s="37"/>
      <c r="AW380" s="37"/>
      <c r="AX380" s="37"/>
      <c r="AY380" s="37"/>
      <c r="AZ380" s="37"/>
    </row>
    <row r="381"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  <c r="AU381" s="37"/>
      <c r="AV381" s="37"/>
      <c r="AW381" s="37"/>
      <c r="AX381" s="37"/>
      <c r="AY381" s="37"/>
      <c r="AZ381" s="37"/>
    </row>
    <row r="382"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  <c r="AV382" s="37"/>
      <c r="AW382" s="37"/>
      <c r="AX382" s="37"/>
      <c r="AY382" s="37"/>
      <c r="AZ382" s="37"/>
    </row>
    <row r="383"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</row>
    <row r="384"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  <c r="AY384" s="37"/>
      <c r="AZ384" s="37"/>
    </row>
    <row r="385"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  <c r="AV385" s="37"/>
      <c r="AW385" s="37"/>
      <c r="AX385" s="37"/>
      <c r="AY385" s="37"/>
      <c r="AZ385" s="37"/>
    </row>
    <row r="386"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  <c r="AY386" s="37"/>
      <c r="AZ386" s="37"/>
    </row>
    <row r="387"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37"/>
      <c r="AY387" s="37"/>
      <c r="AZ387" s="37"/>
    </row>
    <row r="388"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  <c r="AU388" s="37"/>
      <c r="AV388" s="37"/>
      <c r="AW388" s="37"/>
      <c r="AX388" s="37"/>
      <c r="AY388" s="37"/>
      <c r="AZ388" s="37"/>
    </row>
    <row r="389"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  <c r="AY389" s="37"/>
      <c r="AZ389" s="37"/>
    </row>
    <row r="390"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  <c r="AV390" s="37"/>
      <c r="AW390" s="37"/>
      <c r="AX390" s="37"/>
      <c r="AY390" s="37"/>
      <c r="AZ390" s="37"/>
    </row>
    <row r="391"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  <c r="AY391" s="37"/>
      <c r="AZ391" s="37"/>
    </row>
    <row r="392"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  <c r="AV392" s="37"/>
      <c r="AW392" s="37"/>
      <c r="AX392" s="37"/>
      <c r="AY392" s="37"/>
      <c r="AZ392" s="37"/>
    </row>
    <row r="393"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  <c r="AV393" s="37"/>
      <c r="AW393" s="37"/>
      <c r="AX393" s="37"/>
      <c r="AY393" s="37"/>
      <c r="AZ393" s="37"/>
    </row>
    <row r="394"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  <c r="AV394" s="37"/>
      <c r="AW394" s="37"/>
      <c r="AX394" s="37"/>
      <c r="AY394" s="37"/>
      <c r="AZ394" s="37"/>
    </row>
    <row r="395"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  <c r="AU395" s="37"/>
      <c r="AV395" s="37"/>
      <c r="AW395" s="37"/>
      <c r="AX395" s="37"/>
      <c r="AY395" s="37"/>
      <c r="AZ395" s="37"/>
    </row>
    <row r="396"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  <c r="AV396" s="37"/>
      <c r="AW396" s="37"/>
      <c r="AX396" s="37"/>
      <c r="AY396" s="37"/>
      <c r="AZ396" s="37"/>
    </row>
    <row r="397"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  <c r="AU397" s="37"/>
      <c r="AV397" s="37"/>
      <c r="AW397" s="37"/>
      <c r="AX397" s="37"/>
      <c r="AY397" s="37"/>
      <c r="AZ397" s="37"/>
    </row>
    <row r="398"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  <c r="AU398" s="37"/>
      <c r="AV398" s="37"/>
      <c r="AW398" s="37"/>
      <c r="AX398" s="37"/>
      <c r="AY398" s="37"/>
      <c r="AZ398" s="37"/>
    </row>
    <row r="399"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  <c r="AU399" s="37"/>
      <c r="AV399" s="37"/>
      <c r="AW399" s="37"/>
      <c r="AX399" s="37"/>
      <c r="AY399" s="37"/>
      <c r="AZ399" s="37"/>
    </row>
    <row r="400"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  <c r="AM400" s="37"/>
      <c r="AN400" s="37"/>
      <c r="AO400" s="37"/>
      <c r="AP400" s="37"/>
      <c r="AQ400" s="37"/>
      <c r="AR400" s="37"/>
      <c r="AS400" s="37"/>
      <c r="AT400" s="37"/>
      <c r="AU400" s="37"/>
      <c r="AV400" s="37"/>
      <c r="AW400" s="37"/>
      <c r="AX400" s="37"/>
      <c r="AY400" s="37"/>
      <c r="AZ400" s="37"/>
    </row>
    <row r="401"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  <c r="AH401" s="37"/>
      <c r="AI401" s="37"/>
      <c r="AJ401" s="37"/>
      <c r="AK401" s="37"/>
      <c r="AL401" s="37"/>
      <c r="AM401" s="37"/>
      <c r="AN401" s="37"/>
      <c r="AO401" s="37"/>
      <c r="AP401" s="37"/>
      <c r="AQ401" s="37"/>
      <c r="AR401" s="37"/>
      <c r="AS401" s="37"/>
      <c r="AT401" s="37"/>
      <c r="AU401" s="37"/>
      <c r="AV401" s="37"/>
      <c r="AW401" s="37"/>
      <c r="AX401" s="37"/>
      <c r="AY401" s="37"/>
      <c r="AZ401" s="37"/>
    </row>
    <row r="402"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  <c r="AL402" s="37"/>
      <c r="AM402" s="37"/>
      <c r="AN402" s="37"/>
      <c r="AO402" s="37"/>
      <c r="AP402" s="37"/>
      <c r="AQ402" s="37"/>
      <c r="AR402" s="37"/>
      <c r="AS402" s="37"/>
      <c r="AT402" s="37"/>
      <c r="AU402" s="37"/>
      <c r="AV402" s="37"/>
      <c r="AW402" s="37"/>
      <c r="AX402" s="37"/>
      <c r="AY402" s="37"/>
      <c r="AZ402" s="37"/>
    </row>
    <row r="403"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37"/>
      <c r="AN403" s="37"/>
      <c r="AO403" s="37"/>
      <c r="AP403" s="37"/>
      <c r="AQ403" s="37"/>
      <c r="AR403" s="37"/>
      <c r="AS403" s="37"/>
      <c r="AT403" s="37"/>
      <c r="AU403" s="37"/>
      <c r="AV403" s="37"/>
      <c r="AW403" s="37"/>
      <c r="AX403" s="37"/>
      <c r="AY403" s="37"/>
      <c r="AZ403" s="37"/>
    </row>
    <row r="404"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  <c r="AM404" s="37"/>
      <c r="AN404" s="37"/>
      <c r="AO404" s="37"/>
      <c r="AP404" s="37"/>
      <c r="AQ404" s="37"/>
      <c r="AR404" s="37"/>
      <c r="AS404" s="37"/>
      <c r="AT404" s="37"/>
      <c r="AU404" s="37"/>
      <c r="AV404" s="37"/>
      <c r="AW404" s="37"/>
      <c r="AX404" s="37"/>
      <c r="AY404" s="37"/>
      <c r="AZ404" s="37"/>
    </row>
    <row r="405"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  <c r="AN405" s="37"/>
      <c r="AO405" s="37"/>
      <c r="AP405" s="37"/>
      <c r="AQ405" s="37"/>
      <c r="AR405" s="37"/>
      <c r="AS405" s="37"/>
      <c r="AT405" s="37"/>
      <c r="AU405" s="37"/>
      <c r="AV405" s="37"/>
      <c r="AW405" s="37"/>
      <c r="AX405" s="37"/>
      <c r="AY405" s="37"/>
      <c r="AZ405" s="37"/>
    </row>
    <row r="406"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  <c r="AU406" s="37"/>
      <c r="AV406" s="37"/>
      <c r="AW406" s="37"/>
      <c r="AX406" s="37"/>
      <c r="AY406" s="37"/>
      <c r="AZ406" s="37"/>
    </row>
    <row r="407"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  <c r="AH407" s="37"/>
      <c r="AI407" s="37"/>
      <c r="AJ407" s="37"/>
      <c r="AK407" s="37"/>
      <c r="AL407" s="37"/>
      <c r="AM407" s="37"/>
      <c r="AN407" s="37"/>
      <c r="AO407" s="37"/>
      <c r="AP407" s="37"/>
      <c r="AQ407" s="37"/>
      <c r="AR407" s="37"/>
      <c r="AS407" s="37"/>
      <c r="AT407" s="37"/>
      <c r="AU407" s="37"/>
      <c r="AV407" s="37"/>
      <c r="AW407" s="37"/>
      <c r="AX407" s="37"/>
      <c r="AY407" s="37"/>
      <c r="AZ407" s="37"/>
    </row>
    <row r="408"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  <c r="AU408" s="37"/>
      <c r="AV408" s="37"/>
      <c r="AW408" s="37"/>
      <c r="AX408" s="37"/>
      <c r="AY408" s="37"/>
      <c r="AZ408" s="37"/>
    </row>
    <row r="409"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  <c r="AY409" s="37"/>
      <c r="AZ409" s="37"/>
    </row>
    <row r="410"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  <c r="AH410" s="37"/>
      <c r="AI410" s="37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  <c r="AY410" s="37"/>
      <c r="AZ410" s="37"/>
    </row>
    <row r="411"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  <c r="AH411" s="37"/>
      <c r="AI411" s="37"/>
      <c r="AJ411" s="37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37"/>
      <c r="AY411" s="37"/>
      <c r="AZ411" s="37"/>
    </row>
    <row r="412"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  <c r="AH412" s="37"/>
      <c r="AI412" s="37"/>
      <c r="AJ412" s="37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  <c r="AV412" s="37"/>
      <c r="AW412" s="37"/>
      <c r="AX412" s="37"/>
      <c r="AY412" s="37"/>
      <c r="AZ412" s="37"/>
    </row>
    <row r="413"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  <c r="AG413" s="37"/>
      <c r="AH413" s="37"/>
      <c r="AI413" s="37"/>
      <c r="AJ413" s="37"/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  <c r="AU413" s="37"/>
      <c r="AV413" s="37"/>
      <c r="AW413" s="37"/>
      <c r="AX413" s="37"/>
      <c r="AY413" s="37"/>
      <c r="AZ413" s="37"/>
    </row>
    <row r="414"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  <c r="AH414" s="37"/>
      <c r="AI414" s="37"/>
      <c r="AJ414" s="37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  <c r="AY414" s="37"/>
      <c r="AZ414" s="37"/>
    </row>
    <row r="415"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  <c r="AH415" s="37"/>
      <c r="AI415" s="37"/>
      <c r="AJ415" s="37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  <c r="AW415" s="37"/>
      <c r="AX415" s="37"/>
      <c r="AY415" s="37"/>
      <c r="AZ415" s="37"/>
    </row>
    <row r="416"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  <c r="AH416" s="37"/>
      <c r="AI416" s="37"/>
      <c r="AJ416" s="37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  <c r="AW416" s="37"/>
      <c r="AX416" s="37"/>
      <c r="AY416" s="37"/>
      <c r="AZ416" s="37"/>
    </row>
    <row r="417"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  <c r="AH417" s="37"/>
      <c r="AI417" s="37"/>
      <c r="AJ417" s="37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  <c r="AW417" s="37"/>
      <c r="AX417" s="37"/>
      <c r="AY417" s="37"/>
      <c r="AZ417" s="37"/>
    </row>
    <row r="418"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  <c r="AG418" s="37"/>
      <c r="AH418" s="37"/>
      <c r="AI418" s="37"/>
      <c r="AJ418" s="37"/>
      <c r="AK418" s="37"/>
      <c r="AL418" s="37"/>
      <c r="AM418" s="37"/>
      <c r="AN418" s="37"/>
      <c r="AO418" s="37"/>
      <c r="AP418" s="37"/>
      <c r="AQ418" s="37"/>
      <c r="AR418" s="37"/>
      <c r="AS418" s="37"/>
      <c r="AT418" s="37"/>
      <c r="AU418" s="37"/>
      <c r="AV418" s="37"/>
      <c r="AW418" s="37"/>
      <c r="AX418" s="37"/>
      <c r="AY418" s="37"/>
      <c r="AZ418" s="37"/>
    </row>
    <row r="419"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  <c r="AU419" s="37"/>
      <c r="AV419" s="37"/>
      <c r="AW419" s="37"/>
      <c r="AX419" s="37"/>
      <c r="AY419" s="37"/>
      <c r="AZ419" s="37"/>
    </row>
    <row r="420"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  <c r="AW420" s="37"/>
      <c r="AX420" s="37"/>
      <c r="AY420" s="37"/>
      <c r="AZ420" s="37"/>
    </row>
    <row r="421"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  <c r="AH421" s="37"/>
      <c r="AI421" s="37"/>
      <c r="AJ421" s="37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  <c r="AV421" s="37"/>
      <c r="AW421" s="37"/>
      <c r="AX421" s="37"/>
      <c r="AY421" s="37"/>
      <c r="AZ421" s="37"/>
    </row>
    <row r="422"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  <c r="AG422" s="37"/>
      <c r="AH422" s="37"/>
      <c r="AI422" s="37"/>
      <c r="AJ422" s="37"/>
      <c r="AK422" s="37"/>
      <c r="AL422" s="37"/>
      <c r="AM422" s="37"/>
      <c r="AN422" s="37"/>
      <c r="AO422" s="37"/>
      <c r="AP422" s="37"/>
      <c r="AQ422" s="37"/>
      <c r="AR422" s="37"/>
      <c r="AS422" s="37"/>
      <c r="AT422" s="37"/>
      <c r="AU422" s="37"/>
      <c r="AV422" s="37"/>
      <c r="AW422" s="37"/>
      <c r="AX422" s="37"/>
      <c r="AY422" s="37"/>
      <c r="AZ422" s="37"/>
    </row>
    <row r="423"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  <c r="AH423" s="37"/>
      <c r="AI423" s="37"/>
      <c r="AJ423" s="37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  <c r="AV423" s="37"/>
      <c r="AW423" s="37"/>
      <c r="AX423" s="37"/>
      <c r="AY423" s="37"/>
      <c r="AZ423" s="37"/>
    </row>
    <row r="424"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  <c r="AH424" s="37"/>
      <c r="AI424" s="37"/>
      <c r="AJ424" s="37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  <c r="AV424" s="37"/>
      <c r="AW424" s="37"/>
      <c r="AX424" s="37"/>
      <c r="AY424" s="37"/>
      <c r="AZ424" s="37"/>
    </row>
    <row r="425"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  <c r="AY425" s="37"/>
      <c r="AZ425" s="37"/>
    </row>
    <row r="426"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  <c r="AH426" s="37"/>
      <c r="AI426" s="37"/>
      <c r="AJ426" s="37"/>
      <c r="AK426" s="37"/>
      <c r="AL426" s="37"/>
      <c r="AM426" s="37"/>
      <c r="AN426" s="37"/>
      <c r="AO426" s="37"/>
      <c r="AP426" s="37"/>
      <c r="AQ426" s="37"/>
      <c r="AR426" s="37"/>
      <c r="AS426" s="37"/>
      <c r="AT426" s="37"/>
      <c r="AU426" s="37"/>
      <c r="AV426" s="37"/>
      <c r="AW426" s="37"/>
      <c r="AX426" s="37"/>
      <c r="AY426" s="37"/>
      <c r="AZ426" s="37"/>
    </row>
    <row r="427"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  <c r="AY427" s="37"/>
      <c r="AZ427" s="37"/>
    </row>
    <row r="428"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  <c r="AH428" s="37"/>
      <c r="AI428" s="37"/>
      <c r="AJ428" s="37"/>
      <c r="AK428" s="37"/>
      <c r="AL428" s="37"/>
      <c r="AM428" s="37"/>
      <c r="AN428" s="37"/>
      <c r="AO428" s="37"/>
      <c r="AP428" s="37"/>
      <c r="AQ428" s="37"/>
      <c r="AR428" s="37"/>
      <c r="AS428" s="37"/>
      <c r="AT428" s="37"/>
      <c r="AU428" s="37"/>
      <c r="AV428" s="37"/>
      <c r="AW428" s="37"/>
      <c r="AX428" s="37"/>
      <c r="AY428" s="37"/>
      <c r="AZ428" s="37"/>
    </row>
    <row r="429"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  <c r="AK429" s="37"/>
      <c r="AL429" s="37"/>
      <c r="AM429" s="37"/>
      <c r="AN429" s="37"/>
      <c r="AO429" s="37"/>
      <c r="AP429" s="37"/>
      <c r="AQ429" s="37"/>
      <c r="AR429" s="37"/>
      <c r="AS429" s="37"/>
      <c r="AT429" s="37"/>
      <c r="AU429" s="37"/>
      <c r="AV429" s="37"/>
      <c r="AW429" s="37"/>
      <c r="AX429" s="37"/>
      <c r="AY429" s="37"/>
      <c r="AZ429" s="37"/>
    </row>
    <row r="430"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  <c r="AK430" s="37"/>
      <c r="AL430" s="37"/>
      <c r="AM430" s="37"/>
      <c r="AN430" s="37"/>
      <c r="AO430" s="37"/>
      <c r="AP430" s="37"/>
      <c r="AQ430" s="37"/>
      <c r="AR430" s="37"/>
      <c r="AS430" s="37"/>
      <c r="AT430" s="37"/>
      <c r="AU430" s="37"/>
      <c r="AV430" s="37"/>
      <c r="AW430" s="37"/>
      <c r="AX430" s="37"/>
      <c r="AY430" s="37"/>
      <c r="AZ430" s="37"/>
    </row>
    <row r="431"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  <c r="AH431" s="37"/>
      <c r="AI431" s="37"/>
      <c r="AJ431" s="37"/>
      <c r="AK431" s="37"/>
      <c r="AL431" s="37"/>
      <c r="AM431" s="37"/>
      <c r="AN431" s="37"/>
      <c r="AO431" s="37"/>
      <c r="AP431" s="37"/>
      <c r="AQ431" s="37"/>
      <c r="AR431" s="37"/>
      <c r="AS431" s="37"/>
      <c r="AT431" s="37"/>
      <c r="AU431" s="37"/>
      <c r="AV431" s="37"/>
      <c r="AW431" s="37"/>
      <c r="AX431" s="37"/>
      <c r="AY431" s="37"/>
      <c r="AZ431" s="37"/>
    </row>
    <row r="432"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  <c r="AL432" s="37"/>
      <c r="AM432" s="37"/>
      <c r="AN432" s="37"/>
      <c r="AO432" s="37"/>
      <c r="AP432" s="37"/>
      <c r="AQ432" s="37"/>
      <c r="AR432" s="37"/>
      <c r="AS432" s="37"/>
      <c r="AT432" s="37"/>
      <c r="AU432" s="37"/>
      <c r="AV432" s="37"/>
      <c r="AW432" s="37"/>
      <c r="AX432" s="37"/>
      <c r="AY432" s="37"/>
      <c r="AZ432" s="37"/>
    </row>
    <row r="433"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7"/>
      <c r="AL433" s="37"/>
      <c r="AM433" s="37"/>
      <c r="AN433" s="37"/>
      <c r="AO433" s="37"/>
      <c r="AP433" s="37"/>
      <c r="AQ433" s="37"/>
      <c r="AR433" s="37"/>
      <c r="AS433" s="37"/>
      <c r="AT433" s="37"/>
      <c r="AU433" s="37"/>
      <c r="AV433" s="37"/>
      <c r="AW433" s="37"/>
      <c r="AX433" s="37"/>
      <c r="AY433" s="37"/>
      <c r="AZ433" s="37"/>
    </row>
    <row r="434"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7"/>
      <c r="AL434" s="37"/>
      <c r="AM434" s="37"/>
      <c r="AN434" s="37"/>
      <c r="AO434" s="37"/>
      <c r="AP434" s="37"/>
      <c r="AQ434" s="37"/>
      <c r="AR434" s="37"/>
      <c r="AS434" s="37"/>
      <c r="AT434" s="37"/>
      <c r="AU434" s="37"/>
      <c r="AV434" s="37"/>
      <c r="AW434" s="37"/>
      <c r="AX434" s="37"/>
      <c r="AY434" s="37"/>
      <c r="AZ434" s="37"/>
    </row>
    <row r="435"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  <c r="AG435" s="37"/>
      <c r="AH435" s="37"/>
      <c r="AI435" s="37"/>
      <c r="AJ435" s="37"/>
      <c r="AK435" s="37"/>
      <c r="AL435" s="37"/>
      <c r="AM435" s="37"/>
      <c r="AN435" s="37"/>
      <c r="AO435" s="37"/>
      <c r="AP435" s="37"/>
      <c r="AQ435" s="37"/>
      <c r="AR435" s="37"/>
      <c r="AS435" s="37"/>
      <c r="AT435" s="37"/>
      <c r="AU435" s="37"/>
      <c r="AV435" s="37"/>
      <c r="AW435" s="37"/>
      <c r="AX435" s="37"/>
      <c r="AY435" s="37"/>
      <c r="AZ435" s="37"/>
    </row>
    <row r="436"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  <c r="AY436" s="37"/>
      <c r="AZ436" s="37"/>
    </row>
    <row r="437"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  <c r="AG437" s="37"/>
      <c r="AH437" s="37"/>
      <c r="AI437" s="37"/>
      <c r="AJ437" s="37"/>
      <c r="AK437" s="37"/>
      <c r="AL437" s="37"/>
      <c r="AM437" s="37"/>
      <c r="AN437" s="37"/>
      <c r="AO437" s="37"/>
      <c r="AP437" s="37"/>
      <c r="AQ437" s="37"/>
      <c r="AR437" s="37"/>
      <c r="AS437" s="37"/>
      <c r="AT437" s="37"/>
      <c r="AU437" s="37"/>
      <c r="AV437" s="37"/>
      <c r="AW437" s="37"/>
      <c r="AX437" s="37"/>
      <c r="AY437" s="37"/>
      <c r="AZ437" s="37"/>
    </row>
    <row r="438"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  <c r="AH438" s="37"/>
      <c r="AI438" s="37"/>
      <c r="AJ438" s="37"/>
      <c r="AK438" s="37"/>
      <c r="AL438" s="37"/>
      <c r="AM438" s="37"/>
      <c r="AN438" s="37"/>
      <c r="AO438" s="37"/>
      <c r="AP438" s="37"/>
      <c r="AQ438" s="37"/>
      <c r="AR438" s="37"/>
      <c r="AS438" s="37"/>
      <c r="AT438" s="37"/>
      <c r="AU438" s="37"/>
      <c r="AV438" s="37"/>
      <c r="AW438" s="37"/>
      <c r="AX438" s="37"/>
      <c r="AY438" s="37"/>
      <c r="AZ438" s="37"/>
    </row>
    <row r="439"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  <c r="AU439" s="37"/>
      <c r="AV439" s="37"/>
      <c r="AW439" s="37"/>
      <c r="AX439" s="37"/>
      <c r="AY439" s="37"/>
      <c r="AZ439" s="37"/>
    </row>
    <row r="440"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7"/>
      <c r="AL440" s="37"/>
      <c r="AM440" s="37"/>
      <c r="AN440" s="37"/>
      <c r="AO440" s="37"/>
      <c r="AP440" s="37"/>
      <c r="AQ440" s="37"/>
      <c r="AR440" s="37"/>
      <c r="AS440" s="37"/>
      <c r="AT440" s="37"/>
      <c r="AU440" s="37"/>
      <c r="AV440" s="37"/>
      <c r="AW440" s="37"/>
      <c r="AX440" s="37"/>
      <c r="AY440" s="37"/>
      <c r="AZ440" s="37"/>
    </row>
    <row r="441"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  <c r="AH441" s="37"/>
      <c r="AI441" s="37"/>
      <c r="AJ441" s="37"/>
      <c r="AK441" s="37"/>
      <c r="AL441" s="37"/>
      <c r="AM441" s="37"/>
      <c r="AN441" s="37"/>
      <c r="AO441" s="37"/>
      <c r="AP441" s="37"/>
      <c r="AQ441" s="37"/>
      <c r="AR441" s="37"/>
      <c r="AS441" s="37"/>
      <c r="AT441" s="37"/>
      <c r="AU441" s="37"/>
      <c r="AV441" s="37"/>
      <c r="AW441" s="37"/>
      <c r="AX441" s="37"/>
      <c r="AY441" s="37"/>
      <c r="AZ441" s="37"/>
    </row>
    <row r="442"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  <c r="AK442" s="37"/>
      <c r="AL442" s="37"/>
      <c r="AM442" s="37"/>
      <c r="AN442" s="37"/>
      <c r="AO442" s="37"/>
      <c r="AP442" s="37"/>
      <c r="AQ442" s="37"/>
      <c r="AR442" s="37"/>
      <c r="AS442" s="37"/>
      <c r="AT442" s="37"/>
      <c r="AU442" s="37"/>
      <c r="AV442" s="37"/>
      <c r="AW442" s="37"/>
      <c r="AX442" s="37"/>
      <c r="AY442" s="37"/>
      <c r="AZ442" s="37"/>
    </row>
    <row r="443"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7"/>
      <c r="AL443" s="37"/>
      <c r="AM443" s="37"/>
      <c r="AN443" s="37"/>
      <c r="AO443" s="37"/>
      <c r="AP443" s="37"/>
      <c r="AQ443" s="37"/>
      <c r="AR443" s="37"/>
      <c r="AS443" s="37"/>
      <c r="AT443" s="37"/>
      <c r="AU443" s="37"/>
      <c r="AV443" s="37"/>
      <c r="AW443" s="37"/>
      <c r="AX443" s="37"/>
      <c r="AY443" s="37"/>
      <c r="AZ443" s="37"/>
    </row>
    <row r="444"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  <c r="AH444" s="37"/>
      <c r="AI444" s="37"/>
      <c r="AJ444" s="37"/>
      <c r="AK444" s="37"/>
      <c r="AL444" s="37"/>
      <c r="AM444" s="37"/>
      <c r="AN444" s="37"/>
      <c r="AO444" s="37"/>
      <c r="AP444" s="37"/>
      <c r="AQ444" s="37"/>
      <c r="AR444" s="37"/>
      <c r="AS444" s="37"/>
      <c r="AT444" s="37"/>
      <c r="AU444" s="37"/>
      <c r="AV444" s="37"/>
      <c r="AW444" s="37"/>
      <c r="AX444" s="37"/>
      <c r="AY444" s="37"/>
      <c r="AZ444" s="37"/>
    </row>
    <row r="445"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  <c r="AH445" s="37"/>
      <c r="AI445" s="37"/>
      <c r="AJ445" s="37"/>
      <c r="AK445" s="37"/>
      <c r="AL445" s="37"/>
      <c r="AM445" s="37"/>
      <c r="AN445" s="37"/>
      <c r="AO445" s="37"/>
      <c r="AP445" s="37"/>
      <c r="AQ445" s="37"/>
      <c r="AR445" s="37"/>
      <c r="AS445" s="37"/>
      <c r="AT445" s="37"/>
      <c r="AU445" s="37"/>
      <c r="AV445" s="37"/>
      <c r="AW445" s="37"/>
      <c r="AX445" s="37"/>
      <c r="AY445" s="37"/>
      <c r="AZ445" s="37"/>
    </row>
    <row r="446"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  <c r="AH446" s="37"/>
      <c r="AI446" s="37"/>
      <c r="AJ446" s="37"/>
      <c r="AK446" s="37"/>
      <c r="AL446" s="37"/>
      <c r="AM446" s="37"/>
      <c r="AN446" s="37"/>
      <c r="AO446" s="37"/>
      <c r="AP446" s="37"/>
      <c r="AQ446" s="37"/>
      <c r="AR446" s="37"/>
      <c r="AS446" s="37"/>
      <c r="AT446" s="37"/>
      <c r="AU446" s="37"/>
      <c r="AV446" s="37"/>
      <c r="AW446" s="37"/>
      <c r="AX446" s="37"/>
      <c r="AY446" s="37"/>
      <c r="AZ446" s="37"/>
    </row>
    <row r="447"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  <c r="AH447" s="37"/>
      <c r="AI447" s="37"/>
      <c r="AJ447" s="37"/>
      <c r="AK447" s="37"/>
      <c r="AL447" s="37"/>
      <c r="AM447" s="37"/>
      <c r="AN447" s="37"/>
      <c r="AO447" s="37"/>
      <c r="AP447" s="37"/>
      <c r="AQ447" s="37"/>
      <c r="AR447" s="37"/>
      <c r="AS447" s="37"/>
      <c r="AT447" s="37"/>
      <c r="AU447" s="37"/>
      <c r="AV447" s="37"/>
      <c r="AW447" s="37"/>
      <c r="AX447" s="37"/>
      <c r="AY447" s="37"/>
      <c r="AZ447" s="37"/>
    </row>
    <row r="448"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  <c r="AG448" s="37"/>
      <c r="AH448" s="37"/>
      <c r="AI448" s="37"/>
      <c r="AJ448" s="37"/>
      <c r="AK448" s="37"/>
      <c r="AL448" s="37"/>
      <c r="AM448" s="37"/>
      <c r="AN448" s="37"/>
      <c r="AO448" s="37"/>
      <c r="AP448" s="37"/>
      <c r="AQ448" s="37"/>
      <c r="AR448" s="37"/>
      <c r="AS448" s="37"/>
      <c r="AT448" s="37"/>
      <c r="AU448" s="37"/>
      <c r="AV448" s="37"/>
      <c r="AW448" s="37"/>
      <c r="AX448" s="37"/>
      <c r="AY448" s="37"/>
      <c r="AZ448" s="37"/>
    </row>
    <row r="449"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  <c r="AH449" s="37"/>
      <c r="AI449" s="37"/>
      <c r="AJ449" s="37"/>
      <c r="AK449" s="37"/>
      <c r="AL449" s="37"/>
      <c r="AM449" s="37"/>
      <c r="AN449" s="37"/>
      <c r="AO449" s="37"/>
      <c r="AP449" s="37"/>
      <c r="AQ449" s="37"/>
      <c r="AR449" s="37"/>
      <c r="AS449" s="37"/>
      <c r="AT449" s="37"/>
      <c r="AU449" s="37"/>
      <c r="AV449" s="37"/>
      <c r="AW449" s="37"/>
      <c r="AX449" s="37"/>
      <c r="AY449" s="37"/>
      <c r="AZ449" s="37"/>
    </row>
    <row r="450"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  <c r="AL450" s="37"/>
      <c r="AM450" s="37"/>
      <c r="AN450" s="37"/>
      <c r="AO450" s="37"/>
      <c r="AP450" s="37"/>
      <c r="AQ450" s="37"/>
      <c r="AR450" s="37"/>
      <c r="AS450" s="37"/>
      <c r="AT450" s="37"/>
      <c r="AU450" s="37"/>
      <c r="AV450" s="37"/>
      <c r="AW450" s="37"/>
      <c r="AX450" s="37"/>
      <c r="AY450" s="37"/>
      <c r="AZ450" s="37"/>
    </row>
    <row r="451"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  <c r="AH451" s="37"/>
      <c r="AI451" s="37"/>
      <c r="AJ451" s="37"/>
      <c r="AK451" s="37"/>
      <c r="AL451" s="37"/>
      <c r="AM451" s="37"/>
      <c r="AN451" s="37"/>
      <c r="AO451" s="37"/>
      <c r="AP451" s="37"/>
      <c r="AQ451" s="37"/>
      <c r="AR451" s="37"/>
      <c r="AS451" s="37"/>
      <c r="AT451" s="37"/>
      <c r="AU451" s="37"/>
      <c r="AV451" s="37"/>
      <c r="AW451" s="37"/>
      <c r="AX451" s="37"/>
      <c r="AY451" s="37"/>
      <c r="AZ451" s="37"/>
    </row>
    <row r="452"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  <c r="AK452" s="37"/>
      <c r="AL452" s="37"/>
      <c r="AM452" s="37"/>
      <c r="AN452" s="37"/>
      <c r="AO452" s="37"/>
      <c r="AP452" s="37"/>
      <c r="AQ452" s="37"/>
      <c r="AR452" s="37"/>
      <c r="AS452" s="37"/>
      <c r="AT452" s="37"/>
      <c r="AU452" s="37"/>
      <c r="AV452" s="37"/>
      <c r="AW452" s="37"/>
      <c r="AX452" s="37"/>
      <c r="AY452" s="37"/>
      <c r="AZ452" s="37"/>
    </row>
    <row r="453"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7"/>
      <c r="AL453" s="37"/>
      <c r="AM453" s="37"/>
      <c r="AN453" s="37"/>
      <c r="AO453" s="37"/>
      <c r="AP453" s="37"/>
      <c r="AQ453" s="37"/>
      <c r="AR453" s="37"/>
      <c r="AS453" s="37"/>
      <c r="AT453" s="37"/>
      <c r="AU453" s="37"/>
      <c r="AV453" s="37"/>
      <c r="AW453" s="37"/>
      <c r="AX453" s="37"/>
      <c r="AY453" s="37"/>
      <c r="AZ453" s="37"/>
    </row>
    <row r="454"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  <c r="AI454" s="37"/>
      <c r="AJ454" s="37"/>
      <c r="AK454" s="37"/>
      <c r="AL454" s="37"/>
      <c r="AM454" s="37"/>
      <c r="AN454" s="37"/>
      <c r="AO454" s="37"/>
      <c r="AP454" s="37"/>
      <c r="AQ454" s="37"/>
      <c r="AR454" s="37"/>
      <c r="AS454" s="37"/>
      <c r="AT454" s="37"/>
      <c r="AU454" s="37"/>
      <c r="AV454" s="37"/>
      <c r="AW454" s="37"/>
      <c r="AX454" s="37"/>
      <c r="AY454" s="37"/>
      <c r="AZ454" s="37"/>
    </row>
    <row r="455"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  <c r="AH455" s="37"/>
      <c r="AI455" s="37"/>
      <c r="AJ455" s="37"/>
      <c r="AK455" s="37"/>
      <c r="AL455" s="37"/>
      <c r="AM455" s="37"/>
      <c r="AN455" s="37"/>
      <c r="AO455" s="37"/>
      <c r="AP455" s="37"/>
      <c r="AQ455" s="37"/>
      <c r="AR455" s="37"/>
      <c r="AS455" s="37"/>
      <c r="AT455" s="37"/>
      <c r="AU455" s="37"/>
      <c r="AV455" s="37"/>
      <c r="AW455" s="37"/>
      <c r="AX455" s="37"/>
      <c r="AY455" s="37"/>
      <c r="AZ455" s="37"/>
    </row>
    <row r="456"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7"/>
      <c r="AL456" s="37"/>
      <c r="AM456" s="37"/>
      <c r="AN456" s="37"/>
      <c r="AO456" s="37"/>
      <c r="AP456" s="37"/>
      <c r="AQ456" s="37"/>
      <c r="AR456" s="37"/>
      <c r="AS456" s="37"/>
      <c r="AT456" s="37"/>
      <c r="AU456" s="37"/>
      <c r="AV456" s="37"/>
      <c r="AW456" s="37"/>
      <c r="AX456" s="37"/>
      <c r="AY456" s="37"/>
      <c r="AZ456" s="37"/>
    </row>
    <row r="457"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  <c r="AI457" s="37"/>
      <c r="AJ457" s="37"/>
      <c r="AK457" s="37"/>
      <c r="AL457" s="37"/>
      <c r="AM457" s="37"/>
      <c r="AN457" s="37"/>
      <c r="AO457" s="37"/>
      <c r="AP457" s="37"/>
      <c r="AQ457" s="37"/>
      <c r="AR457" s="37"/>
      <c r="AS457" s="37"/>
      <c r="AT457" s="37"/>
      <c r="AU457" s="37"/>
      <c r="AV457" s="37"/>
      <c r="AW457" s="37"/>
      <c r="AX457" s="37"/>
      <c r="AY457" s="37"/>
      <c r="AZ457" s="37"/>
    </row>
    <row r="458"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  <c r="AI458" s="37"/>
      <c r="AJ458" s="37"/>
      <c r="AK458" s="37"/>
      <c r="AL458" s="37"/>
      <c r="AM458" s="37"/>
      <c r="AN458" s="37"/>
      <c r="AO458" s="37"/>
      <c r="AP458" s="37"/>
      <c r="AQ458" s="37"/>
      <c r="AR458" s="37"/>
      <c r="AS458" s="37"/>
      <c r="AT458" s="37"/>
      <c r="AU458" s="37"/>
      <c r="AV458" s="37"/>
      <c r="AW458" s="37"/>
      <c r="AX458" s="37"/>
      <c r="AY458" s="37"/>
      <c r="AZ458" s="37"/>
    </row>
    <row r="459"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  <c r="AL459" s="37"/>
      <c r="AM459" s="37"/>
      <c r="AN459" s="37"/>
      <c r="AO459" s="37"/>
      <c r="AP459" s="37"/>
      <c r="AQ459" s="37"/>
      <c r="AR459" s="37"/>
      <c r="AS459" s="37"/>
      <c r="AT459" s="37"/>
      <c r="AU459" s="37"/>
      <c r="AV459" s="37"/>
      <c r="AW459" s="37"/>
      <c r="AX459" s="37"/>
      <c r="AY459" s="37"/>
      <c r="AZ459" s="37"/>
    </row>
    <row r="460"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  <c r="AH460" s="37"/>
      <c r="AI460" s="37"/>
      <c r="AJ460" s="37"/>
      <c r="AK460" s="37"/>
      <c r="AL460" s="37"/>
      <c r="AM460" s="37"/>
      <c r="AN460" s="37"/>
      <c r="AO460" s="37"/>
      <c r="AP460" s="37"/>
      <c r="AQ460" s="37"/>
      <c r="AR460" s="37"/>
      <c r="AS460" s="37"/>
      <c r="AT460" s="37"/>
      <c r="AU460" s="37"/>
      <c r="AV460" s="37"/>
      <c r="AW460" s="37"/>
      <c r="AX460" s="37"/>
      <c r="AY460" s="37"/>
      <c r="AZ460" s="37"/>
    </row>
    <row r="461"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  <c r="AL461" s="37"/>
      <c r="AM461" s="37"/>
      <c r="AN461" s="37"/>
      <c r="AO461" s="37"/>
      <c r="AP461" s="37"/>
      <c r="AQ461" s="37"/>
      <c r="AR461" s="37"/>
      <c r="AS461" s="37"/>
      <c r="AT461" s="37"/>
      <c r="AU461" s="37"/>
      <c r="AV461" s="37"/>
      <c r="AW461" s="37"/>
      <c r="AX461" s="37"/>
      <c r="AY461" s="37"/>
      <c r="AZ461" s="37"/>
    </row>
    <row r="462"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7"/>
      <c r="AL462" s="37"/>
      <c r="AM462" s="37"/>
      <c r="AN462" s="37"/>
      <c r="AO462" s="37"/>
      <c r="AP462" s="37"/>
      <c r="AQ462" s="37"/>
      <c r="AR462" s="37"/>
      <c r="AS462" s="37"/>
      <c r="AT462" s="37"/>
      <c r="AU462" s="37"/>
      <c r="AV462" s="37"/>
      <c r="AW462" s="37"/>
      <c r="AX462" s="37"/>
      <c r="AY462" s="37"/>
      <c r="AZ462" s="37"/>
    </row>
    <row r="463"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  <c r="AK463" s="37"/>
      <c r="AL463" s="37"/>
      <c r="AM463" s="37"/>
      <c r="AN463" s="37"/>
      <c r="AO463" s="37"/>
      <c r="AP463" s="37"/>
      <c r="AQ463" s="37"/>
      <c r="AR463" s="37"/>
      <c r="AS463" s="37"/>
      <c r="AT463" s="37"/>
      <c r="AU463" s="37"/>
      <c r="AV463" s="37"/>
      <c r="AW463" s="37"/>
      <c r="AX463" s="37"/>
      <c r="AY463" s="37"/>
      <c r="AZ463" s="37"/>
    </row>
    <row r="464"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  <c r="AH464" s="37"/>
      <c r="AI464" s="37"/>
      <c r="AJ464" s="37"/>
      <c r="AK464" s="37"/>
      <c r="AL464" s="37"/>
      <c r="AM464" s="37"/>
      <c r="AN464" s="37"/>
      <c r="AO464" s="37"/>
      <c r="AP464" s="37"/>
      <c r="AQ464" s="37"/>
      <c r="AR464" s="37"/>
      <c r="AS464" s="37"/>
      <c r="AT464" s="37"/>
      <c r="AU464" s="37"/>
      <c r="AV464" s="37"/>
      <c r="AW464" s="37"/>
      <c r="AX464" s="37"/>
      <c r="AY464" s="37"/>
      <c r="AZ464" s="37"/>
    </row>
    <row r="465"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  <c r="AK465" s="37"/>
      <c r="AL465" s="37"/>
      <c r="AM465" s="37"/>
      <c r="AN465" s="37"/>
      <c r="AO465" s="37"/>
      <c r="AP465" s="37"/>
      <c r="AQ465" s="37"/>
      <c r="AR465" s="37"/>
      <c r="AS465" s="37"/>
      <c r="AT465" s="37"/>
      <c r="AU465" s="37"/>
      <c r="AV465" s="37"/>
      <c r="AW465" s="37"/>
      <c r="AX465" s="37"/>
      <c r="AY465" s="37"/>
      <c r="AZ465" s="37"/>
    </row>
    <row r="466"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  <c r="AH466" s="37"/>
      <c r="AI466" s="37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  <c r="AY466" s="37"/>
      <c r="AZ466" s="37"/>
    </row>
    <row r="467"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  <c r="AI467" s="37"/>
      <c r="AJ467" s="37"/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  <c r="AU467" s="37"/>
      <c r="AV467" s="37"/>
      <c r="AW467" s="37"/>
      <c r="AX467" s="37"/>
      <c r="AY467" s="37"/>
      <c r="AZ467" s="37"/>
    </row>
    <row r="468"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  <c r="AU468" s="37"/>
      <c r="AV468" s="37"/>
      <c r="AW468" s="37"/>
      <c r="AX468" s="37"/>
      <c r="AY468" s="37"/>
      <c r="AZ468" s="37"/>
    </row>
    <row r="469"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  <c r="AY469" s="37"/>
      <c r="AZ469" s="37"/>
    </row>
    <row r="470"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  <c r="AH470" s="37"/>
      <c r="AI470" s="37"/>
      <c r="AJ470" s="37"/>
      <c r="AK470" s="37"/>
      <c r="AL470" s="37"/>
      <c r="AM470" s="37"/>
      <c r="AN470" s="37"/>
      <c r="AO470" s="37"/>
      <c r="AP470" s="37"/>
      <c r="AQ470" s="37"/>
      <c r="AR470" s="37"/>
      <c r="AS470" s="37"/>
      <c r="AT470" s="37"/>
      <c r="AU470" s="37"/>
      <c r="AV470" s="37"/>
      <c r="AW470" s="37"/>
      <c r="AX470" s="37"/>
      <c r="AY470" s="37"/>
      <c r="AZ470" s="37"/>
    </row>
    <row r="471"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7"/>
      <c r="AL471" s="37"/>
      <c r="AM471" s="37"/>
      <c r="AN471" s="37"/>
      <c r="AO471" s="37"/>
      <c r="AP471" s="37"/>
      <c r="AQ471" s="37"/>
      <c r="AR471" s="37"/>
      <c r="AS471" s="37"/>
      <c r="AT471" s="37"/>
      <c r="AU471" s="37"/>
      <c r="AV471" s="37"/>
      <c r="AW471" s="37"/>
      <c r="AX471" s="37"/>
      <c r="AY471" s="37"/>
      <c r="AZ471" s="37"/>
    </row>
    <row r="472"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  <c r="AK472" s="37"/>
      <c r="AL472" s="37"/>
      <c r="AM472" s="37"/>
      <c r="AN472" s="37"/>
      <c r="AO472" s="37"/>
      <c r="AP472" s="37"/>
      <c r="AQ472" s="37"/>
      <c r="AR472" s="37"/>
      <c r="AS472" s="37"/>
      <c r="AT472" s="37"/>
      <c r="AU472" s="37"/>
      <c r="AV472" s="37"/>
      <c r="AW472" s="37"/>
      <c r="AX472" s="37"/>
      <c r="AY472" s="37"/>
      <c r="AZ472" s="37"/>
    </row>
    <row r="473"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  <c r="AH473" s="37"/>
      <c r="AI473" s="37"/>
      <c r="AJ473" s="37"/>
      <c r="AK473" s="37"/>
      <c r="AL473" s="37"/>
      <c r="AM473" s="37"/>
      <c r="AN473" s="37"/>
      <c r="AO473" s="37"/>
      <c r="AP473" s="37"/>
      <c r="AQ473" s="37"/>
      <c r="AR473" s="37"/>
      <c r="AS473" s="37"/>
      <c r="AT473" s="37"/>
      <c r="AU473" s="37"/>
      <c r="AV473" s="37"/>
      <c r="AW473" s="37"/>
      <c r="AX473" s="37"/>
      <c r="AY473" s="37"/>
      <c r="AZ473" s="37"/>
    </row>
    <row r="474"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  <c r="AH474" s="37"/>
      <c r="AI474" s="37"/>
      <c r="AJ474" s="37"/>
      <c r="AK474" s="37"/>
      <c r="AL474" s="37"/>
      <c r="AM474" s="37"/>
      <c r="AN474" s="37"/>
      <c r="AO474" s="37"/>
      <c r="AP474" s="37"/>
      <c r="AQ474" s="37"/>
      <c r="AR474" s="37"/>
      <c r="AS474" s="37"/>
      <c r="AT474" s="37"/>
      <c r="AU474" s="37"/>
      <c r="AV474" s="37"/>
      <c r="AW474" s="37"/>
      <c r="AX474" s="37"/>
      <c r="AY474" s="37"/>
      <c r="AZ474" s="37"/>
    </row>
    <row r="475"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  <c r="AI475" s="37"/>
      <c r="AJ475" s="37"/>
      <c r="AK475" s="37"/>
      <c r="AL475" s="37"/>
      <c r="AM475" s="37"/>
      <c r="AN475" s="37"/>
      <c r="AO475" s="37"/>
      <c r="AP475" s="37"/>
      <c r="AQ475" s="37"/>
      <c r="AR475" s="37"/>
      <c r="AS475" s="37"/>
      <c r="AT475" s="37"/>
      <c r="AU475" s="37"/>
      <c r="AV475" s="37"/>
      <c r="AW475" s="37"/>
      <c r="AX475" s="37"/>
      <c r="AY475" s="37"/>
      <c r="AZ475" s="37"/>
    </row>
    <row r="476"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  <c r="AH476" s="37"/>
      <c r="AI476" s="37"/>
      <c r="AJ476" s="37"/>
      <c r="AK476" s="37"/>
      <c r="AL476" s="37"/>
      <c r="AM476" s="37"/>
      <c r="AN476" s="37"/>
      <c r="AO476" s="37"/>
      <c r="AP476" s="37"/>
      <c r="AQ476" s="37"/>
      <c r="AR476" s="37"/>
      <c r="AS476" s="37"/>
      <c r="AT476" s="37"/>
      <c r="AU476" s="37"/>
      <c r="AV476" s="37"/>
      <c r="AW476" s="37"/>
      <c r="AX476" s="37"/>
      <c r="AY476" s="37"/>
      <c r="AZ476" s="37"/>
    </row>
    <row r="477"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  <c r="AI477" s="37"/>
      <c r="AJ477" s="37"/>
      <c r="AK477" s="37"/>
      <c r="AL477" s="37"/>
      <c r="AM477" s="37"/>
      <c r="AN477" s="37"/>
      <c r="AO477" s="37"/>
      <c r="AP477" s="37"/>
      <c r="AQ477" s="37"/>
      <c r="AR477" s="37"/>
      <c r="AS477" s="37"/>
      <c r="AT477" s="37"/>
      <c r="AU477" s="37"/>
      <c r="AV477" s="37"/>
      <c r="AW477" s="37"/>
      <c r="AX477" s="37"/>
      <c r="AY477" s="37"/>
      <c r="AZ477" s="37"/>
    </row>
    <row r="478"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  <c r="AH478" s="37"/>
      <c r="AI478" s="37"/>
      <c r="AJ478" s="37"/>
      <c r="AK478" s="37"/>
      <c r="AL478" s="37"/>
      <c r="AM478" s="37"/>
      <c r="AN478" s="37"/>
      <c r="AO478" s="37"/>
      <c r="AP478" s="37"/>
      <c r="AQ478" s="37"/>
      <c r="AR478" s="37"/>
      <c r="AS478" s="37"/>
      <c r="AT478" s="37"/>
      <c r="AU478" s="37"/>
      <c r="AV478" s="37"/>
      <c r="AW478" s="37"/>
      <c r="AX478" s="37"/>
      <c r="AY478" s="37"/>
      <c r="AZ478" s="37"/>
    </row>
    <row r="479"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  <c r="AK479" s="37"/>
      <c r="AL479" s="37"/>
      <c r="AM479" s="37"/>
      <c r="AN479" s="37"/>
      <c r="AO479" s="37"/>
      <c r="AP479" s="37"/>
      <c r="AQ479" s="37"/>
      <c r="AR479" s="37"/>
      <c r="AS479" s="37"/>
      <c r="AT479" s="37"/>
      <c r="AU479" s="37"/>
      <c r="AV479" s="37"/>
      <c r="AW479" s="37"/>
      <c r="AX479" s="37"/>
      <c r="AY479" s="37"/>
      <c r="AZ479" s="37"/>
    </row>
    <row r="480"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7"/>
      <c r="AL480" s="37"/>
      <c r="AM480" s="37"/>
      <c r="AN480" s="37"/>
      <c r="AO480" s="37"/>
      <c r="AP480" s="37"/>
      <c r="AQ480" s="37"/>
      <c r="AR480" s="37"/>
      <c r="AS480" s="37"/>
      <c r="AT480" s="37"/>
      <c r="AU480" s="37"/>
      <c r="AV480" s="37"/>
      <c r="AW480" s="37"/>
      <c r="AX480" s="37"/>
      <c r="AY480" s="37"/>
      <c r="AZ480" s="37"/>
    </row>
    <row r="481"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  <c r="AH481" s="37"/>
      <c r="AI481" s="37"/>
      <c r="AJ481" s="37"/>
      <c r="AK481" s="37"/>
      <c r="AL481" s="37"/>
      <c r="AM481" s="37"/>
      <c r="AN481" s="37"/>
      <c r="AO481" s="37"/>
      <c r="AP481" s="37"/>
      <c r="AQ481" s="37"/>
      <c r="AR481" s="37"/>
      <c r="AS481" s="37"/>
      <c r="AT481" s="37"/>
      <c r="AU481" s="37"/>
      <c r="AV481" s="37"/>
      <c r="AW481" s="37"/>
      <c r="AX481" s="37"/>
      <c r="AY481" s="37"/>
      <c r="AZ481" s="37"/>
    </row>
    <row r="482"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7"/>
      <c r="AL482" s="37"/>
      <c r="AM482" s="37"/>
      <c r="AN482" s="37"/>
      <c r="AO482" s="37"/>
      <c r="AP482" s="37"/>
      <c r="AQ482" s="37"/>
      <c r="AR482" s="37"/>
      <c r="AS482" s="37"/>
      <c r="AT482" s="37"/>
      <c r="AU482" s="37"/>
      <c r="AV482" s="37"/>
      <c r="AW482" s="37"/>
      <c r="AX482" s="37"/>
      <c r="AY482" s="37"/>
      <c r="AZ482" s="37"/>
    </row>
    <row r="483"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  <c r="AU483" s="37"/>
      <c r="AV483" s="37"/>
      <c r="AW483" s="37"/>
      <c r="AX483" s="37"/>
      <c r="AY483" s="37"/>
      <c r="AZ483" s="37"/>
    </row>
    <row r="484"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  <c r="AH484" s="37"/>
      <c r="AI484" s="37"/>
      <c r="AJ484" s="37"/>
      <c r="AK484" s="37"/>
      <c r="AL484" s="37"/>
      <c r="AM484" s="37"/>
      <c r="AN484" s="37"/>
      <c r="AO484" s="37"/>
      <c r="AP484" s="37"/>
      <c r="AQ484" s="37"/>
      <c r="AR484" s="37"/>
      <c r="AS484" s="37"/>
      <c r="AT484" s="37"/>
      <c r="AU484" s="37"/>
      <c r="AV484" s="37"/>
      <c r="AW484" s="37"/>
      <c r="AX484" s="37"/>
      <c r="AY484" s="37"/>
      <c r="AZ484" s="37"/>
    </row>
    <row r="485"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  <c r="AL485" s="37"/>
      <c r="AM485" s="37"/>
      <c r="AN485" s="37"/>
      <c r="AO485" s="37"/>
      <c r="AP485" s="37"/>
      <c r="AQ485" s="37"/>
      <c r="AR485" s="37"/>
      <c r="AS485" s="37"/>
      <c r="AT485" s="37"/>
      <c r="AU485" s="37"/>
      <c r="AV485" s="37"/>
      <c r="AW485" s="37"/>
      <c r="AX485" s="37"/>
      <c r="AY485" s="37"/>
      <c r="AZ485" s="37"/>
    </row>
    <row r="486"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  <c r="AH486" s="37"/>
      <c r="AI486" s="37"/>
      <c r="AJ486" s="37"/>
      <c r="AK486" s="37"/>
      <c r="AL486" s="37"/>
      <c r="AM486" s="37"/>
      <c r="AN486" s="37"/>
      <c r="AO486" s="37"/>
      <c r="AP486" s="37"/>
      <c r="AQ486" s="37"/>
      <c r="AR486" s="37"/>
      <c r="AS486" s="37"/>
      <c r="AT486" s="37"/>
      <c r="AU486" s="37"/>
      <c r="AV486" s="37"/>
      <c r="AW486" s="37"/>
      <c r="AX486" s="37"/>
      <c r="AY486" s="37"/>
      <c r="AZ486" s="37"/>
    </row>
    <row r="487"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  <c r="AK487" s="37"/>
      <c r="AL487" s="37"/>
      <c r="AM487" s="37"/>
      <c r="AN487" s="37"/>
      <c r="AO487" s="37"/>
      <c r="AP487" s="37"/>
      <c r="AQ487" s="37"/>
      <c r="AR487" s="37"/>
      <c r="AS487" s="37"/>
      <c r="AT487" s="37"/>
      <c r="AU487" s="37"/>
      <c r="AV487" s="37"/>
      <c r="AW487" s="37"/>
      <c r="AX487" s="37"/>
      <c r="AY487" s="37"/>
      <c r="AZ487" s="37"/>
    </row>
    <row r="488"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  <c r="AK488" s="37"/>
      <c r="AL488" s="37"/>
      <c r="AM488" s="37"/>
      <c r="AN488" s="37"/>
      <c r="AO488" s="37"/>
      <c r="AP488" s="37"/>
      <c r="AQ488" s="37"/>
      <c r="AR488" s="37"/>
      <c r="AS488" s="37"/>
      <c r="AT488" s="37"/>
      <c r="AU488" s="37"/>
      <c r="AV488" s="37"/>
      <c r="AW488" s="37"/>
      <c r="AX488" s="37"/>
      <c r="AY488" s="37"/>
      <c r="AZ488" s="37"/>
    </row>
    <row r="489"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  <c r="AH489" s="37"/>
      <c r="AI489" s="37"/>
      <c r="AJ489" s="37"/>
      <c r="AK489" s="37"/>
      <c r="AL489" s="37"/>
      <c r="AM489" s="37"/>
      <c r="AN489" s="37"/>
      <c r="AO489" s="37"/>
      <c r="AP489" s="37"/>
      <c r="AQ489" s="37"/>
      <c r="AR489" s="37"/>
      <c r="AS489" s="37"/>
      <c r="AT489" s="37"/>
      <c r="AU489" s="37"/>
      <c r="AV489" s="37"/>
      <c r="AW489" s="37"/>
      <c r="AX489" s="37"/>
      <c r="AY489" s="37"/>
      <c r="AZ489" s="37"/>
    </row>
    <row r="490"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7"/>
      <c r="AL490" s="37"/>
      <c r="AM490" s="37"/>
      <c r="AN490" s="37"/>
      <c r="AO490" s="37"/>
      <c r="AP490" s="37"/>
      <c r="AQ490" s="37"/>
      <c r="AR490" s="37"/>
      <c r="AS490" s="37"/>
      <c r="AT490" s="37"/>
      <c r="AU490" s="37"/>
      <c r="AV490" s="37"/>
      <c r="AW490" s="37"/>
      <c r="AX490" s="37"/>
      <c r="AY490" s="37"/>
      <c r="AZ490" s="37"/>
    </row>
    <row r="491"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  <c r="AI491" s="37"/>
      <c r="AJ491" s="37"/>
      <c r="AK491" s="37"/>
      <c r="AL491" s="37"/>
      <c r="AM491" s="37"/>
      <c r="AN491" s="37"/>
      <c r="AO491" s="37"/>
      <c r="AP491" s="37"/>
      <c r="AQ491" s="37"/>
      <c r="AR491" s="37"/>
      <c r="AS491" s="37"/>
      <c r="AT491" s="37"/>
      <c r="AU491" s="37"/>
      <c r="AV491" s="37"/>
      <c r="AW491" s="37"/>
      <c r="AX491" s="37"/>
      <c r="AY491" s="37"/>
      <c r="AZ491" s="37"/>
    </row>
    <row r="492"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  <c r="AL492" s="37"/>
      <c r="AM492" s="37"/>
      <c r="AN492" s="37"/>
      <c r="AO492" s="37"/>
      <c r="AP492" s="37"/>
      <c r="AQ492" s="37"/>
      <c r="AR492" s="37"/>
      <c r="AS492" s="37"/>
      <c r="AT492" s="37"/>
      <c r="AU492" s="37"/>
      <c r="AV492" s="37"/>
      <c r="AW492" s="37"/>
      <c r="AX492" s="37"/>
      <c r="AY492" s="37"/>
      <c r="AZ492" s="37"/>
    </row>
    <row r="493"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7"/>
      <c r="AL493" s="37"/>
      <c r="AM493" s="37"/>
      <c r="AN493" s="37"/>
      <c r="AO493" s="37"/>
      <c r="AP493" s="37"/>
      <c r="AQ493" s="37"/>
      <c r="AR493" s="37"/>
      <c r="AS493" s="37"/>
      <c r="AT493" s="37"/>
      <c r="AU493" s="37"/>
      <c r="AV493" s="37"/>
      <c r="AW493" s="37"/>
      <c r="AX493" s="37"/>
      <c r="AY493" s="37"/>
      <c r="AZ493" s="37"/>
    </row>
    <row r="494"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  <c r="AK494" s="37"/>
      <c r="AL494" s="37"/>
      <c r="AM494" s="37"/>
      <c r="AN494" s="37"/>
      <c r="AO494" s="37"/>
      <c r="AP494" s="37"/>
      <c r="AQ494" s="37"/>
      <c r="AR494" s="37"/>
      <c r="AS494" s="37"/>
      <c r="AT494" s="37"/>
      <c r="AU494" s="37"/>
      <c r="AV494" s="37"/>
      <c r="AW494" s="37"/>
      <c r="AX494" s="37"/>
      <c r="AY494" s="37"/>
      <c r="AZ494" s="37"/>
    </row>
    <row r="495"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  <c r="AK495" s="37"/>
      <c r="AL495" s="37"/>
      <c r="AM495" s="37"/>
      <c r="AN495" s="37"/>
      <c r="AO495" s="37"/>
      <c r="AP495" s="37"/>
      <c r="AQ495" s="37"/>
      <c r="AR495" s="37"/>
      <c r="AS495" s="37"/>
      <c r="AT495" s="37"/>
      <c r="AU495" s="37"/>
      <c r="AV495" s="37"/>
      <c r="AW495" s="37"/>
      <c r="AX495" s="37"/>
      <c r="AY495" s="37"/>
      <c r="AZ495" s="37"/>
    </row>
    <row r="496"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7"/>
      <c r="AL496" s="37"/>
      <c r="AM496" s="37"/>
      <c r="AN496" s="37"/>
      <c r="AO496" s="37"/>
      <c r="AP496" s="37"/>
      <c r="AQ496" s="37"/>
      <c r="AR496" s="37"/>
      <c r="AS496" s="37"/>
      <c r="AT496" s="37"/>
      <c r="AU496" s="37"/>
      <c r="AV496" s="37"/>
      <c r="AW496" s="37"/>
      <c r="AX496" s="37"/>
      <c r="AY496" s="37"/>
      <c r="AZ496" s="37"/>
    </row>
    <row r="497"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  <c r="AG497" s="37"/>
      <c r="AH497" s="37"/>
      <c r="AI497" s="37"/>
      <c r="AJ497" s="37"/>
      <c r="AK497" s="37"/>
      <c r="AL497" s="37"/>
      <c r="AM497" s="37"/>
      <c r="AN497" s="37"/>
      <c r="AO497" s="37"/>
      <c r="AP497" s="37"/>
      <c r="AQ497" s="37"/>
      <c r="AR497" s="37"/>
      <c r="AS497" s="37"/>
      <c r="AT497" s="37"/>
      <c r="AU497" s="37"/>
      <c r="AV497" s="37"/>
      <c r="AW497" s="37"/>
      <c r="AX497" s="37"/>
      <c r="AY497" s="37"/>
      <c r="AZ497" s="37"/>
    </row>
    <row r="498"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  <c r="AK498" s="37"/>
      <c r="AL498" s="37"/>
      <c r="AM498" s="37"/>
      <c r="AN498" s="37"/>
      <c r="AO498" s="37"/>
      <c r="AP498" s="37"/>
      <c r="AQ498" s="37"/>
      <c r="AR498" s="37"/>
      <c r="AS498" s="37"/>
      <c r="AT498" s="37"/>
      <c r="AU498" s="37"/>
      <c r="AV498" s="37"/>
      <c r="AW498" s="37"/>
      <c r="AX498" s="37"/>
      <c r="AY498" s="37"/>
      <c r="AZ498" s="37"/>
    </row>
    <row r="499"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  <c r="AH499" s="37"/>
      <c r="AI499" s="37"/>
      <c r="AJ499" s="37"/>
      <c r="AK499" s="37"/>
      <c r="AL499" s="37"/>
      <c r="AM499" s="37"/>
      <c r="AN499" s="37"/>
      <c r="AO499" s="37"/>
      <c r="AP499" s="37"/>
      <c r="AQ499" s="37"/>
      <c r="AR499" s="37"/>
      <c r="AS499" s="37"/>
      <c r="AT499" s="37"/>
      <c r="AU499" s="37"/>
      <c r="AV499" s="37"/>
      <c r="AW499" s="37"/>
      <c r="AX499" s="37"/>
      <c r="AY499" s="37"/>
      <c r="AZ499" s="37"/>
    </row>
    <row r="500"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  <c r="AK500" s="37"/>
      <c r="AL500" s="37"/>
      <c r="AM500" s="37"/>
      <c r="AN500" s="37"/>
      <c r="AO500" s="37"/>
      <c r="AP500" s="37"/>
      <c r="AQ500" s="37"/>
      <c r="AR500" s="37"/>
      <c r="AS500" s="37"/>
      <c r="AT500" s="37"/>
      <c r="AU500" s="37"/>
      <c r="AV500" s="37"/>
      <c r="AW500" s="37"/>
      <c r="AX500" s="37"/>
      <c r="AY500" s="37"/>
      <c r="AZ500" s="37"/>
    </row>
    <row r="501"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7"/>
      <c r="AL501" s="37"/>
      <c r="AM501" s="37"/>
      <c r="AN501" s="37"/>
      <c r="AO501" s="37"/>
      <c r="AP501" s="37"/>
      <c r="AQ501" s="37"/>
      <c r="AR501" s="37"/>
      <c r="AS501" s="37"/>
      <c r="AT501" s="37"/>
      <c r="AU501" s="37"/>
      <c r="AV501" s="37"/>
      <c r="AW501" s="37"/>
      <c r="AX501" s="37"/>
      <c r="AY501" s="37"/>
      <c r="AZ501" s="37"/>
    </row>
    <row r="502"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7"/>
      <c r="AL502" s="37"/>
      <c r="AM502" s="37"/>
      <c r="AN502" s="37"/>
      <c r="AO502" s="37"/>
      <c r="AP502" s="37"/>
      <c r="AQ502" s="37"/>
      <c r="AR502" s="37"/>
      <c r="AS502" s="37"/>
      <c r="AT502" s="37"/>
      <c r="AU502" s="37"/>
      <c r="AV502" s="37"/>
      <c r="AW502" s="37"/>
      <c r="AX502" s="37"/>
      <c r="AY502" s="37"/>
      <c r="AZ502" s="37"/>
    </row>
    <row r="503"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  <c r="AL503" s="37"/>
      <c r="AM503" s="37"/>
      <c r="AN503" s="37"/>
      <c r="AO503" s="37"/>
      <c r="AP503" s="37"/>
      <c r="AQ503" s="37"/>
      <c r="AR503" s="37"/>
      <c r="AS503" s="37"/>
      <c r="AT503" s="37"/>
      <c r="AU503" s="37"/>
      <c r="AV503" s="37"/>
      <c r="AW503" s="37"/>
      <c r="AX503" s="37"/>
      <c r="AY503" s="37"/>
      <c r="AZ503" s="37"/>
    </row>
    <row r="504"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  <c r="AI504" s="37"/>
      <c r="AJ504" s="37"/>
      <c r="AK504" s="37"/>
      <c r="AL504" s="37"/>
      <c r="AM504" s="37"/>
      <c r="AN504" s="37"/>
      <c r="AO504" s="37"/>
      <c r="AP504" s="37"/>
      <c r="AQ504" s="37"/>
      <c r="AR504" s="37"/>
      <c r="AS504" s="37"/>
      <c r="AT504" s="37"/>
      <c r="AU504" s="37"/>
      <c r="AV504" s="37"/>
      <c r="AW504" s="37"/>
      <c r="AX504" s="37"/>
      <c r="AY504" s="37"/>
      <c r="AZ504" s="37"/>
    </row>
    <row r="505"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  <c r="AM505" s="37"/>
      <c r="AN505" s="37"/>
      <c r="AO505" s="37"/>
      <c r="AP505" s="37"/>
      <c r="AQ505" s="37"/>
      <c r="AR505" s="37"/>
      <c r="AS505" s="37"/>
      <c r="AT505" s="37"/>
      <c r="AU505" s="37"/>
      <c r="AV505" s="37"/>
      <c r="AW505" s="37"/>
      <c r="AX505" s="37"/>
      <c r="AY505" s="37"/>
      <c r="AZ505" s="37"/>
    </row>
    <row r="506"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  <c r="AL506" s="37"/>
      <c r="AM506" s="37"/>
      <c r="AN506" s="37"/>
      <c r="AO506" s="37"/>
      <c r="AP506" s="37"/>
      <c r="AQ506" s="37"/>
      <c r="AR506" s="37"/>
      <c r="AS506" s="37"/>
      <c r="AT506" s="37"/>
      <c r="AU506" s="37"/>
      <c r="AV506" s="37"/>
      <c r="AW506" s="37"/>
      <c r="AX506" s="37"/>
      <c r="AY506" s="37"/>
      <c r="AZ506" s="37"/>
    </row>
    <row r="507"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  <c r="AY507" s="37"/>
      <c r="AZ507" s="37"/>
    </row>
    <row r="508"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7"/>
      <c r="AL508" s="37"/>
      <c r="AM508" s="37"/>
      <c r="AN508" s="37"/>
      <c r="AO508" s="37"/>
      <c r="AP508" s="37"/>
      <c r="AQ508" s="37"/>
      <c r="AR508" s="37"/>
      <c r="AS508" s="37"/>
      <c r="AT508" s="37"/>
      <c r="AU508" s="37"/>
      <c r="AV508" s="37"/>
      <c r="AW508" s="37"/>
      <c r="AX508" s="37"/>
      <c r="AY508" s="37"/>
      <c r="AZ508" s="37"/>
    </row>
    <row r="509"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  <c r="AL509" s="37"/>
      <c r="AM509" s="37"/>
      <c r="AN509" s="37"/>
      <c r="AO509" s="37"/>
      <c r="AP509" s="37"/>
      <c r="AQ509" s="37"/>
      <c r="AR509" s="37"/>
      <c r="AS509" s="37"/>
      <c r="AT509" s="37"/>
      <c r="AU509" s="37"/>
      <c r="AV509" s="37"/>
      <c r="AW509" s="37"/>
      <c r="AX509" s="37"/>
      <c r="AY509" s="37"/>
      <c r="AZ509" s="37"/>
    </row>
    <row r="510"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  <c r="AL510" s="37"/>
      <c r="AM510" s="37"/>
      <c r="AN510" s="37"/>
      <c r="AO510" s="37"/>
      <c r="AP510" s="37"/>
      <c r="AQ510" s="37"/>
      <c r="AR510" s="37"/>
      <c r="AS510" s="37"/>
      <c r="AT510" s="37"/>
      <c r="AU510" s="37"/>
      <c r="AV510" s="37"/>
      <c r="AW510" s="37"/>
      <c r="AX510" s="37"/>
      <c r="AY510" s="37"/>
      <c r="AZ510" s="37"/>
    </row>
    <row r="511"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7"/>
      <c r="AL511" s="37"/>
      <c r="AM511" s="37"/>
      <c r="AN511" s="37"/>
      <c r="AO511" s="37"/>
      <c r="AP511" s="37"/>
      <c r="AQ511" s="37"/>
      <c r="AR511" s="37"/>
      <c r="AS511" s="37"/>
      <c r="AT511" s="37"/>
      <c r="AU511" s="37"/>
      <c r="AV511" s="37"/>
      <c r="AW511" s="37"/>
      <c r="AX511" s="37"/>
      <c r="AY511" s="37"/>
      <c r="AZ511" s="37"/>
    </row>
    <row r="512"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  <c r="AM512" s="37"/>
      <c r="AN512" s="37"/>
      <c r="AO512" s="37"/>
      <c r="AP512" s="37"/>
      <c r="AQ512" s="37"/>
      <c r="AR512" s="37"/>
      <c r="AS512" s="37"/>
      <c r="AT512" s="37"/>
      <c r="AU512" s="37"/>
      <c r="AV512" s="37"/>
      <c r="AW512" s="37"/>
      <c r="AX512" s="37"/>
      <c r="AY512" s="37"/>
      <c r="AZ512" s="37"/>
    </row>
    <row r="513"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  <c r="AL513" s="37"/>
      <c r="AM513" s="37"/>
      <c r="AN513" s="37"/>
      <c r="AO513" s="37"/>
      <c r="AP513" s="37"/>
      <c r="AQ513" s="37"/>
      <c r="AR513" s="37"/>
      <c r="AS513" s="37"/>
      <c r="AT513" s="37"/>
      <c r="AU513" s="37"/>
      <c r="AV513" s="37"/>
      <c r="AW513" s="37"/>
      <c r="AX513" s="37"/>
      <c r="AY513" s="37"/>
      <c r="AZ513" s="37"/>
    </row>
    <row r="514"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  <c r="AL514" s="37"/>
      <c r="AM514" s="37"/>
      <c r="AN514" s="37"/>
      <c r="AO514" s="37"/>
      <c r="AP514" s="37"/>
      <c r="AQ514" s="37"/>
      <c r="AR514" s="37"/>
      <c r="AS514" s="37"/>
      <c r="AT514" s="37"/>
      <c r="AU514" s="37"/>
      <c r="AV514" s="37"/>
      <c r="AW514" s="37"/>
      <c r="AX514" s="37"/>
      <c r="AY514" s="37"/>
      <c r="AZ514" s="37"/>
    </row>
    <row r="515"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7"/>
      <c r="AL515" s="37"/>
      <c r="AM515" s="37"/>
      <c r="AN515" s="37"/>
      <c r="AO515" s="37"/>
      <c r="AP515" s="37"/>
      <c r="AQ515" s="37"/>
      <c r="AR515" s="37"/>
      <c r="AS515" s="37"/>
      <c r="AT515" s="37"/>
      <c r="AU515" s="37"/>
      <c r="AV515" s="37"/>
      <c r="AW515" s="37"/>
      <c r="AX515" s="37"/>
      <c r="AY515" s="37"/>
      <c r="AZ515" s="37"/>
    </row>
    <row r="516"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  <c r="AL516" s="37"/>
      <c r="AM516" s="37"/>
      <c r="AN516" s="37"/>
      <c r="AO516" s="37"/>
      <c r="AP516" s="37"/>
      <c r="AQ516" s="37"/>
      <c r="AR516" s="37"/>
      <c r="AS516" s="37"/>
      <c r="AT516" s="37"/>
      <c r="AU516" s="37"/>
      <c r="AV516" s="37"/>
      <c r="AW516" s="37"/>
      <c r="AX516" s="37"/>
      <c r="AY516" s="37"/>
      <c r="AZ516" s="37"/>
    </row>
    <row r="517"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  <c r="AL517" s="37"/>
      <c r="AM517" s="37"/>
      <c r="AN517" s="37"/>
      <c r="AO517" s="37"/>
      <c r="AP517" s="37"/>
      <c r="AQ517" s="37"/>
      <c r="AR517" s="37"/>
      <c r="AS517" s="37"/>
      <c r="AT517" s="37"/>
      <c r="AU517" s="37"/>
      <c r="AV517" s="37"/>
      <c r="AW517" s="37"/>
      <c r="AX517" s="37"/>
      <c r="AY517" s="37"/>
      <c r="AZ517" s="37"/>
    </row>
    <row r="518"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  <c r="AL518" s="37"/>
      <c r="AM518" s="37"/>
      <c r="AN518" s="37"/>
      <c r="AO518" s="37"/>
      <c r="AP518" s="37"/>
      <c r="AQ518" s="37"/>
      <c r="AR518" s="37"/>
      <c r="AS518" s="37"/>
      <c r="AT518" s="37"/>
      <c r="AU518" s="37"/>
      <c r="AV518" s="37"/>
      <c r="AW518" s="37"/>
      <c r="AX518" s="37"/>
      <c r="AY518" s="37"/>
      <c r="AZ518" s="37"/>
    </row>
    <row r="519"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7"/>
      <c r="AL519" s="37"/>
      <c r="AM519" s="37"/>
      <c r="AN519" s="37"/>
      <c r="AO519" s="37"/>
      <c r="AP519" s="37"/>
      <c r="AQ519" s="37"/>
      <c r="AR519" s="37"/>
      <c r="AS519" s="37"/>
      <c r="AT519" s="37"/>
      <c r="AU519" s="37"/>
      <c r="AV519" s="37"/>
      <c r="AW519" s="37"/>
      <c r="AX519" s="37"/>
      <c r="AY519" s="37"/>
      <c r="AZ519" s="37"/>
    </row>
    <row r="520"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  <c r="AL520" s="37"/>
      <c r="AM520" s="37"/>
      <c r="AN520" s="37"/>
      <c r="AO520" s="37"/>
      <c r="AP520" s="37"/>
      <c r="AQ520" s="37"/>
      <c r="AR520" s="37"/>
      <c r="AS520" s="37"/>
      <c r="AT520" s="37"/>
      <c r="AU520" s="37"/>
      <c r="AV520" s="37"/>
      <c r="AW520" s="37"/>
      <c r="AX520" s="37"/>
      <c r="AY520" s="37"/>
      <c r="AZ520" s="37"/>
    </row>
    <row r="521"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  <c r="AL521" s="37"/>
      <c r="AM521" s="37"/>
      <c r="AN521" s="37"/>
      <c r="AO521" s="37"/>
      <c r="AP521" s="37"/>
      <c r="AQ521" s="37"/>
      <c r="AR521" s="37"/>
      <c r="AS521" s="37"/>
      <c r="AT521" s="37"/>
      <c r="AU521" s="37"/>
      <c r="AV521" s="37"/>
      <c r="AW521" s="37"/>
      <c r="AX521" s="37"/>
      <c r="AY521" s="37"/>
      <c r="AZ521" s="37"/>
    </row>
    <row r="522"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  <c r="AI522" s="37"/>
      <c r="AJ522" s="37"/>
      <c r="AK522" s="37"/>
      <c r="AL522" s="37"/>
      <c r="AM522" s="37"/>
      <c r="AN522" s="37"/>
      <c r="AO522" s="37"/>
      <c r="AP522" s="37"/>
      <c r="AQ522" s="37"/>
      <c r="AR522" s="37"/>
      <c r="AS522" s="37"/>
      <c r="AT522" s="37"/>
      <c r="AU522" s="37"/>
      <c r="AV522" s="37"/>
      <c r="AW522" s="37"/>
      <c r="AX522" s="37"/>
      <c r="AY522" s="37"/>
      <c r="AZ522" s="37"/>
    </row>
    <row r="523"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  <c r="AL523" s="37"/>
      <c r="AM523" s="37"/>
      <c r="AN523" s="37"/>
      <c r="AO523" s="37"/>
      <c r="AP523" s="37"/>
      <c r="AQ523" s="37"/>
      <c r="AR523" s="37"/>
      <c r="AS523" s="37"/>
      <c r="AT523" s="37"/>
      <c r="AU523" s="37"/>
      <c r="AV523" s="37"/>
      <c r="AW523" s="37"/>
      <c r="AX523" s="37"/>
      <c r="AY523" s="37"/>
      <c r="AZ523" s="37"/>
    </row>
    <row r="524"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7"/>
      <c r="AL524" s="37"/>
      <c r="AM524" s="37"/>
      <c r="AN524" s="37"/>
      <c r="AO524" s="37"/>
      <c r="AP524" s="37"/>
      <c r="AQ524" s="37"/>
      <c r="AR524" s="37"/>
      <c r="AS524" s="37"/>
      <c r="AT524" s="37"/>
      <c r="AU524" s="37"/>
      <c r="AV524" s="37"/>
      <c r="AW524" s="37"/>
      <c r="AX524" s="37"/>
      <c r="AY524" s="37"/>
      <c r="AZ524" s="37"/>
    </row>
    <row r="525"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37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  <c r="AY525" s="37"/>
      <c r="AZ525" s="37"/>
    </row>
    <row r="526"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  <c r="AL526" s="37"/>
      <c r="AM526" s="37"/>
      <c r="AN526" s="37"/>
      <c r="AO526" s="37"/>
      <c r="AP526" s="37"/>
      <c r="AQ526" s="37"/>
      <c r="AR526" s="37"/>
      <c r="AS526" s="37"/>
      <c r="AT526" s="37"/>
      <c r="AU526" s="37"/>
      <c r="AV526" s="37"/>
      <c r="AW526" s="37"/>
      <c r="AX526" s="37"/>
      <c r="AY526" s="37"/>
      <c r="AZ526" s="37"/>
    </row>
    <row r="527"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7"/>
      <c r="AL527" s="37"/>
      <c r="AM527" s="37"/>
      <c r="AN527" s="37"/>
      <c r="AO527" s="37"/>
      <c r="AP527" s="37"/>
      <c r="AQ527" s="37"/>
      <c r="AR527" s="37"/>
      <c r="AS527" s="37"/>
      <c r="AT527" s="37"/>
      <c r="AU527" s="37"/>
      <c r="AV527" s="37"/>
      <c r="AW527" s="37"/>
      <c r="AX527" s="37"/>
      <c r="AY527" s="37"/>
      <c r="AZ527" s="37"/>
    </row>
    <row r="528"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  <c r="AY528" s="37"/>
      <c r="AZ528" s="37"/>
    </row>
    <row r="529"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7"/>
      <c r="AL529" s="37"/>
      <c r="AM529" s="37"/>
      <c r="AN529" s="37"/>
      <c r="AO529" s="37"/>
      <c r="AP529" s="37"/>
      <c r="AQ529" s="37"/>
      <c r="AR529" s="37"/>
      <c r="AS529" s="37"/>
      <c r="AT529" s="37"/>
      <c r="AU529" s="37"/>
      <c r="AV529" s="37"/>
      <c r="AW529" s="37"/>
      <c r="AX529" s="37"/>
      <c r="AY529" s="37"/>
      <c r="AZ529" s="37"/>
    </row>
    <row r="530"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7"/>
      <c r="AL530" s="37"/>
      <c r="AM530" s="37"/>
      <c r="AN530" s="37"/>
      <c r="AO530" s="37"/>
      <c r="AP530" s="37"/>
      <c r="AQ530" s="37"/>
      <c r="AR530" s="37"/>
      <c r="AS530" s="37"/>
      <c r="AT530" s="37"/>
      <c r="AU530" s="37"/>
      <c r="AV530" s="37"/>
      <c r="AW530" s="37"/>
      <c r="AX530" s="37"/>
      <c r="AY530" s="37"/>
      <c r="AZ530" s="37"/>
    </row>
    <row r="531"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  <c r="AI531" s="37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  <c r="AY531" s="37"/>
      <c r="AZ531" s="37"/>
    </row>
    <row r="532"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  <c r="AK532" s="37"/>
      <c r="AL532" s="37"/>
      <c r="AM532" s="37"/>
      <c r="AN532" s="37"/>
      <c r="AO532" s="37"/>
      <c r="AP532" s="37"/>
      <c r="AQ532" s="37"/>
      <c r="AR532" s="37"/>
      <c r="AS532" s="37"/>
      <c r="AT532" s="37"/>
      <c r="AU532" s="37"/>
      <c r="AV532" s="37"/>
      <c r="AW532" s="37"/>
      <c r="AX532" s="37"/>
      <c r="AY532" s="37"/>
      <c r="AZ532" s="37"/>
    </row>
    <row r="533"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  <c r="AL533" s="37"/>
      <c r="AM533" s="37"/>
      <c r="AN533" s="37"/>
      <c r="AO533" s="37"/>
      <c r="AP533" s="37"/>
      <c r="AQ533" s="37"/>
      <c r="AR533" s="37"/>
      <c r="AS533" s="37"/>
      <c r="AT533" s="37"/>
      <c r="AU533" s="37"/>
      <c r="AV533" s="37"/>
      <c r="AW533" s="37"/>
      <c r="AX533" s="37"/>
      <c r="AY533" s="37"/>
      <c r="AZ533" s="37"/>
    </row>
    <row r="534"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  <c r="AI534" s="37"/>
      <c r="AJ534" s="37"/>
      <c r="AK534" s="37"/>
      <c r="AL534" s="37"/>
      <c r="AM534" s="37"/>
      <c r="AN534" s="37"/>
      <c r="AO534" s="37"/>
      <c r="AP534" s="37"/>
      <c r="AQ534" s="37"/>
      <c r="AR534" s="37"/>
      <c r="AS534" s="37"/>
      <c r="AT534" s="37"/>
      <c r="AU534" s="37"/>
      <c r="AV534" s="37"/>
      <c r="AW534" s="37"/>
      <c r="AX534" s="37"/>
      <c r="AY534" s="37"/>
      <c r="AZ534" s="37"/>
    </row>
    <row r="535"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7"/>
      <c r="AL535" s="37"/>
      <c r="AM535" s="37"/>
      <c r="AN535" s="37"/>
      <c r="AO535" s="37"/>
      <c r="AP535" s="37"/>
      <c r="AQ535" s="37"/>
      <c r="AR535" s="37"/>
      <c r="AS535" s="37"/>
      <c r="AT535" s="37"/>
      <c r="AU535" s="37"/>
      <c r="AV535" s="37"/>
      <c r="AW535" s="37"/>
      <c r="AX535" s="37"/>
      <c r="AY535" s="37"/>
      <c r="AZ535" s="37"/>
    </row>
    <row r="536"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  <c r="AK536" s="37"/>
      <c r="AL536" s="37"/>
      <c r="AM536" s="37"/>
      <c r="AN536" s="37"/>
      <c r="AO536" s="37"/>
      <c r="AP536" s="37"/>
      <c r="AQ536" s="37"/>
      <c r="AR536" s="37"/>
      <c r="AS536" s="37"/>
      <c r="AT536" s="37"/>
      <c r="AU536" s="37"/>
      <c r="AV536" s="37"/>
      <c r="AW536" s="37"/>
      <c r="AX536" s="37"/>
      <c r="AY536" s="37"/>
      <c r="AZ536" s="37"/>
    </row>
    <row r="537"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7"/>
      <c r="AL537" s="37"/>
      <c r="AM537" s="37"/>
      <c r="AN537" s="37"/>
      <c r="AO537" s="37"/>
      <c r="AP537" s="37"/>
      <c r="AQ537" s="37"/>
      <c r="AR537" s="37"/>
      <c r="AS537" s="37"/>
      <c r="AT537" s="37"/>
      <c r="AU537" s="37"/>
      <c r="AV537" s="37"/>
      <c r="AW537" s="37"/>
      <c r="AX537" s="37"/>
      <c r="AY537" s="37"/>
      <c r="AZ537" s="37"/>
    </row>
    <row r="538"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7"/>
      <c r="AL538" s="37"/>
      <c r="AM538" s="37"/>
      <c r="AN538" s="37"/>
      <c r="AO538" s="37"/>
      <c r="AP538" s="37"/>
      <c r="AQ538" s="37"/>
      <c r="AR538" s="37"/>
      <c r="AS538" s="37"/>
      <c r="AT538" s="37"/>
      <c r="AU538" s="37"/>
      <c r="AV538" s="37"/>
      <c r="AW538" s="37"/>
      <c r="AX538" s="37"/>
      <c r="AY538" s="37"/>
      <c r="AZ538" s="37"/>
    </row>
    <row r="539"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7"/>
      <c r="AL539" s="37"/>
      <c r="AM539" s="37"/>
      <c r="AN539" s="37"/>
      <c r="AO539" s="37"/>
      <c r="AP539" s="37"/>
      <c r="AQ539" s="37"/>
      <c r="AR539" s="37"/>
      <c r="AS539" s="37"/>
      <c r="AT539" s="37"/>
      <c r="AU539" s="37"/>
      <c r="AV539" s="37"/>
      <c r="AW539" s="37"/>
      <c r="AX539" s="37"/>
      <c r="AY539" s="37"/>
      <c r="AZ539" s="37"/>
    </row>
    <row r="540"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  <c r="AM540" s="37"/>
      <c r="AN540" s="37"/>
      <c r="AO540" s="37"/>
      <c r="AP540" s="37"/>
      <c r="AQ540" s="37"/>
      <c r="AR540" s="37"/>
      <c r="AS540" s="37"/>
      <c r="AT540" s="37"/>
      <c r="AU540" s="37"/>
      <c r="AV540" s="37"/>
      <c r="AW540" s="37"/>
      <c r="AX540" s="37"/>
      <c r="AY540" s="37"/>
      <c r="AZ540" s="37"/>
    </row>
    <row r="541"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  <c r="AM541" s="37"/>
      <c r="AN541" s="37"/>
      <c r="AO541" s="37"/>
      <c r="AP541" s="37"/>
      <c r="AQ541" s="37"/>
      <c r="AR541" s="37"/>
      <c r="AS541" s="37"/>
      <c r="AT541" s="37"/>
      <c r="AU541" s="37"/>
      <c r="AV541" s="37"/>
      <c r="AW541" s="37"/>
      <c r="AX541" s="37"/>
      <c r="AY541" s="37"/>
      <c r="AZ541" s="37"/>
    </row>
    <row r="542"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  <c r="AI542" s="37"/>
      <c r="AJ542" s="37"/>
      <c r="AK542" s="37"/>
      <c r="AL542" s="37"/>
      <c r="AM542" s="37"/>
      <c r="AN542" s="37"/>
      <c r="AO542" s="37"/>
      <c r="AP542" s="37"/>
      <c r="AQ542" s="37"/>
      <c r="AR542" s="37"/>
      <c r="AS542" s="37"/>
      <c r="AT542" s="37"/>
      <c r="AU542" s="37"/>
      <c r="AV542" s="37"/>
      <c r="AW542" s="37"/>
      <c r="AX542" s="37"/>
      <c r="AY542" s="37"/>
      <c r="AZ542" s="37"/>
    </row>
    <row r="543"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  <c r="AL543" s="37"/>
      <c r="AM543" s="37"/>
      <c r="AN543" s="37"/>
      <c r="AO543" s="37"/>
      <c r="AP543" s="37"/>
      <c r="AQ543" s="37"/>
      <c r="AR543" s="37"/>
      <c r="AS543" s="37"/>
      <c r="AT543" s="37"/>
      <c r="AU543" s="37"/>
      <c r="AV543" s="37"/>
      <c r="AW543" s="37"/>
      <c r="AX543" s="37"/>
      <c r="AY543" s="37"/>
      <c r="AZ543" s="37"/>
    </row>
    <row r="544"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7"/>
      <c r="AL544" s="37"/>
      <c r="AM544" s="37"/>
      <c r="AN544" s="37"/>
      <c r="AO544" s="37"/>
      <c r="AP544" s="37"/>
      <c r="AQ544" s="37"/>
      <c r="AR544" s="37"/>
      <c r="AS544" s="37"/>
      <c r="AT544" s="37"/>
      <c r="AU544" s="37"/>
      <c r="AV544" s="37"/>
      <c r="AW544" s="37"/>
      <c r="AX544" s="37"/>
      <c r="AY544" s="37"/>
      <c r="AZ544" s="37"/>
    </row>
    <row r="545"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  <c r="AK545" s="37"/>
      <c r="AL545" s="37"/>
      <c r="AM545" s="37"/>
      <c r="AN545" s="37"/>
      <c r="AO545" s="37"/>
      <c r="AP545" s="37"/>
      <c r="AQ545" s="37"/>
      <c r="AR545" s="37"/>
      <c r="AS545" s="37"/>
      <c r="AT545" s="37"/>
      <c r="AU545" s="37"/>
      <c r="AV545" s="37"/>
      <c r="AW545" s="37"/>
      <c r="AX545" s="37"/>
      <c r="AY545" s="37"/>
      <c r="AZ545" s="37"/>
    </row>
    <row r="546"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7"/>
      <c r="AL546" s="37"/>
      <c r="AM546" s="37"/>
      <c r="AN546" s="37"/>
      <c r="AO546" s="37"/>
      <c r="AP546" s="37"/>
      <c r="AQ546" s="37"/>
      <c r="AR546" s="37"/>
      <c r="AS546" s="37"/>
      <c r="AT546" s="37"/>
      <c r="AU546" s="37"/>
      <c r="AV546" s="37"/>
      <c r="AW546" s="37"/>
      <c r="AX546" s="37"/>
      <c r="AY546" s="37"/>
      <c r="AZ546" s="37"/>
    </row>
    <row r="547"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  <c r="AL547" s="37"/>
      <c r="AM547" s="37"/>
      <c r="AN547" s="37"/>
      <c r="AO547" s="37"/>
      <c r="AP547" s="37"/>
      <c r="AQ547" s="37"/>
      <c r="AR547" s="37"/>
      <c r="AS547" s="37"/>
      <c r="AT547" s="37"/>
      <c r="AU547" s="37"/>
      <c r="AV547" s="37"/>
      <c r="AW547" s="37"/>
      <c r="AX547" s="37"/>
      <c r="AY547" s="37"/>
      <c r="AZ547" s="37"/>
    </row>
    <row r="548"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7"/>
      <c r="AL548" s="37"/>
      <c r="AM548" s="37"/>
      <c r="AN548" s="37"/>
      <c r="AO548" s="37"/>
      <c r="AP548" s="37"/>
      <c r="AQ548" s="37"/>
      <c r="AR548" s="37"/>
      <c r="AS548" s="37"/>
      <c r="AT548" s="37"/>
      <c r="AU548" s="37"/>
      <c r="AV548" s="37"/>
      <c r="AW548" s="37"/>
      <c r="AX548" s="37"/>
      <c r="AY548" s="37"/>
      <c r="AZ548" s="37"/>
    </row>
    <row r="549"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  <c r="AL549" s="37"/>
      <c r="AM549" s="37"/>
      <c r="AN549" s="37"/>
      <c r="AO549" s="37"/>
      <c r="AP549" s="37"/>
      <c r="AQ549" s="37"/>
      <c r="AR549" s="37"/>
      <c r="AS549" s="37"/>
      <c r="AT549" s="37"/>
      <c r="AU549" s="37"/>
      <c r="AV549" s="37"/>
      <c r="AW549" s="37"/>
      <c r="AX549" s="37"/>
      <c r="AY549" s="37"/>
      <c r="AZ549" s="37"/>
    </row>
    <row r="550"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7"/>
      <c r="AL550" s="37"/>
      <c r="AM550" s="37"/>
      <c r="AN550" s="37"/>
      <c r="AO550" s="37"/>
      <c r="AP550" s="37"/>
      <c r="AQ550" s="37"/>
      <c r="AR550" s="37"/>
      <c r="AS550" s="37"/>
      <c r="AT550" s="37"/>
      <c r="AU550" s="37"/>
      <c r="AV550" s="37"/>
      <c r="AW550" s="37"/>
      <c r="AX550" s="37"/>
      <c r="AY550" s="37"/>
      <c r="AZ550" s="37"/>
    </row>
    <row r="551"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  <c r="AL551" s="37"/>
      <c r="AM551" s="37"/>
      <c r="AN551" s="37"/>
      <c r="AO551" s="37"/>
      <c r="AP551" s="37"/>
      <c r="AQ551" s="37"/>
      <c r="AR551" s="37"/>
      <c r="AS551" s="37"/>
      <c r="AT551" s="37"/>
      <c r="AU551" s="37"/>
      <c r="AV551" s="37"/>
      <c r="AW551" s="37"/>
      <c r="AX551" s="37"/>
      <c r="AY551" s="37"/>
      <c r="AZ551" s="37"/>
    </row>
    <row r="552"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  <c r="AL552" s="37"/>
      <c r="AM552" s="37"/>
      <c r="AN552" s="37"/>
      <c r="AO552" s="37"/>
      <c r="AP552" s="37"/>
      <c r="AQ552" s="37"/>
      <c r="AR552" s="37"/>
      <c r="AS552" s="37"/>
      <c r="AT552" s="37"/>
      <c r="AU552" s="37"/>
      <c r="AV552" s="37"/>
      <c r="AW552" s="37"/>
      <c r="AX552" s="37"/>
      <c r="AY552" s="37"/>
      <c r="AZ552" s="37"/>
    </row>
    <row r="553"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  <c r="AI553" s="37"/>
      <c r="AJ553" s="37"/>
      <c r="AK553" s="37"/>
      <c r="AL553" s="37"/>
      <c r="AM553" s="37"/>
      <c r="AN553" s="37"/>
      <c r="AO553" s="37"/>
      <c r="AP553" s="37"/>
      <c r="AQ553" s="37"/>
      <c r="AR553" s="37"/>
      <c r="AS553" s="37"/>
      <c r="AT553" s="37"/>
      <c r="AU553" s="37"/>
      <c r="AV553" s="37"/>
      <c r="AW553" s="37"/>
      <c r="AX553" s="37"/>
      <c r="AY553" s="37"/>
      <c r="AZ553" s="37"/>
    </row>
    <row r="554"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7"/>
      <c r="AL554" s="37"/>
      <c r="AM554" s="37"/>
      <c r="AN554" s="37"/>
      <c r="AO554" s="37"/>
      <c r="AP554" s="37"/>
      <c r="AQ554" s="37"/>
      <c r="AR554" s="37"/>
      <c r="AS554" s="37"/>
      <c r="AT554" s="37"/>
      <c r="AU554" s="37"/>
      <c r="AV554" s="37"/>
      <c r="AW554" s="37"/>
      <c r="AX554" s="37"/>
      <c r="AY554" s="37"/>
      <c r="AZ554" s="37"/>
    </row>
    <row r="555"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7"/>
      <c r="AL555" s="37"/>
      <c r="AM555" s="37"/>
      <c r="AN555" s="37"/>
      <c r="AO555" s="37"/>
      <c r="AP555" s="37"/>
      <c r="AQ555" s="37"/>
      <c r="AR555" s="37"/>
      <c r="AS555" s="37"/>
      <c r="AT555" s="37"/>
      <c r="AU555" s="37"/>
      <c r="AV555" s="37"/>
      <c r="AW555" s="37"/>
      <c r="AX555" s="37"/>
      <c r="AY555" s="37"/>
      <c r="AZ555" s="37"/>
    </row>
    <row r="556"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  <c r="AH556" s="37"/>
      <c r="AI556" s="37"/>
      <c r="AJ556" s="37"/>
      <c r="AK556" s="37"/>
      <c r="AL556" s="37"/>
      <c r="AM556" s="37"/>
      <c r="AN556" s="37"/>
      <c r="AO556" s="37"/>
      <c r="AP556" s="37"/>
      <c r="AQ556" s="37"/>
      <c r="AR556" s="37"/>
      <c r="AS556" s="37"/>
      <c r="AT556" s="37"/>
      <c r="AU556" s="37"/>
      <c r="AV556" s="37"/>
      <c r="AW556" s="37"/>
      <c r="AX556" s="37"/>
      <c r="AY556" s="37"/>
      <c r="AZ556" s="37"/>
    </row>
    <row r="557"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  <c r="AK557" s="37"/>
      <c r="AL557" s="37"/>
      <c r="AM557" s="37"/>
      <c r="AN557" s="37"/>
      <c r="AO557" s="37"/>
      <c r="AP557" s="37"/>
      <c r="AQ557" s="37"/>
      <c r="AR557" s="37"/>
      <c r="AS557" s="37"/>
      <c r="AT557" s="37"/>
      <c r="AU557" s="37"/>
      <c r="AV557" s="37"/>
      <c r="AW557" s="37"/>
      <c r="AX557" s="37"/>
      <c r="AY557" s="37"/>
      <c r="AZ557" s="37"/>
    </row>
    <row r="558"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  <c r="AL558" s="37"/>
      <c r="AM558" s="37"/>
      <c r="AN558" s="37"/>
      <c r="AO558" s="37"/>
      <c r="AP558" s="37"/>
      <c r="AQ558" s="37"/>
      <c r="AR558" s="37"/>
      <c r="AS558" s="37"/>
      <c r="AT558" s="37"/>
      <c r="AU558" s="37"/>
      <c r="AV558" s="37"/>
      <c r="AW558" s="37"/>
      <c r="AX558" s="37"/>
      <c r="AY558" s="37"/>
      <c r="AZ558" s="37"/>
    </row>
    <row r="559"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  <c r="AH559" s="37"/>
      <c r="AI559" s="37"/>
      <c r="AJ559" s="37"/>
      <c r="AK559" s="37"/>
      <c r="AL559" s="37"/>
      <c r="AM559" s="37"/>
      <c r="AN559" s="37"/>
      <c r="AO559" s="37"/>
      <c r="AP559" s="37"/>
      <c r="AQ559" s="37"/>
      <c r="AR559" s="37"/>
      <c r="AS559" s="37"/>
      <c r="AT559" s="37"/>
      <c r="AU559" s="37"/>
      <c r="AV559" s="37"/>
      <c r="AW559" s="37"/>
      <c r="AX559" s="37"/>
      <c r="AY559" s="37"/>
      <c r="AZ559" s="37"/>
    </row>
    <row r="560"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7"/>
      <c r="AL560" s="37"/>
      <c r="AM560" s="37"/>
      <c r="AN560" s="37"/>
      <c r="AO560" s="37"/>
      <c r="AP560" s="37"/>
      <c r="AQ560" s="37"/>
      <c r="AR560" s="37"/>
      <c r="AS560" s="37"/>
      <c r="AT560" s="37"/>
      <c r="AU560" s="37"/>
      <c r="AV560" s="37"/>
      <c r="AW560" s="37"/>
      <c r="AX560" s="37"/>
      <c r="AY560" s="37"/>
      <c r="AZ560" s="37"/>
    </row>
    <row r="561"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7"/>
      <c r="AL561" s="37"/>
      <c r="AM561" s="37"/>
      <c r="AN561" s="37"/>
      <c r="AO561" s="37"/>
      <c r="AP561" s="37"/>
      <c r="AQ561" s="37"/>
      <c r="AR561" s="37"/>
      <c r="AS561" s="37"/>
      <c r="AT561" s="37"/>
      <c r="AU561" s="37"/>
      <c r="AV561" s="37"/>
      <c r="AW561" s="37"/>
      <c r="AX561" s="37"/>
      <c r="AY561" s="37"/>
      <c r="AZ561" s="37"/>
    </row>
    <row r="562"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7"/>
      <c r="AL562" s="37"/>
      <c r="AM562" s="37"/>
      <c r="AN562" s="37"/>
      <c r="AO562" s="37"/>
      <c r="AP562" s="37"/>
      <c r="AQ562" s="37"/>
      <c r="AR562" s="37"/>
      <c r="AS562" s="37"/>
      <c r="AT562" s="37"/>
      <c r="AU562" s="37"/>
      <c r="AV562" s="37"/>
      <c r="AW562" s="37"/>
      <c r="AX562" s="37"/>
      <c r="AY562" s="37"/>
      <c r="AZ562" s="37"/>
    </row>
    <row r="563"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  <c r="AH563" s="37"/>
      <c r="AI563" s="37"/>
      <c r="AJ563" s="37"/>
      <c r="AK563" s="37"/>
      <c r="AL563" s="37"/>
      <c r="AM563" s="37"/>
      <c r="AN563" s="37"/>
      <c r="AO563" s="37"/>
      <c r="AP563" s="37"/>
      <c r="AQ563" s="37"/>
      <c r="AR563" s="37"/>
      <c r="AS563" s="37"/>
      <c r="AT563" s="37"/>
      <c r="AU563" s="37"/>
      <c r="AV563" s="37"/>
      <c r="AW563" s="37"/>
      <c r="AX563" s="37"/>
      <c r="AY563" s="37"/>
      <c r="AZ563" s="37"/>
    </row>
    <row r="564"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  <c r="AL564" s="37"/>
      <c r="AM564" s="37"/>
      <c r="AN564" s="37"/>
      <c r="AO564" s="37"/>
      <c r="AP564" s="37"/>
      <c r="AQ564" s="37"/>
      <c r="AR564" s="37"/>
      <c r="AS564" s="37"/>
      <c r="AT564" s="37"/>
      <c r="AU564" s="37"/>
      <c r="AV564" s="37"/>
      <c r="AW564" s="37"/>
      <c r="AX564" s="37"/>
      <c r="AY564" s="37"/>
      <c r="AZ564" s="37"/>
    </row>
    <row r="565"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/>
      <c r="AJ565" s="37"/>
      <c r="AK565" s="37"/>
      <c r="AL565" s="37"/>
      <c r="AM565" s="37"/>
      <c r="AN565" s="37"/>
      <c r="AO565" s="37"/>
      <c r="AP565" s="37"/>
      <c r="AQ565" s="37"/>
      <c r="AR565" s="37"/>
      <c r="AS565" s="37"/>
      <c r="AT565" s="37"/>
      <c r="AU565" s="37"/>
      <c r="AV565" s="37"/>
      <c r="AW565" s="37"/>
      <c r="AX565" s="37"/>
      <c r="AY565" s="37"/>
      <c r="AZ565" s="37"/>
    </row>
    <row r="566"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7"/>
      <c r="AL566" s="37"/>
      <c r="AM566" s="37"/>
      <c r="AN566" s="37"/>
      <c r="AO566" s="37"/>
      <c r="AP566" s="37"/>
      <c r="AQ566" s="37"/>
      <c r="AR566" s="37"/>
      <c r="AS566" s="37"/>
      <c r="AT566" s="37"/>
      <c r="AU566" s="37"/>
      <c r="AV566" s="37"/>
      <c r="AW566" s="37"/>
      <c r="AX566" s="37"/>
      <c r="AY566" s="37"/>
      <c r="AZ566" s="37"/>
    </row>
    <row r="567"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  <c r="AK567" s="37"/>
      <c r="AL567" s="37"/>
      <c r="AM567" s="37"/>
      <c r="AN567" s="37"/>
      <c r="AO567" s="37"/>
      <c r="AP567" s="37"/>
      <c r="AQ567" s="37"/>
      <c r="AR567" s="37"/>
      <c r="AS567" s="37"/>
      <c r="AT567" s="37"/>
      <c r="AU567" s="37"/>
      <c r="AV567" s="37"/>
      <c r="AW567" s="37"/>
      <c r="AX567" s="37"/>
      <c r="AY567" s="37"/>
      <c r="AZ567" s="37"/>
    </row>
    <row r="568"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  <c r="AL568" s="37"/>
      <c r="AM568" s="37"/>
      <c r="AN568" s="37"/>
      <c r="AO568" s="37"/>
      <c r="AP568" s="37"/>
      <c r="AQ568" s="37"/>
      <c r="AR568" s="37"/>
      <c r="AS568" s="37"/>
      <c r="AT568" s="37"/>
      <c r="AU568" s="37"/>
      <c r="AV568" s="37"/>
      <c r="AW568" s="37"/>
      <c r="AX568" s="37"/>
      <c r="AY568" s="37"/>
      <c r="AZ568" s="37"/>
    </row>
    <row r="569"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7"/>
      <c r="AL569" s="37"/>
      <c r="AM569" s="37"/>
      <c r="AN569" s="37"/>
      <c r="AO569" s="37"/>
      <c r="AP569" s="37"/>
      <c r="AQ569" s="37"/>
      <c r="AR569" s="37"/>
      <c r="AS569" s="37"/>
      <c r="AT569" s="37"/>
      <c r="AU569" s="37"/>
      <c r="AV569" s="37"/>
      <c r="AW569" s="37"/>
      <c r="AX569" s="37"/>
      <c r="AY569" s="37"/>
      <c r="AZ569" s="37"/>
    </row>
    <row r="570"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  <c r="AK570" s="37"/>
      <c r="AL570" s="37"/>
      <c r="AM570" s="37"/>
      <c r="AN570" s="37"/>
      <c r="AO570" s="37"/>
      <c r="AP570" s="37"/>
      <c r="AQ570" s="37"/>
      <c r="AR570" s="37"/>
      <c r="AS570" s="37"/>
      <c r="AT570" s="37"/>
      <c r="AU570" s="37"/>
      <c r="AV570" s="37"/>
      <c r="AW570" s="37"/>
      <c r="AX570" s="37"/>
      <c r="AY570" s="37"/>
      <c r="AZ570" s="37"/>
    </row>
    <row r="571"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7"/>
      <c r="AL571" s="37"/>
      <c r="AM571" s="37"/>
      <c r="AN571" s="37"/>
      <c r="AO571" s="37"/>
      <c r="AP571" s="37"/>
      <c r="AQ571" s="37"/>
      <c r="AR571" s="37"/>
      <c r="AS571" s="37"/>
      <c r="AT571" s="37"/>
      <c r="AU571" s="37"/>
      <c r="AV571" s="37"/>
      <c r="AW571" s="37"/>
      <c r="AX571" s="37"/>
      <c r="AY571" s="37"/>
      <c r="AZ571" s="37"/>
    </row>
    <row r="572"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  <c r="AL572" s="37"/>
      <c r="AM572" s="37"/>
      <c r="AN572" s="37"/>
      <c r="AO572" s="37"/>
      <c r="AP572" s="37"/>
      <c r="AQ572" s="37"/>
      <c r="AR572" s="37"/>
      <c r="AS572" s="37"/>
      <c r="AT572" s="37"/>
      <c r="AU572" s="37"/>
      <c r="AV572" s="37"/>
      <c r="AW572" s="37"/>
      <c r="AX572" s="37"/>
      <c r="AY572" s="37"/>
      <c r="AZ572" s="37"/>
    </row>
    <row r="573"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  <c r="AK573" s="37"/>
      <c r="AL573" s="37"/>
      <c r="AM573" s="37"/>
      <c r="AN573" s="37"/>
      <c r="AO573" s="37"/>
      <c r="AP573" s="37"/>
      <c r="AQ573" s="37"/>
      <c r="AR573" s="37"/>
      <c r="AS573" s="37"/>
      <c r="AT573" s="37"/>
      <c r="AU573" s="37"/>
      <c r="AV573" s="37"/>
      <c r="AW573" s="37"/>
      <c r="AX573" s="37"/>
      <c r="AY573" s="37"/>
      <c r="AZ573" s="37"/>
    </row>
    <row r="574"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7"/>
      <c r="AL574" s="37"/>
      <c r="AM574" s="37"/>
      <c r="AN574" s="37"/>
      <c r="AO574" s="37"/>
      <c r="AP574" s="37"/>
      <c r="AQ574" s="37"/>
      <c r="AR574" s="37"/>
      <c r="AS574" s="37"/>
      <c r="AT574" s="37"/>
      <c r="AU574" s="37"/>
      <c r="AV574" s="37"/>
      <c r="AW574" s="37"/>
      <c r="AX574" s="37"/>
      <c r="AY574" s="37"/>
      <c r="AZ574" s="37"/>
    </row>
    <row r="575"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  <c r="AL575" s="37"/>
      <c r="AM575" s="37"/>
      <c r="AN575" s="37"/>
      <c r="AO575" s="37"/>
      <c r="AP575" s="37"/>
      <c r="AQ575" s="37"/>
      <c r="AR575" s="37"/>
      <c r="AS575" s="37"/>
      <c r="AT575" s="37"/>
      <c r="AU575" s="37"/>
      <c r="AV575" s="37"/>
      <c r="AW575" s="37"/>
      <c r="AX575" s="37"/>
      <c r="AY575" s="37"/>
      <c r="AZ575" s="37"/>
    </row>
    <row r="576"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7"/>
      <c r="AL576" s="37"/>
      <c r="AM576" s="37"/>
      <c r="AN576" s="37"/>
      <c r="AO576" s="37"/>
      <c r="AP576" s="37"/>
      <c r="AQ576" s="37"/>
      <c r="AR576" s="37"/>
      <c r="AS576" s="37"/>
      <c r="AT576" s="37"/>
      <c r="AU576" s="37"/>
      <c r="AV576" s="37"/>
      <c r="AW576" s="37"/>
      <c r="AX576" s="37"/>
      <c r="AY576" s="37"/>
      <c r="AZ576" s="37"/>
    </row>
    <row r="577"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  <c r="AK577" s="37"/>
      <c r="AL577" s="37"/>
      <c r="AM577" s="37"/>
      <c r="AN577" s="37"/>
      <c r="AO577" s="37"/>
      <c r="AP577" s="37"/>
      <c r="AQ577" s="37"/>
      <c r="AR577" s="37"/>
      <c r="AS577" s="37"/>
      <c r="AT577" s="37"/>
      <c r="AU577" s="37"/>
      <c r="AV577" s="37"/>
      <c r="AW577" s="37"/>
      <c r="AX577" s="37"/>
      <c r="AY577" s="37"/>
      <c r="AZ577" s="37"/>
    </row>
    <row r="578"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  <c r="AK578" s="37"/>
      <c r="AL578" s="37"/>
      <c r="AM578" s="37"/>
      <c r="AN578" s="37"/>
      <c r="AO578" s="37"/>
      <c r="AP578" s="37"/>
      <c r="AQ578" s="37"/>
      <c r="AR578" s="37"/>
      <c r="AS578" s="37"/>
      <c r="AT578" s="37"/>
      <c r="AU578" s="37"/>
      <c r="AV578" s="37"/>
      <c r="AW578" s="37"/>
      <c r="AX578" s="37"/>
      <c r="AY578" s="37"/>
      <c r="AZ578" s="37"/>
    </row>
    <row r="579"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  <c r="AH579" s="37"/>
      <c r="AI579" s="37"/>
      <c r="AJ579" s="37"/>
      <c r="AK579" s="37"/>
      <c r="AL579" s="37"/>
      <c r="AM579" s="37"/>
      <c r="AN579" s="37"/>
      <c r="AO579" s="37"/>
      <c r="AP579" s="37"/>
      <c r="AQ579" s="37"/>
      <c r="AR579" s="37"/>
      <c r="AS579" s="37"/>
      <c r="AT579" s="37"/>
      <c r="AU579" s="37"/>
      <c r="AV579" s="37"/>
      <c r="AW579" s="37"/>
      <c r="AX579" s="37"/>
      <c r="AY579" s="37"/>
      <c r="AZ579" s="37"/>
    </row>
    <row r="580"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7"/>
      <c r="AL580" s="37"/>
      <c r="AM580" s="37"/>
      <c r="AN580" s="37"/>
      <c r="AO580" s="37"/>
      <c r="AP580" s="37"/>
      <c r="AQ580" s="37"/>
      <c r="AR580" s="37"/>
      <c r="AS580" s="37"/>
      <c r="AT580" s="37"/>
      <c r="AU580" s="37"/>
      <c r="AV580" s="37"/>
      <c r="AW580" s="37"/>
      <c r="AX580" s="37"/>
      <c r="AY580" s="37"/>
      <c r="AZ580" s="37"/>
    </row>
    <row r="581"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7"/>
      <c r="AL581" s="37"/>
      <c r="AM581" s="37"/>
      <c r="AN581" s="37"/>
      <c r="AO581" s="37"/>
      <c r="AP581" s="37"/>
      <c r="AQ581" s="37"/>
      <c r="AR581" s="37"/>
      <c r="AS581" s="37"/>
      <c r="AT581" s="37"/>
      <c r="AU581" s="37"/>
      <c r="AV581" s="37"/>
      <c r="AW581" s="37"/>
      <c r="AX581" s="37"/>
      <c r="AY581" s="37"/>
      <c r="AZ581" s="37"/>
    </row>
    <row r="582"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7"/>
      <c r="AL582" s="37"/>
      <c r="AM582" s="37"/>
      <c r="AN582" s="37"/>
      <c r="AO582" s="37"/>
      <c r="AP582" s="37"/>
      <c r="AQ582" s="37"/>
      <c r="AR582" s="37"/>
      <c r="AS582" s="37"/>
      <c r="AT582" s="37"/>
      <c r="AU582" s="37"/>
      <c r="AV582" s="37"/>
      <c r="AW582" s="37"/>
      <c r="AX582" s="37"/>
      <c r="AY582" s="37"/>
      <c r="AZ582" s="37"/>
    </row>
    <row r="583"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7"/>
      <c r="AL583" s="37"/>
      <c r="AM583" s="37"/>
      <c r="AN583" s="37"/>
      <c r="AO583" s="37"/>
      <c r="AP583" s="37"/>
      <c r="AQ583" s="37"/>
      <c r="AR583" s="37"/>
      <c r="AS583" s="37"/>
      <c r="AT583" s="37"/>
      <c r="AU583" s="37"/>
      <c r="AV583" s="37"/>
      <c r="AW583" s="37"/>
      <c r="AX583" s="37"/>
      <c r="AY583" s="37"/>
      <c r="AZ583" s="37"/>
    </row>
    <row r="584"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7"/>
      <c r="AL584" s="37"/>
      <c r="AM584" s="37"/>
      <c r="AN584" s="37"/>
      <c r="AO584" s="37"/>
      <c r="AP584" s="37"/>
      <c r="AQ584" s="37"/>
      <c r="AR584" s="37"/>
      <c r="AS584" s="37"/>
      <c r="AT584" s="37"/>
      <c r="AU584" s="37"/>
      <c r="AV584" s="37"/>
      <c r="AW584" s="37"/>
      <c r="AX584" s="37"/>
      <c r="AY584" s="37"/>
      <c r="AZ584" s="37"/>
    </row>
    <row r="585"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  <c r="AK585" s="37"/>
      <c r="AL585" s="37"/>
      <c r="AM585" s="37"/>
      <c r="AN585" s="37"/>
      <c r="AO585" s="37"/>
      <c r="AP585" s="37"/>
      <c r="AQ585" s="37"/>
      <c r="AR585" s="37"/>
      <c r="AS585" s="37"/>
      <c r="AT585" s="37"/>
      <c r="AU585" s="37"/>
      <c r="AV585" s="37"/>
      <c r="AW585" s="37"/>
      <c r="AX585" s="37"/>
      <c r="AY585" s="37"/>
      <c r="AZ585" s="37"/>
    </row>
    <row r="586"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  <c r="AI586" s="37"/>
      <c r="AJ586" s="37"/>
      <c r="AK586" s="37"/>
      <c r="AL586" s="37"/>
      <c r="AM586" s="37"/>
      <c r="AN586" s="37"/>
      <c r="AO586" s="37"/>
      <c r="AP586" s="37"/>
      <c r="AQ586" s="37"/>
      <c r="AR586" s="37"/>
      <c r="AS586" s="37"/>
      <c r="AT586" s="37"/>
      <c r="AU586" s="37"/>
      <c r="AV586" s="37"/>
      <c r="AW586" s="37"/>
      <c r="AX586" s="37"/>
      <c r="AY586" s="37"/>
      <c r="AZ586" s="37"/>
    </row>
    <row r="587"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7"/>
      <c r="AL587" s="37"/>
      <c r="AM587" s="37"/>
      <c r="AN587" s="37"/>
      <c r="AO587" s="37"/>
      <c r="AP587" s="37"/>
      <c r="AQ587" s="37"/>
      <c r="AR587" s="37"/>
      <c r="AS587" s="37"/>
      <c r="AT587" s="37"/>
      <c r="AU587" s="37"/>
      <c r="AV587" s="37"/>
      <c r="AW587" s="37"/>
      <c r="AX587" s="37"/>
      <c r="AY587" s="37"/>
      <c r="AZ587" s="37"/>
    </row>
    <row r="588"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  <c r="AI588" s="37"/>
      <c r="AJ588" s="37"/>
      <c r="AK588" s="37"/>
      <c r="AL588" s="37"/>
      <c r="AM588" s="37"/>
      <c r="AN588" s="37"/>
      <c r="AO588" s="37"/>
      <c r="AP588" s="37"/>
      <c r="AQ588" s="37"/>
      <c r="AR588" s="37"/>
      <c r="AS588" s="37"/>
      <c r="AT588" s="37"/>
      <c r="AU588" s="37"/>
      <c r="AV588" s="37"/>
      <c r="AW588" s="37"/>
      <c r="AX588" s="37"/>
      <c r="AY588" s="37"/>
      <c r="AZ588" s="37"/>
    </row>
    <row r="589"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7"/>
      <c r="AL589" s="37"/>
      <c r="AM589" s="37"/>
      <c r="AN589" s="37"/>
      <c r="AO589" s="37"/>
      <c r="AP589" s="37"/>
      <c r="AQ589" s="37"/>
      <c r="AR589" s="37"/>
      <c r="AS589" s="37"/>
      <c r="AT589" s="37"/>
      <c r="AU589" s="37"/>
      <c r="AV589" s="37"/>
      <c r="AW589" s="37"/>
      <c r="AX589" s="37"/>
      <c r="AY589" s="37"/>
      <c r="AZ589" s="37"/>
    </row>
    <row r="590"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7"/>
      <c r="AL590" s="37"/>
      <c r="AM590" s="37"/>
      <c r="AN590" s="37"/>
      <c r="AO590" s="37"/>
      <c r="AP590" s="37"/>
      <c r="AQ590" s="37"/>
      <c r="AR590" s="37"/>
      <c r="AS590" s="37"/>
      <c r="AT590" s="37"/>
      <c r="AU590" s="37"/>
      <c r="AV590" s="37"/>
      <c r="AW590" s="37"/>
      <c r="AX590" s="37"/>
      <c r="AY590" s="37"/>
      <c r="AZ590" s="37"/>
    </row>
    <row r="591"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7"/>
      <c r="AL591" s="37"/>
      <c r="AM591" s="37"/>
      <c r="AN591" s="37"/>
      <c r="AO591" s="37"/>
      <c r="AP591" s="37"/>
      <c r="AQ591" s="37"/>
      <c r="AR591" s="37"/>
      <c r="AS591" s="37"/>
      <c r="AT591" s="37"/>
      <c r="AU591" s="37"/>
      <c r="AV591" s="37"/>
      <c r="AW591" s="37"/>
      <c r="AX591" s="37"/>
      <c r="AY591" s="37"/>
      <c r="AZ591" s="37"/>
    </row>
    <row r="592"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  <c r="AK592" s="37"/>
      <c r="AL592" s="37"/>
      <c r="AM592" s="37"/>
      <c r="AN592" s="37"/>
      <c r="AO592" s="37"/>
      <c r="AP592" s="37"/>
      <c r="AQ592" s="37"/>
      <c r="AR592" s="37"/>
      <c r="AS592" s="37"/>
      <c r="AT592" s="37"/>
      <c r="AU592" s="37"/>
      <c r="AV592" s="37"/>
      <c r="AW592" s="37"/>
      <c r="AX592" s="37"/>
      <c r="AY592" s="37"/>
      <c r="AZ592" s="37"/>
    </row>
    <row r="593"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  <c r="AK593" s="37"/>
      <c r="AL593" s="37"/>
      <c r="AM593" s="37"/>
      <c r="AN593" s="37"/>
      <c r="AO593" s="37"/>
      <c r="AP593" s="37"/>
      <c r="AQ593" s="37"/>
      <c r="AR593" s="37"/>
      <c r="AS593" s="37"/>
      <c r="AT593" s="37"/>
      <c r="AU593" s="37"/>
      <c r="AV593" s="37"/>
      <c r="AW593" s="37"/>
      <c r="AX593" s="37"/>
      <c r="AY593" s="37"/>
      <c r="AZ593" s="37"/>
    </row>
    <row r="594"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  <c r="AK594" s="37"/>
      <c r="AL594" s="37"/>
      <c r="AM594" s="37"/>
      <c r="AN594" s="37"/>
      <c r="AO594" s="37"/>
      <c r="AP594" s="37"/>
      <c r="AQ594" s="37"/>
      <c r="AR594" s="37"/>
      <c r="AS594" s="37"/>
      <c r="AT594" s="37"/>
      <c r="AU594" s="37"/>
      <c r="AV594" s="37"/>
      <c r="AW594" s="37"/>
      <c r="AX594" s="37"/>
      <c r="AY594" s="37"/>
      <c r="AZ594" s="37"/>
    </row>
    <row r="595"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7"/>
      <c r="AL595" s="37"/>
      <c r="AM595" s="37"/>
      <c r="AN595" s="37"/>
      <c r="AO595" s="37"/>
      <c r="AP595" s="37"/>
      <c r="AQ595" s="37"/>
      <c r="AR595" s="37"/>
      <c r="AS595" s="37"/>
      <c r="AT595" s="37"/>
      <c r="AU595" s="37"/>
      <c r="AV595" s="37"/>
      <c r="AW595" s="37"/>
      <c r="AX595" s="37"/>
      <c r="AY595" s="37"/>
      <c r="AZ595" s="37"/>
    </row>
    <row r="596"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7"/>
      <c r="AL596" s="37"/>
      <c r="AM596" s="37"/>
      <c r="AN596" s="37"/>
      <c r="AO596" s="37"/>
      <c r="AP596" s="37"/>
      <c r="AQ596" s="37"/>
      <c r="AR596" s="37"/>
      <c r="AS596" s="37"/>
      <c r="AT596" s="37"/>
      <c r="AU596" s="37"/>
      <c r="AV596" s="37"/>
      <c r="AW596" s="37"/>
      <c r="AX596" s="37"/>
      <c r="AY596" s="37"/>
      <c r="AZ596" s="37"/>
    </row>
    <row r="597"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  <c r="AM597" s="37"/>
      <c r="AN597" s="37"/>
      <c r="AO597" s="37"/>
      <c r="AP597" s="37"/>
      <c r="AQ597" s="37"/>
      <c r="AR597" s="37"/>
      <c r="AS597" s="37"/>
      <c r="AT597" s="37"/>
      <c r="AU597" s="37"/>
      <c r="AV597" s="37"/>
      <c r="AW597" s="37"/>
      <c r="AX597" s="37"/>
      <c r="AY597" s="37"/>
      <c r="AZ597" s="37"/>
    </row>
    <row r="598"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  <c r="AK598" s="37"/>
      <c r="AL598" s="37"/>
      <c r="AM598" s="37"/>
      <c r="AN598" s="37"/>
      <c r="AO598" s="37"/>
      <c r="AP598" s="37"/>
      <c r="AQ598" s="37"/>
      <c r="AR598" s="37"/>
      <c r="AS598" s="37"/>
      <c r="AT598" s="37"/>
      <c r="AU598" s="37"/>
      <c r="AV598" s="37"/>
      <c r="AW598" s="37"/>
      <c r="AX598" s="37"/>
      <c r="AY598" s="37"/>
      <c r="AZ598" s="37"/>
    </row>
    <row r="599"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7"/>
      <c r="AL599" s="37"/>
      <c r="AM599" s="37"/>
      <c r="AN599" s="37"/>
      <c r="AO599" s="37"/>
      <c r="AP599" s="37"/>
      <c r="AQ599" s="37"/>
      <c r="AR599" s="37"/>
      <c r="AS599" s="37"/>
      <c r="AT599" s="37"/>
      <c r="AU599" s="37"/>
      <c r="AV599" s="37"/>
      <c r="AW599" s="37"/>
      <c r="AX599" s="37"/>
      <c r="AY599" s="37"/>
      <c r="AZ599" s="37"/>
    </row>
    <row r="600"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7"/>
      <c r="AL600" s="37"/>
      <c r="AM600" s="37"/>
      <c r="AN600" s="37"/>
      <c r="AO600" s="37"/>
      <c r="AP600" s="37"/>
      <c r="AQ600" s="37"/>
      <c r="AR600" s="37"/>
      <c r="AS600" s="37"/>
      <c r="AT600" s="37"/>
      <c r="AU600" s="37"/>
      <c r="AV600" s="37"/>
      <c r="AW600" s="37"/>
      <c r="AX600" s="37"/>
      <c r="AY600" s="37"/>
      <c r="AZ600" s="37"/>
    </row>
    <row r="601"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7"/>
      <c r="AL601" s="37"/>
      <c r="AM601" s="37"/>
      <c r="AN601" s="37"/>
      <c r="AO601" s="37"/>
      <c r="AP601" s="37"/>
      <c r="AQ601" s="37"/>
      <c r="AR601" s="37"/>
      <c r="AS601" s="37"/>
      <c r="AT601" s="37"/>
      <c r="AU601" s="37"/>
      <c r="AV601" s="37"/>
      <c r="AW601" s="37"/>
      <c r="AX601" s="37"/>
      <c r="AY601" s="37"/>
      <c r="AZ601" s="37"/>
    </row>
    <row r="602"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  <c r="AH602" s="37"/>
      <c r="AI602" s="37"/>
      <c r="AJ602" s="37"/>
      <c r="AK602" s="37"/>
      <c r="AL602" s="37"/>
      <c r="AM602" s="37"/>
      <c r="AN602" s="37"/>
      <c r="AO602" s="37"/>
      <c r="AP602" s="37"/>
      <c r="AQ602" s="37"/>
      <c r="AR602" s="37"/>
      <c r="AS602" s="37"/>
      <c r="AT602" s="37"/>
      <c r="AU602" s="37"/>
      <c r="AV602" s="37"/>
      <c r="AW602" s="37"/>
      <c r="AX602" s="37"/>
      <c r="AY602" s="37"/>
      <c r="AZ602" s="37"/>
    </row>
    <row r="603"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7"/>
      <c r="AL603" s="37"/>
      <c r="AM603" s="37"/>
      <c r="AN603" s="37"/>
      <c r="AO603" s="37"/>
      <c r="AP603" s="37"/>
      <c r="AQ603" s="37"/>
      <c r="AR603" s="37"/>
      <c r="AS603" s="37"/>
      <c r="AT603" s="37"/>
      <c r="AU603" s="37"/>
      <c r="AV603" s="37"/>
      <c r="AW603" s="37"/>
      <c r="AX603" s="37"/>
      <c r="AY603" s="37"/>
      <c r="AZ603" s="37"/>
    </row>
    <row r="604"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7"/>
      <c r="AL604" s="37"/>
      <c r="AM604" s="37"/>
      <c r="AN604" s="37"/>
      <c r="AO604" s="37"/>
      <c r="AP604" s="37"/>
      <c r="AQ604" s="37"/>
      <c r="AR604" s="37"/>
      <c r="AS604" s="37"/>
      <c r="AT604" s="37"/>
      <c r="AU604" s="37"/>
      <c r="AV604" s="37"/>
      <c r="AW604" s="37"/>
      <c r="AX604" s="37"/>
      <c r="AY604" s="37"/>
      <c r="AZ604" s="37"/>
    </row>
    <row r="605"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  <c r="AL605" s="37"/>
      <c r="AM605" s="37"/>
      <c r="AN605" s="37"/>
      <c r="AO605" s="37"/>
      <c r="AP605" s="37"/>
      <c r="AQ605" s="37"/>
      <c r="AR605" s="37"/>
      <c r="AS605" s="37"/>
      <c r="AT605" s="37"/>
      <c r="AU605" s="37"/>
      <c r="AV605" s="37"/>
      <c r="AW605" s="37"/>
      <c r="AX605" s="37"/>
      <c r="AY605" s="37"/>
      <c r="AZ605" s="37"/>
    </row>
    <row r="606"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7"/>
      <c r="AL606" s="37"/>
      <c r="AM606" s="37"/>
      <c r="AN606" s="37"/>
      <c r="AO606" s="37"/>
      <c r="AP606" s="37"/>
      <c r="AQ606" s="37"/>
      <c r="AR606" s="37"/>
      <c r="AS606" s="37"/>
      <c r="AT606" s="37"/>
      <c r="AU606" s="37"/>
      <c r="AV606" s="37"/>
      <c r="AW606" s="37"/>
      <c r="AX606" s="37"/>
      <c r="AY606" s="37"/>
      <c r="AZ606" s="37"/>
    </row>
    <row r="607"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  <c r="AL607" s="37"/>
      <c r="AM607" s="37"/>
      <c r="AN607" s="37"/>
      <c r="AO607" s="37"/>
      <c r="AP607" s="37"/>
      <c r="AQ607" s="37"/>
      <c r="AR607" s="37"/>
      <c r="AS607" s="37"/>
      <c r="AT607" s="37"/>
      <c r="AU607" s="37"/>
      <c r="AV607" s="37"/>
      <c r="AW607" s="37"/>
      <c r="AX607" s="37"/>
      <c r="AY607" s="37"/>
      <c r="AZ607" s="37"/>
    </row>
    <row r="608"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  <c r="AK608" s="37"/>
      <c r="AL608" s="37"/>
      <c r="AM608" s="37"/>
      <c r="AN608" s="37"/>
      <c r="AO608" s="37"/>
      <c r="AP608" s="37"/>
      <c r="AQ608" s="37"/>
      <c r="AR608" s="37"/>
      <c r="AS608" s="37"/>
      <c r="AT608" s="37"/>
      <c r="AU608" s="37"/>
      <c r="AV608" s="37"/>
      <c r="AW608" s="37"/>
      <c r="AX608" s="37"/>
      <c r="AY608" s="37"/>
      <c r="AZ608" s="37"/>
    </row>
    <row r="609"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7"/>
      <c r="AL609" s="37"/>
      <c r="AM609" s="37"/>
      <c r="AN609" s="37"/>
      <c r="AO609" s="37"/>
      <c r="AP609" s="37"/>
      <c r="AQ609" s="37"/>
      <c r="AR609" s="37"/>
      <c r="AS609" s="37"/>
      <c r="AT609" s="37"/>
      <c r="AU609" s="37"/>
      <c r="AV609" s="37"/>
      <c r="AW609" s="37"/>
      <c r="AX609" s="37"/>
      <c r="AY609" s="37"/>
      <c r="AZ609" s="37"/>
    </row>
    <row r="610"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  <c r="AH610" s="37"/>
      <c r="AI610" s="37"/>
      <c r="AJ610" s="37"/>
      <c r="AK610" s="37"/>
      <c r="AL610" s="37"/>
      <c r="AM610" s="37"/>
      <c r="AN610" s="37"/>
      <c r="AO610" s="37"/>
      <c r="AP610" s="37"/>
      <c r="AQ610" s="37"/>
      <c r="AR610" s="37"/>
      <c r="AS610" s="37"/>
      <c r="AT610" s="37"/>
      <c r="AU610" s="37"/>
      <c r="AV610" s="37"/>
      <c r="AW610" s="37"/>
      <c r="AX610" s="37"/>
      <c r="AY610" s="37"/>
      <c r="AZ610" s="37"/>
    </row>
    <row r="611"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  <c r="AH611" s="37"/>
      <c r="AI611" s="37"/>
      <c r="AJ611" s="37"/>
      <c r="AK611" s="37"/>
      <c r="AL611" s="37"/>
      <c r="AM611" s="37"/>
      <c r="AN611" s="37"/>
      <c r="AO611" s="37"/>
      <c r="AP611" s="37"/>
      <c r="AQ611" s="37"/>
      <c r="AR611" s="37"/>
      <c r="AS611" s="37"/>
      <c r="AT611" s="37"/>
      <c r="AU611" s="37"/>
      <c r="AV611" s="37"/>
      <c r="AW611" s="37"/>
      <c r="AX611" s="37"/>
      <c r="AY611" s="37"/>
      <c r="AZ611" s="37"/>
    </row>
    <row r="612"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  <c r="AH612" s="37"/>
      <c r="AI612" s="37"/>
      <c r="AJ612" s="37"/>
      <c r="AK612" s="37"/>
      <c r="AL612" s="37"/>
      <c r="AM612" s="37"/>
      <c r="AN612" s="37"/>
      <c r="AO612" s="37"/>
      <c r="AP612" s="37"/>
      <c r="AQ612" s="37"/>
      <c r="AR612" s="37"/>
      <c r="AS612" s="37"/>
      <c r="AT612" s="37"/>
      <c r="AU612" s="37"/>
      <c r="AV612" s="37"/>
      <c r="AW612" s="37"/>
      <c r="AX612" s="37"/>
      <c r="AY612" s="37"/>
      <c r="AZ612" s="37"/>
    </row>
    <row r="613"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  <c r="AG613" s="37"/>
      <c r="AH613" s="37"/>
      <c r="AI613" s="37"/>
      <c r="AJ613" s="37"/>
      <c r="AK613" s="37"/>
      <c r="AL613" s="37"/>
      <c r="AM613" s="37"/>
      <c r="AN613" s="37"/>
      <c r="AO613" s="37"/>
      <c r="AP613" s="37"/>
      <c r="AQ613" s="37"/>
      <c r="AR613" s="37"/>
      <c r="AS613" s="37"/>
      <c r="AT613" s="37"/>
      <c r="AU613" s="37"/>
      <c r="AV613" s="37"/>
      <c r="AW613" s="37"/>
      <c r="AX613" s="37"/>
      <c r="AY613" s="37"/>
      <c r="AZ613" s="37"/>
    </row>
    <row r="614"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  <c r="AG614" s="37"/>
      <c r="AH614" s="37"/>
      <c r="AI614" s="37"/>
      <c r="AJ614" s="37"/>
      <c r="AK614" s="37"/>
      <c r="AL614" s="37"/>
      <c r="AM614" s="37"/>
      <c r="AN614" s="37"/>
      <c r="AO614" s="37"/>
      <c r="AP614" s="37"/>
      <c r="AQ614" s="37"/>
      <c r="AR614" s="37"/>
      <c r="AS614" s="37"/>
      <c r="AT614" s="37"/>
      <c r="AU614" s="37"/>
      <c r="AV614" s="37"/>
      <c r="AW614" s="37"/>
      <c r="AX614" s="37"/>
      <c r="AY614" s="37"/>
      <c r="AZ614" s="37"/>
    </row>
    <row r="615"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  <c r="AH615" s="37"/>
      <c r="AI615" s="37"/>
      <c r="AJ615" s="37"/>
      <c r="AK615" s="37"/>
      <c r="AL615" s="37"/>
      <c r="AM615" s="37"/>
      <c r="AN615" s="37"/>
      <c r="AO615" s="37"/>
      <c r="AP615" s="37"/>
      <c r="AQ615" s="37"/>
      <c r="AR615" s="37"/>
      <c r="AS615" s="37"/>
      <c r="AT615" s="37"/>
      <c r="AU615" s="37"/>
      <c r="AV615" s="37"/>
      <c r="AW615" s="37"/>
      <c r="AX615" s="37"/>
      <c r="AY615" s="37"/>
      <c r="AZ615" s="37"/>
    </row>
    <row r="616"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  <c r="AH616" s="37"/>
      <c r="AI616" s="37"/>
      <c r="AJ616" s="37"/>
      <c r="AK616" s="37"/>
      <c r="AL616" s="37"/>
      <c r="AM616" s="37"/>
      <c r="AN616" s="37"/>
      <c r="AO616" s="37"/>
      <c r="AP616" s="37"/>
      <c r="AQ616" s="37"/>
      <c r="AR616" s="37"/>
      <c r="AS616" s="37"/>
      <c r="AT616" s="37"/>
      <c r="AU616" s="37"/>
      <c r="AV616" s="37"/>
      <c r="AW616" s="37"/>
      <c r="AX616" s="37"/>
      <c r="AY616" s="37"/>
      <c r="AZ616" s="37"/>
    </row>
    <row r="617"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  <c r="AH617" s="37"/>
      <c r="AI617" s="37"/>
      <c r="AJ617" s="37"/>
      <c r="AK617" s="37"/>
      <c r="AL617" s="37"/>
      <c r="AM617" s="37"/>
      <c r="AN617" s="37"/>
      <c r="AO617" s="37"/>
      <c r="AP617" s="37"/>
      <c r="AQ617" s="37"/>
      <c r="AR617" s="37"/>
      <c r="AS617" s="37"/>
      <c r="AT617" s="37"/>
      <c r="AU617" s="37"/>
      <c r="AV617" s="37"/>
      <c r="AW617" s="37"/>
      <c r="AX617" s="37"/>
      <c r="AY617" s="37"/>
      <c r="AZ617" s="37"/>
    </row>
    <row r="618"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  <c r="AH618" s="37"/>
      <c r="AI618" s="37"/>
      <c r="AJ618" s="37"/>
      <c r="AK618" s="37"/>
      <c r="AL618" s="37"/>
      <c r="AM618" s="37"/>
      <c r="AN618" s="37"/>
      <c r="AO618" s="37"/>
      <c r="AP618" s="37"/>
      <c r="AQ618" s="37"/>
      <c r="AR618" s="37"/>
      <c r="AS618" s="37"/>
      <c r="AT618" s="37"/>
      <c r="AU618" s="37"/>
      <c r="AV618" s="37"/>
      <c r="AW618" s="37"/>
      <c r="AX618" s="37"/>
      <c r="AY618" s="37"/>
      <c r="AZ618" s="37"/>
    </row>
    <row r="619"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  <c r="AG619" s="37"/>
      <c r="AH619" s="37"/>
      <c r="AI619" s="37"/>
      <c r="AJ619" s="37"/>
      <c r="AK619" s="37"/>
      <c r="AL619" s="37"/>
      <c r="AM619" s="37"/>
      <c r="AN619" s="37"/>
      <c r="AO619" s="37"/>
      <c r="AP619" s="37"/>
      <c r="AQ619" s="37"/>
      <c r="AR619" s="37"/>
      <c r="AS619" s="37"/>
      <c r="AT619" s="37"/>
      <c r="AU619" s="37"/>
      <c r="AV619" s="37"/>
      <c r="AW619" s="37"/>
      <c r="AX619" s="37"/>
      <c r="AY619" s="37"/>
      <c r="AZ619" s="37"/>
    </row>
    <row r="620"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  <c r="AH620" s="37"/>
      <c r="AI620" s="37"/>
      <c r="AJ620" s="37"/>
      <c r="AK620" s="37"/>
      <c r="AL620" s="37"/>
      <c r="AM620" s="37"/>
      <c r="AN620" s="37"/>
      <c r="AO620" s="37"/>
      <c r="AP620" s="37"/>
      <c r="AQ620" s="37"/>
      <c r="AR620" s="37"/>
      <c r="AS620" s="37"/>
      <c r="AT620" s="37"/>
      <c r="AU620" s="37"/>
      <c r="AV620" s="37"/>
      <c r="AW620" s="37"/>
      <c r="AX620" s="37"/>
      <c r="AY620" s="37"/>
      <c r="AZ620" s="37"/>
    </row>
    <row r="621"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  <c r="AG621" s="37"/>
      <c r="AH621" s="37"/>
      <c r="AI621" s="37"/>
      <c r="AJ621" s="37"/>
      <c r="AK621" s="37"/>
      <c r="AL621" s="37"/>
      <c r="AM621" s="37"/>
      <c r="AN621" s="37"/>
      <c r="AO621" s="37"/>
      <c r="AP621" s="37"/>
      <c r="AQ621" s="37"/>
      <c r="AR621" s="37"/>
      <c r="AS621" s="37"/>
      <c r="AT621" s="37"/>
      <c r="AU621" s="37"/>
      <c r="AV621" s="37"/>
      <c r="AW621" s="37"/>
      <c r="AX621" s="37"/>
      <c r="AY621" s="37"/>
      <c r="AZ621" s="37"/>
    </row>
    <row r="622"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  <c r="AG622" s="37"/>
      <c r="AH622" s="37"/>
      <c r="AI622" s="37"/>
      <c r="AJ622" s="37"/>
      <c r="AK622" s="37"/>
      <c r="AL622" s="37"/>
      <c r="AM622" s="37"/>
      <c r="AN622" s="37"/>
      <c r="AO622" s="37"/>
      <c r="AP622" s="37"/>
      <c r="AQ622" s="37"/>
      <c r="AR622" s="37"/>
      <c r="AS622" s="37"/>
      <c r="AT622" s="37"/>
      <c r="AU622" s="37"/>
      <c r="AV622" s="37"/>
      <c r="AW622" s="37"/>
      <c r="AX622" s="37"/>
      <c r="AY622" s="37"/>
      <c r="AZ622" s="37"/>
    </row>
    <row r="623"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  <c r="AG623" s="37"/>
      <c r="AH623" s="37"/>
      <c r="AI623" s="37"/>
      <c r="AJ623" s="37"/>
      <c r="AK623" s="37"/>
      <c r="AL623" s="37"/>
      <c r="AM623" s="37"/>
      <c r="AN623" s="37"/>
      <c r="AO623" s="37"/>
      <c r="AP623" s="37"/>
      <c r="AQ623" s="37"/>
      <c r="AR623" s="37"/>
      <c r="AS623" s="37"/>
      <c r="AT623" s="37"/>
      <c r="AU623" s="37"/>
      <c r="AV623" s="37"/>
      <c r="AW623" s="37"/>
      <c r="AX623" s="37"/>
      <c r="AY623" s="37"/>
      <c r="AZ623" s="37"/>
    </row>
    <row r="624"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  <c r="AG624" s="37"/>
      <c r="AH624" s="37"/>
      <c r="AI624" s="37"/>
      <c r="AJ624" s="37"/>
      <c r="AK624" s="37"/>
      <c r="AL624" s="37"/>
      <c r="AM624" s="37"/>
      <c r="AN624" s="37"/>
      <c r="AO624" s="37"/>
      <c r="AP624" s="37"/>
      <c r="AQ624" s="37"/>
      <c r="AR624" s="37"/>
      <c r="AS624" s="37"/>
      <c r="AT624" s="37"/>
      <c r="AU624" s="37"/>
      <c r="AV624" s="37"/>
      <c r="AW624" s="37"/>
      <c r="AX624" s="37"/>
      <c r="AY624" s="37"/>
      <c r="AZ624" s="37"/>
    </row>
    <row r="625"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  <c r="AG625" s="37"/>
      <c r="AH625" s="37"/>
      <c r="AI625" s="37"/>
      <c r="AJ625" s="37"/>
      <c r="AK625" s="37"/>
      <c r="AL625" s="37"/>
      <c r="AM625" s="37"/>
      <c r="AN625" s="37"/>
      <c r="AO625" s="37"/>
      <c r="AP625" s="37"/>
      <c r="AQ625" s="37"/>
      <c r="AR625" s="37"/>
      <c r="AS625" s="37"/>
      <c r="AT625" s="37"/>
      <c r="AU625" s="37"/>
      <c r="AV625" s="37"/>
      <c r="AW625" s="37"/>
      <c r="AX625" s="37"/>
      <c r="AY625" s="37"/>
      <c r="AZ625" s="37"/>
    </row>
    <row r="626"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  <c r="AG626" s="37"/>
      <c r="AH626" s="37"/>
      <c r="AI626" s="37"/>
      <c r="AJ626" s="37"/>
      <c r="AK626" s="37"/>
      <c r="AL626" s="37"/>
      <c r="AM626" s="37"/>
      <c r="AN626" s="37"/>
      <c r="AO626" s="37"/>
      <c r="AP626" s="37"/>
      <c r="AQ626" s="37"/>
      <c r="AR626" s="37"/>
      <c r="AS626" s="37"/>
      <c r="AT626" s="37"/>
      <c r="AU626" s="37"/>
      <c r="AV626" s="37"/>
      <c r="AW626" s="37"/>
      <c r="AX626" s="37"/>
      <c r="AY626" s="37"/>
      <c r="AZ626" s="37"/>
    </row>
    <row r="627"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  <c r="AG627" s="37"/>
      <c r="AH627" s="37"/>
      <c r="AI627" s="37"/>
      <c r="AJ627" s="37"/>
      <c r="AK627" s="37"/>
      <c r="AL627" s="37"/>
      <c r="AM627" s="37"/>
      <c r="AN627" s="37"/>
      <c r="AO627" s="37"/>
      <c r="AP627" s="37"/>
      <c r="AQ627" s="37"/>
      <c r="AR627" s="37"/>
      <c r="AS627" s="37"/>
      <c r="AT627" s="37"/>
      <c r="AU627" s="37"/>
      <c r="AV627" s="37"/>
      <c r="AW627" s="37"/>
      <c r="AX627" s="37"/>
      <c r="AY627" s="37"/>
      <c r="AZ627" s="37"/>
    </row>
    <row r="628"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  <c r="AH628" s="37"/>
      <c r="AI628" s="37"/>
      <c r="AJ628" s="37"/>
      <c r="AK628" s="37"/>
      <c r="AL628" s="37"/>
      <c r="AM628" s="37"/>
      <c r="AN628" s="37"/>
      <c r="AO628" s="37"/>
      <c r="AP628" s="37"/>
      <c r="AQ628" s="37"/>
      <c r="AR628" s="37"/>
      <c r="AS628" s="37"/>
      <c r="AT628" s="37"/>
      <c r="AU628" s="37"/>
      <c r="AV628" s="37"/>
      <c r="AW628" s="37"/>
      <c r="AX628" s="37"/>
      <c r="AY628" s="37"/>
      <c r="AZ628" s="37"/>
    </row>
    <row r="629"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  <c r="AG629" s="37"/>
      <c r="AH629" s="37"/>
      <c r="AI629" s="37"/>
      <c r="AJ629" s="37"/>
      <c r="AK629" s="37"/>
      <c r="AL629" s="37"/>
      <c r="AM629" s="37"/>
      <c r="AN629" s="37"/>
      <c r="AO629" s="37"/>
      <c r="AP629" s="37"/>
      <c r="AQ629" s="37"/>
      <c r="AR629" s="37"/>
      <c r="AS629" s="37"/>
      <c r="AT629" s="37"/>
      <c r="AU629" s="37"/>
      <c r="AV629" s="37"/>
      <c r="AW629" s="37"/>
      <c r="AX629" s="37"/>
      <c r="AY629" s="37"/>
      <c r="AZ629" s="37"/>
    </row>
    <row r="630"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  <c r="AG630" s="37"/>
      <c r="AH630" s="37"/>
      <c r="AI630" s="37"/>
      <c r="AJ630" s="37"/>
      <c r="AK630" s="37"/>
      <c r="AL630" s="37"/>
      <c r="AM630" s="37"/>
      <c r="AN630" s="37"/>
      <c r="AO630" s="37"/>
      <c r="AP630" s="37"/>
      <c r="AQ630" s="37"/>
      <c r="AR630" s="37"/>
      <c r="AS630" s="37"/>
      <c r="AT630" s="37"/>
      <c r="AU630" s="37"/>
      <c r="AV630" s="37"/>
      <c r="AW630" s="37"/>
      <c r="AX630" s="37"/>
      <c r="AY630" s="37"/>
      <c r="AZ630" s="37"/>
    </row>
    <row r="631"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  <c r="AH631" s="37"/>
      <c r="AI631" s="37"/>
      <c r="AJ631" s="37"/>
      <c r="AK631" s="37"/>
      <c r="AL631" s="37"/>
      <c r="AM631" s="37"/>
      <c r="AN631" s="37"/>
      <c r="AO631" s="37"/>
      <c r="AP631" s="37"/>
      <c r="AQ631" s="37"/>
      <c r="AR631" s="37"/>
      <c r="AS631" s="37"/>
      <c r="AT631" s="37"/>
      <c r="AU631" s="37"/>
      <c r="AV631" s="37"/>
      <c r="AW631" s="37"/>
      <c r="AX631" s="37"/>
      <c r="AY631" s="37"/>
      <c r="AZ631" s="37"/>
    </row>
    <row r="632"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  <c r="AH632" s="37"/>
      <c r="AI632" s="37"/>
      <c r="AJ632" s="37"/>
      <c r="AK632" s="37"/>
      <c r="AL632" s="37"/>
      <c r="AM632" s="37"/>
      <c r="AN632" s="37"/>
      <c r="AO632" s="37"/>
      <c r="AP632" s="37"/>
      <c r="AQ632" s="37"/>
      <c r="AR632" s="37"/>
      <c r="AS632" s="37"/>
      <c r="AT632" s="37"/>
      <c r="AU632" s="37"/>
      <c r="AV632" s="37"/>
      <c r="AW632" s="37"/>
      <c r="AX632" s="37"/>
      <c r="AY632" s="37"/>
      <c r="AZ632" s="37"/>
    </row>
    <row r="633"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  <c r="AK633" s="37"/>
      <c r="AL633" s="37"/>
      <c r="AM633" s="37"/>
      <c r="AN633" s="37"/>
      <c r="AO633" s="37"/>
      <c r="AP633" s="37"/>
      <c r="AQ633" s="37"/>
      <c r="AR633" s="37"/>
      <c r="AS633" s="37"/>
      <c r="AT633" s="37"/>
      <c r="AU633" s="37"/>
      <c r="AV633" s="37"/>
      <c r="AW633" s="37"/>
      <c r="AX633" s="37"/>
      <c r="AY633" s="37"/>
      <c r="AZ633" s="37"/>
    </row>
    <row r="634"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  <c r="AG634" s="37"/>
      <c r="AH634" s="37"/>
      <c r="AI634" s="37"/>
      <c r="AJ634" s="37"/>
      <c r="AK634" s="37"/>
      <c r="AL634" s="37"/>
      <c r="AM634" s="37"/>
      <c r="AN634" s="37"/>
      <c r="AO634" s="37"/>
      <c r="AP634" s="37"/>
      <c r="AQ634" s="37"/>
      <c r="AR634" s="37"/>
      <c r="AS634" s="37"/>
      <c r="AT634" s="37"/>
      <c r="AU634" s="37"/>
      <c r="AV634" s="37"/>
      <c r="AW634" s="37"/>
      <c r="AX634" s="37"/>
      <c r="AY634" s="37"/>
      <c r="AZ634" s="37"/>
    </row>
    <row r="635"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  <c r="AH635" s="37"/>
      <c r="AI635" s="37"/>
      <c r="AJ635" s="37"/>
      <c r="AK635" s="37"/>
      <c r="AL635" s="37"/>
      <c r="AM635" s="37"/>
      <c r="AN635" s="37"/>
      <c r="AO635" s="37"/>
      <c r="AP635" s="37"/>
      <c r="AQ635" s="37"/>
      <c r="AR635" s="37"/>
      <c r="AS635" s="37"/>
      <c r="AT635" s="37"/>
      <c r="AU635" s="37"/>
      <c r="AV635" s="37"/>
      <c r="AW635" s="37"/>
      <c r="AX635" s="37"/>
      <c r="AY635" s="37"/>
      <c r="AZ635" s="37"/>
    </row>
    <row r="636"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  <c r="AG636" s="37"/>
      <c r="AH636" s="37"/>
      <c r="AI636" s="37"/>
      <c r="AJ636" s="37"/>
      <c r="AK636" s="37"/>
      <c r="AL636" s="37"/>
      <c r="AM636" s="37"/>
      <c r="AN636" s="37"/>
      <c r="AO636" s="37"/>
      <c r="AP636" s="37"/>
      <c r="AQ636" s="37"/>
      <c r="AR636" s="37"/>
      <c r="AS636" s="37"/>
      <c r="AT636" s="37"/>
      <c r="AU636" s="37"/>
      <c r="AV636" s="37"/>
      <c r="AW636" s="37"/>
      <c r="AX636" s="37"/>
      <c r="AY636" s="37"/>
      <c r="AZ636" s="37"/>
    </row>
    <row r="637"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  <c r="AH637" s="37"/>
      <c r="AI637" s="37"/>
      <c r="AJ637" s="37"/>
      <c r="AK637" s="37"/>
      <c r="AL637" s="37"/>
      <c r="AM637" s="37"/>
      <c r="AN637" s="37"/>
      <c r="AO637" s="37"/>
      <c r="AP637" s="37"/>
      <c r="AQ637" s="37"/>
      <c r="AR637" s="37"/>
      <c r="AS637" s="37"/>
      <c r="AT637" s="37"/>
      <c r="AU637" s="37"/>
      <c r="AV637" s="37"/>
      <c r="AW637" s="37"/>
      <c r="AX637" s="37"/>
      <c r="AY637" s="37"/>
      <c r="AZ637" s="37"/>
    </row>
    <row r="638"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  <c r="AH638" s="37"/>
      <c r="AI638" s="37"/>
      <c r="AJ638" s="37"/>
      <c r="AK638" s="37"/>
      <c r="AL638" s="37"/>
      <c r="AM638" s="37"/>
      <c r="AN638" s="37"/>
      <c r="AO638" s="37"/>
      <c r="AP638" s="37"/>
      <c r="AQ638" s="37"/>
      <c r="AR638" s="37"/>
      <c r="AS638" s="37"/>
      <c r="AT638" s="37"/>
      <c r="AU638" s="37"/>
      <c r="AV638" s="37"/>
      <c r="AW638" s="37"/>
      <c r="AX638" s="37"/>
      <c r="AY638" s="37"/>
      <c r="AZ638" s="37"/>
    </row>
    <row r="639"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  <c r="AH639" s="37"/>
      <c r="AI639" s="37"/>
      <c r="AJ639" s="37"/>
      <c r="AK639" s="37"/>
      <c r="AL639" s="37"/>
      <c r="AM639" s="37"/>
      <c r="AN639" s="37"/>
      <c r="AO639" s="37"/>
      <c r="AP639" s="37"/>
      <c r="AQ639" s="37"/>
      <c r="AR639" s="37"/>
      <c r="AS639" s="37"/>
      <c r="AT639" s="37"/>
      <c r="AU639" s="37"/>
      <c r="AV639" s="37"/>
      <c r="AW639" s="37"/>
      <c r="AX639" s="37"/>
      <c r="AY639" s="37"/>
      <c r="AZ639" s="37"/>
    </row>
    <row r="640"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  <c r="AH640" s="37"/>
      <c r="AI640" s="37"/>
      <c r="AJ640" s="37"/>
      <c r="AK640" s="37"/>
      <c r="AL640" s="37"/>
      <c r="AM640" s="37"/>
      <c r="AN640" s="37"/>
      <c r="AO640" s="37"/>
      <c r="AP640" s="37"/>
      <c r="AQ640" s="37"/>
      <c r="AR640" s="37"/>
      <c r="AS640" s="37"/>
      <c r="AT640" s="37"/>
      <c r="AU640" s="37"/>
      <c r="AV640" s="37"/>
      <c r="AW640" s="37"/>
      <c r="AX640" s="37"/>
      <c r="AY640" s="37"/>
      <c r="AZ640" s="37"/>
    </row>
    <row r="641"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  <c r="AI641" s="37"/>
      <c r="AJ641" s="37"/>
      <c r="AK641" s="37"/>
      <c r="AL641" s="37"/>
      <c r="AM641" s="37"/>
      <c r="AN641" s="37"/>
      <c r="AO641" s="37"/>
      <c r="AP641" s="37"/>
      <c r="AQ641" s="37"/>
      <c r="AR641" s="37"/>
      <c r="AS641" s="37"/>
      <c r="AT641" s="37"/>
      <c r="AU641" s="37"/>
      <c r="AV641" s="37"/>
      <c r="AW641" s="37"/>
      <c r="AX641" s="37"/>
      <c r="AY641" s="37"/>
      <c r="AZ641" s="37"/>
    </row>
    <row r="642"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  <c r="AH642" s="37"/>
      <c r="AI642" s="37"/>
      <c r="AJ642" s="37"/>
      <c r="AK642" s="37"/>
      <c r="AL642" s="37"/>
      <c r="AM642" s="37"/>
      <c r="AN642" s="37"/>
      <c r="AO642" s="37"/>
      <c r="AP642" s="37"/>
      <c r="AQ642" s="37"/>
      <c r="AR642" s="37"/>
      <c r="AS642" s="37"/>
      <c r="AT642" s="37"/>
      <c r="AU642" s="37"/>
      <c r="AV642" s="37"/>
      <c r="AW642" s="37"/>
      <c r="AX642" s="37"/>
      <c r="AY642" s="37"/>
      <c r="AZ642" s="37"/>
    </row>
    <row r="643"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  <c r="AH643" s="37"/>
      <c r="AI643" s="37"/>
      <c r="AJ643" s="37"/>
      <c r="AK643" s="37"/>
      <c r="AL643" s="37"/>
      <c r="AM643" s="37"/>
      <c r="AN643" s="37"/>
      <c r="AO643" s="37"/>
      <c r="AP643" s="37"/>
      <c r="AQ643" s="37"/>
      <c r="AR643" s="37"/>
      <c r="AS643" s="37"/>
      <c r="AT643" s="37"/>
      <c r="AU643" s="37"/>
      <c r="AV643" s="37"/>
      <c r="AW643" s="37"/>
      <c r="AX643" s="37"/>
      <c r="AY643" s="37"/>
      <c r="AZ643" s="37"/>
    </row>
    <row r="644"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  <c r="AH644" s="37"/>
      <c r="AI644" s="37"/>
      <c r="AJ644" s="37"/>
      <c r="AK644" s="37"/>
      <c r="AL644" s="37"/>
      <c r="AM644" s="37"/>
      <c r="AN644" s="37"/>
      <c r="AO644" s="37"/>
      <c r="AP644" s="37"/>
      <c r="AQ644" s="37"/>
      <c r="AR644" s="37"/>
      <c r="AS644" s="37"/>
      <c r="AT644" s="37"/>
      <c r="AU644" s="37"/>
      <c r="AV644" s="37"/>
      <c r="AW644" s="37"/>
      <c r="AX644" s="37"/>
      <c r="AY644" s="37"/>
      <c r="AZ644" s="37"/>
    </row>
    <row r="645"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  <c r="AH645" s="37"/>
      <c r="AI645" s="37"/>
      <c r="AJ645" s="37"/>
      <c r="AK645" s="37"/>
      <c r="AL645" s="37"/>
      <c r="AM645" s="37"/>
      <c r="AN645" s="37"/>
      <c r="AO645" s="37"/>
      <c r="AP645" s="37"/>
      <c r="AQ645" s="37"/>
      <c r="AR645" s="37"/>
      <c r="AS645" s="37"/>
      <c r="AT645" s="37"/>
      <c r="AU645" s="37"/>
      <c r="AV645" s="37"/>
      <c r="AW645" s="37"/>
      <c r="AX645" s="37"/>
      <c r="AY645" s="37"/>
      <c r="AZ645" s="37"/>
    </row>
    <row r="646"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  <c r="AG646" s="37"/>
      <c r="AH646" s="37"/>
      <c r="AI646" s="37"/>
      <c r="AJ646" s="37"/>
      <c r="AK646" s="37"/>
      <c r="AL646" s="37"/>
      <c r="AM646" s="37"/>
      <c r="AN646" s="37"/>
      <c r="AO646" s="37"/>
      <c r="AP646" s="37"/>
      <c r="AQ646" s="37"/>
      <c r="AR646" s="37"/>
      <c r="AS646" s="37"/>
      <c r="AT646" s="37"/>
      <c r="AU646" s="37"/>
      <c r="AV646" s="37"/>
      <c r="AW646" s="37"/>
      <c r="AX646" s="37"/>
      <c r="AY646" s="37"/>
      <c r="AZ646" s="37"/>
    </row>
    <row r="647"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  <c r="AH647" s="37"/>
      <c r="AI647" s="37"/>
      <c r="AJ647" s="37"/>
      <c r="AK647" s="37"/>
      <c r="AL647" s="37"/>
      <c r="AM647" s="37"/>
      <c r="AN647" s="37"/>
      <c r="AO647" s="37"/>
      <c r="AP647" s="37"/>
      <c r="AQ647" s="37"/>
      <c r="AR647" s="37"/>
      <c r="AS647" s="37"/>
      <c r="AT647" s="37"/>
      <c r="AU647" s="37"/>
      <c r="AV647" s="37"/>
      <c r="AW647" s="37"/>
      <c r="AX647" s="37"/>
      <c r="AY647" s="37"/>
      <c r="AZ647" s="37"/>
    </row>
    <row r="648"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  <c r="AH648" s="37"/>
      <c r="AI648" s="37"/>
      <c r="AJ648" s="37"/>
      <c r="AK648" s="37"/>
      <c r="AL648" s="37"/>
      <c r="AM648" s="37"/>
      <c r="AN648" s="37"/>
      <c r="AO648" s="37"/>
      <c r="AP648" s="37"/>
      <c r="AQ648" s="37"/>
      <c r="AR648" s="37"/>
      <c r="AS648" s="37"/>
      <c r="AT648" s="37"/>
      <c r="AU648" s="37"/>
      <c r="AV648" s="37"/>
      <c r="AW648" s="37"/>
      <c r="AX648" s="37"/>
      <c r="AY648" s="37"/>
      <c r="AZ648" s="37"/>
    </row>
    <row r="649"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  <c r="AH649" s="37"/>
      <c r="AI649" s="37"/>
      <c r="AJ649" s="37"/>
      <c r="AK649" s="37"/>
      <c r="AL649" s="37"/>
      <c r="AM649" s="37"/>
      <c r="AN649" s="37"/>
      <c r="AO649" s="37"/>
      <c r="AP649" s="37"/>
      <c r="AQ649" s="37"/>
      <c r="AR649" s="37"/>
      <c r="AS649" s="37"/>
      <c r="AT649" s="37"/>
      <c r="AU649" s="37"/>
      <c r="AV649" s="37"/>
      <c r="AW649" s="37"/>
      <c r="AX649" s="37"/>
      <c r="AY649" s="37"/>
      <c r="AZ649" s="37"/>
    </row>
    <row r="650"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  <c r="AH650" s="37"/>
      <c r="AI650" s="37"/>
      <c r="AJ650" s="37"/>
      <c r="AK650" s="37"/>
      <c r="AL650" s="37"/>
      <c r="AM650" s="37"/>
      <c r="AN650" s="37"/>
      <c r="AO650" s="37"/>
      <c r="AP650" s="37"/>
      <c r="AQ650" s="37"/>
      <c r="AR650" s="37"/>
      <c r="AS650" s="37"/>
      <c r="AT650" s="37"/>
      <c r="AU650" s="37"/>
      <c r="AV650" s="37"/>
      <c r="AW650" s="37"/>
      <c r="AX650" s="37"/>
      <c r="AY650" s="37"/>
      <c r="AZ650" s="37"/>
    </row>
    <row r="651"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  <c r="AH651" s="37"/>
      <c r="AI651" s="37"/>
      <c r="AJ651" s="37"/>
      <c r="AK651" s="37"/>
      <c r="AL651" s="37"/>
      <c r="AM651" s="37"/>
      <c r="AN651" s="37"/>
      <c r="AO651" s="37"/>
      <c r="AP651" s="37"/>
      <c r="AQ651" s="37"/>
      <c r="AR651" s="37"/>
      <c r="AS651" s="37"/>
      <c r="AT651" s="37"/>
      <c r="AU651" s="37"/>
      <c r="AV651" s="37"/>
      <c r="AW651" s="37"/>
      <c r="AX651" s="37"/>
      <c r="AY651" s="37"/>
      <c r="AZ651" s="37"/>
    </row>
    <row r="652"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  <c r="AG652" s="37"/>
      <c r="AH652" s="37"/>
      <c r="AI652" s="37"/>
      <c r="AJ652" s="37"/>
      <c r="AK652" s="37"/>
      <c r="AL652" s="37"/>
      <c r="AM652" s="37"/>
      <c r="AN652" s="37"/>
      <c r="AO652" s="37"/>
      <c r="AP652" s="37"/>
      <c r="AQ652" s="37"/>
      <c r="AR652" s="37"/>
      <c r="AS652" s="37"/>
      <c r="AT652" s="37"/>
      <c r="AU652" s="37"/>
      <c r="AV652" s="37"/>
      <c r="AW652" s="37"/>
      <c r="AX652" s="37"/>
      <c r="AY652" s="37"/>
      <c r="AZ652" s="37"/>
    </row>
    <row r="653"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  <c r="AG653" s="37"/>
      <c r="AH653" s="37"/>
      <c r="AI653" s="37"/>
      <c r="AJ653" s="37"/>
      <c r="AK653" s="37"/>
      <c r="AL653" s="37"/>
      <c r="AM653" s="37"/>
      <c r="AN653" s="37"/>
      <c r="AO653" s="37"/>
      <c r="AP653" s="37"/>
      <c r="AQ653" s="37"/>
      <c r="AR653" s="37"/>
      <c r="AS653" s="37"/>
      <c r="AT653" s="37"/>
      <c r="AU653" s="37"/>
      <c r="AV653" s="37"/>
      <c r="AW653" s="37"/>
      <c r="AX653" s="37"/>
      <c r="AY653" s="37"/>
      <c r="AZ653" s="37"/>
    </row>
    <row r="654"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  <c r="AG654" s="37"/>
      <c r="AH654" s="37"/>
      <c r="AI654" s="37"/>
      <c r="AJ654" s="37"/>
      <c r="AK654" s="37"/>
      <c r="AL654" s="37"/>
      <c r="AM654" s="37"/>
      <c r="AN654" s="37"/>
      <c r="AO654" s="37"/>
      <c r="AP654" s="37"/>
      <c r="AQ654" s="37"/>
      <c r="AR654" s="37"/>
      <c r="AS654" s="37"/>
      <c r="AT654" s="37"/>
      <c r="AU654" s="37"/>
      <c r="AV654" s="37"/>
      <c r="AW654" s="37"/>
      <c r="AX654" s="37"/>
      <c r="AY654" s="37"/>
      <c r="AZ654" s="37"/>
    </row>
    <row r="655"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  <c r="AG655" s="37"/>
      <c r="AH655" s="37"/>
      <c r="AI655" s="37"/>
      <c r="AJ655" s="37"/>
      <c r="AK655" s="37"/>
      <c r="AL655" s="37"/>
      <c r="AM655" s="37"/>
      <c r="AN655" s="37"/>
      <c r="AO655" s="37"/>
      <c r="AP655" s="37"/>
      <c r="AQ655" s="37"/>
      <c r="AR655" s="37"/>
      <c r="AS655" s="37"/>
      <c r="AT655" s="37"/>
      <c r="AU655" s="37"/>
      <c r="AV655" s="37"/>
      <c r="AW655" s="37"/>
      <c r="AX655" s="37"/>
      <c r="AY655" s="37"/>
      <c r="AZ655" s="37"/>
    </row>
    <row r="656"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  <c r="AG656" s="37"/>
      <c r="AH656" s="37"/>
      <c r="AI656" s="37"/>
      <c r="AJ656" s="37"/>
      <c r="AK656" s="37"/>
      <c r="AL656" s="37"/>
      <c r="AM656" s="37"/>
      <c r="AN656" s="37"/>
      <c r="AO656" s="37"/>
      <c r="AP656" s="37"/>
      <c r="AQ656" s="37"/>
      <c r="AR656" s="37"/>
      <c r="AS656" s="37"/>
      <c r="AT656" s="37"/>
      <c r="AU656" s="37"/>
      <c r="AV656" s="37"/>
      <c r="AW656" s="37"/>
      <c r="AX656" s="37"/>
      <c r="AY656" s="37"/>
      <c r="AZ656" s="37"/>
    </row>
    <row r="657"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  <c r="AH657" s="37"/>
      <c r="AI657" s="37"/>
      <c r="AJ657" s="37"/>
      <c r="AK657" s="37"/>
      <c r="AL657" s="37"/>
      <c r="AM657" s="37"/>
      <c r="AN657" s="37"/>
      <c r="AO657" s="37"/>
      <c r="AP657" s="37"/>
      <c r="AQ657" s="37"/>
      <c r="AR657" s="37"/>
      <c r="AS657" s="37"/>
      <c r="AT657" s="37"/>
      <c r="AU657" s="37"/>
      <c r="AV657" s="37"/>
      <c r="AW657" s="37"/>
      <c r="AX657" s="37"/>
      <c r="AY657" s="37"/>
      <c r="AZ657" s="37"/>
    </row>
    <row r="658"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  <c r="AG658" s="37"/>
      <c r="AH658" s="37"/>
      <c r="AI658" s="37"/>
      <c r="AJ658" s="37"/>
      <c r="AK658" s="37"/>
      <c r="AL658" s="37"/>
      <c r="AM658" s="37"/>
      <c r="AN658" s="37"/>
      <c r="AO658" s="37"/>
      <c r="AP658" s="37"/>
      <c r="AQ658" s="37"/>
      <c r="AR658" s="37"/>
      <c r="AS658" s="37"/>
      <c r="AT658" s="37"/>
      <c r="AU658" s="37"/>
      <c r="AV658" s="37"/>
      <c r="AW658" s="37"/>
      <c r="AX658" s="37"/>
      <c r="AY658" s="37"/>
      <c r="AZ658" s="37"/>
    </row>
    <row r="659"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  <c r="AG659" s="37"/>
      <c r="AH659" s="37"/>
      <c r="AI659" s="37"/>
      <c r="AJ659" s="37"/>
      <c r="AK659" s="37"/>
      <c r="AL659" s="37"/>
      <c r="AM659" s="37"/>
      <c r="AN659" s="37"/>
      <c r="AO659" s="37"/>
      <c r="AP659" s="37"/>
      <c r="AQ659" s="37"/>
      <c r="AR659" s="37"/>
      <c r="AS659" s="37"/>
      <c r="AT659" s="37"/>
      <c r="AU659" s="37"/>
      <c r="AV659" s="37"/>
      <c r="AW659" s="37"/>
      <c r="AX659" s="37"/>
      <c r="AY659" s="37"/>
      <c r="AZ659" s="37"/>
    </row>
    <row r="660"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  <c r="AG660" s="37"/>
      <c r="AH660" s="37"/>
      <c r="AI660" s="37"/>
      <c r="AJ660" s="37"/>
      <c r="AK660" s="37"/>
      <c r="AL660" s="37"/>
      <c r="AM660" s="37"/>
      <c r="AN660" s="37"/>
      <c r="AO660" s="37"/>
      <c r="AP660" s="37"/>
      <c r="AQ660" s="37"/>
      <c r="AR660" s="37"/>
      <c r="AS660" s="37"/>
      <c r="AT660" s="37"/>
      <c r="AU660" s="37"/>
      <c r="AV660" s="37"/>
      <c r="AW660" s="37"/>
      <c r="AX660" s="37"/>
      <c r="AY660" s="37"/>
      <c r="AZ660" s="37"/>
    </row>
    <row r="661"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  <c r="AG661" s="37"/>
      <c r="AH661" s="37"/>
      <c r="AI661" s="37"/>
      <c r="AJ661" s="37"/>
      <c r="AK661" s="37"/>
      <c r="AL661" s="37"/>
      <c r="AM661" s="37"/>
      <c r="AN661" s="37"/>
      <c r="AO661" s="37"/>
      <c r="AP661" s="37"/>
      <c r="AQ661" s="37"/>
      <c r="AR661" s="37"/>
      <c r="AS661" s="37"/>
      <c r="AT661" s="37"/>
      <c r="AU661" s="37"/>
      <c r="AV661" s="37"/>
      <c r="AW661" s="37"/>
      <c r="AX661" s="37"/>
      <c r="AY661" s="37"/>
      <c r="AZ661" s="37"/>
    </row>
    <row r="662"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  <c r="AH662" s="37"/>
      <c r="AI662" s="37"/>
      <c r="AJ662" s="37"/>
      <c r="AK662" s="37"/>
      <c r="AL662" s="37"/>
      <c r="AM662" s="37"/>
      <c r="AN662" s="37"/>
      <c r="AO662" s="37"/>
      <c r="AP662" s="37"/>
      <c r="AQ662" s="37"/>
      <c r="AR662" s="37"/>
      <c r="AS662" s="37"/>
      <c r="AT662" s="37"/>
      <c r="AU662" s="37"/>
      <c r="AV662" s="37"/>
      <c r="AW662" s="37"/>
      <c r="AX662" s="37"/>
      <c r="AY662" s="37"/>
      <c r="AZ662" s="37"/>
    </row>
    <row r="663"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  <c r="AG663" s="37"/>
      <c r="AH663" s="37"/>
      <c r="AI663" s="37"/>
      <c r="AJ663" s="37"/>
      <c r="AK663" s="37"/>
      <c r="AL663" s="37"/>
      <c r="AM663" s="37"/>
      <c r="AN663" s="37"/>
      <c r="AO663" s="37"/>
      <c r="AP663" s="37"/>
      <c r="AQ663" s="37"/>
      <c r="AR663" s="37"/>
      <c r="AS663" s="37"/>
      <c r="AT663" s="37"/>
      <c r="AU663" s="37"/>
      <c r="AV663" s="37"/>
      <c r="AW663" s="37"/>
      <c r="AX663" s="37"/>
      <c r="AY663" s="37"/>
      <c r="AZ663" s="37"/>
    </row>
    <row r="664"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  <c r="AH664" s="37"/>
      <c r="AI664" s="37"/>
      <c r="AJ664" s="37"/>
      <c r="AK664" s="37"/>
      <c r="AL664" s="37"/>
      <c r="AM664" s="37"/>
      <c r="AN664" s="37"/>
      <c r="AO664" s="37"/>
      <c r="AP664" s="37"/>
      <c r="AQ664" s="37"/>
      <c r="AR664" s="37"/>
      <c r="AS664" s="37"/>
      <c r="AT664" s="37"/>
      <c r="AU664" s="37"/>
      <c r="AV664" s="37"/>
      <c r="AW664" s="37"/>
      <c r="AX664" s="37"/>
      <c r="AY664" s="37"/>
      <c r="AZ664" s="37"/>
    </row>
    <row r="665"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  <c r="AG665" s="37"/>
      <c r="AH665" s="37"/>
      <c r="AI665" s="37"/>
      <c r="AJ665" s="37"/>
      <c r="AK665" s="37"/>
      <c r="AL665" s="37"/>
      <c r="AM665" s="37"/>
      <c r="AN665" s="37"/>
      <c r="AO665" s="37"/>
      <c r="AP665" s="37"/>
      <c r="AQ665" s="37"/>
      <c r="AR665" s="37"/>
      <c r="AS665" s="37"/>
      <c r="AT665" s="37"/>
      <c r="AU665" s="37"/>
      <c r="AV665" s="37"/>
      <c r="AW665" s="37"/>
      <c r="AX665" s="37"/>
      <c r="AY665" s="37"/>
      <c r="AZ665" s="37"/>
    </row>
    <row r="666"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  <c r="AG666" s="37"/>
      <c r="AH666" s="37"/>
      <c r="AI666" s="37"/>
      <c r="AJ666" s="37"/>
      <c r="AK666" s="37"/>
      <c r="AL666" s="37"/>
      <c r="AM666" s="37"/>
      <c r="AN666" s="37"/>
      <c r="AO666" s="37"/>
      <c r="AP666" s="37"/>
      <c r="AQ666" s="37"/>
      <c r="AR666" s="37"/>
      <c r="AS666" s="37"/>
      <c r="AT666" s="37"/>
      <c r="AU666" s="37"/>
      <c r="AV666" s="37"/>
      <c r="AW666" s="37"/>
      <c r="AX666" s="37"/>
      <c r="AY666" s="37"/>
      <c r="AZ666" s="37"/>
    </row>
    <row r="667"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  <c r="AG667" s="37"/>
      <c r="AH667" s="37"/>
      <c r="AI667" s="37"/>
      <c r="AJ667" s="37"/>
      <c r="AK667" s="37"/>
      <c r="AL667" s="37"/>
      <c r="AM667" s="37"/>
      <c r="AN667" s="37"/>
      <c r="AO667" s="37"/>
      <c r="AP667" s="37"/>
      <c r="AQ667" s="37"/>
      <c r="AR667" s="37"/>
      <c r="AS667" s="37"/>
      <c r="AT667" s="37"/>
      <c r="AU667" s="37"/>
      <c r="AV667" s="37"/>
      <c r="AW667" s="37"/>
      <c r="AX667" s="37"/>
      <c r="AY667" s="37"/>
      <c r="AZ667" s="37"/>
    </row>
    <row r="668"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  <c r="AH668" s="37"/>
      <c r="AI668" s="37"/>
      <c r="AJ668" s="37"/>
      <c r="AK668" s="37"/>
      <c r="AL668" s="37"/>
      <c r="AM668" s="37"/>
      <c r="AN668" s="37"/>
      <c r="AO668" s="37"/>
      <c r="AP668" s="37"/>
      <c r="AQ668" s="37"/>
      <c r="AR668" s="37"/>
      <c r="AS668" s="37"/>
      <c r="AT668" s="37"/>
      <c r="AU668" s="37"/>
      <c r="AV668" s="37"/>
      <c r="AW668" s="37"/>
      <c r="AX668" s="37"/>
      <c r="AY668" s="37"/>
      <c r="AZ668" s="37"/>
    </row>
    <row r="669"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  <c r="AH669" s="37"/>
      <c r="AI669" s="37"/>
      <c r="AJ669" s="37"/>
      <c r="AK669" s="37"/>
      <c r="AL669" s="37"/>
      <c r="AM669" s="37"/>
      <c r="AN669" s="37"/>
      <c r="AO669" s="37"/>
      <c r="AP669" s="37"/>
      <c r="AQ669" s="37"/>
      <c r="AR669" s="37"/>
      <c r="AS669" s="37"/>
      <c r="AT669" s="37"/>
      <c r="AU669" s="37"/>
      <c r="AV669" s="37"/>
      <c r="AW669" s="37"/>
      <c r="AX669" s="37"/>
      <c r="AY669" s="37"/>
      <c r="AZ669" s="37"/>
    </row>
    <row r="670"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  <c r="AG670" s="37"/>
      <c r="AH670" s="37"/>
      <c r="AI670" s="37"/>
      <c r="AJ670" s="37"/>
      <c r="AK670" s="37"/>
      <c r="AL670" s="37"/>
      <c r="AM670" s="37"/>
      <c r="AN670" s="37"/>
      <c r="AO670" s="37"/>
      <c r="AP670" s="37"/>
      <c r="AQ670" s="37"/>
      <c r="AR670" s="37"/>
      <c r="AS670" s="37"/>
      <c r="AT670" s="37"/>
      <c r="AU670" s="37"/>
      <c r="AV670" s="37"/>
      <c r="AW670" s="37"/>
      <c r="AX670" s="37"/>
      <c r="AY670" s="37"/>
      <c r="AZ670" s="37"/>
    </row>
    <row r="671"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  <c r="AH671" s="37"/>
      <c r="AI671" s="37"/>
      <c r="AJ671" s="37"/>
      <c r="AK671" s="37"/>
      <c r="AL671" s="37"/>
      <c r="AM671" s="37"/>
      <c r="AN671" s="37"/>
      <c r="AO671" s="37"/>
      <c r="AP671" s="37"/>
      <c r="AQ671" s="37"/>
      <c r="AR671" s="37"/>
      <c r="AS671" s="37"/>
      <c r="AT671" s="37"/>
      <c r="AU671" s="37"/>
      <c r="AV671" s="37"/>
      <c r="AW671" s="37"/>
      <c r="AX671" s="37"/>
      <c r="AY671" s="37"/>
      <c r="AZ671" s="37"/>
    </row>
    <row r="672"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  <c r="AH672" s="37"/>
      <c r="AI672" s="37"/>
      <c r="AJ672" s="37"/>
      <c r="AK672" s="37"/>
      <c r="AL672" s="37"/>
      <c r="AM672" s="37"/>
      <c r="AN672" s="37"/>
      <c r="AO672" s="37"/>
      <c r="AP672" s="37"/>
      <c r="AQ672" s="37"/>
      <c r="AR672" s="37"/>
      <c r="AS672" s="37"/>
      <c r="AT672" s="37"/>
      <c r="AU672" s="37"/>
      <c r="AV672" s="37"/>
      <c r="AW672" s="37"/>
      <c r="AX672" s="37"/>
      <c r="AY672" s="37"/>
      <c r="AZ672" s="37"/>
    </row>
    <row r="673"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  <c r="AH673" s="37"/>
      <c r="AI673" s="37"/>
      <c r="AJ673" s="37"/>
      <c r="AK673" s="37"/>
      <c r="AL673" s="37"/>
      <c r="AM673" s="37"/>
      <c r="AN673" s="37"/>
      <c r="AO673" s="37"/>
      <c r="AP673" s="37"/>
      <c r="AQ673" s="37"/>
      <c r="AR673" s="37"/>
      <c r="AS673" s="37"/>
      <c r="AT673" s="37"/>
      <c r="AU673" s="37"/>
      <c r="AV673" s="37"/>
      <c r="AW673" s="37"/>
      <c r="AX673" s="37"/>
      <c r="AY673" s="37"/>
      <c r="AZ673" s="37"/>
    </row>
    <row r="674"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  <c r="AH674" s="37"/>
      <c r="AI674" s="37"/>
      <c r="AJ674" s="37"/>
      <c r="AK674" s="37"/>
      <c r="AL674" s="37"/>
      <c r="AM674" s="37"/>
      <c r="AN674" s="37"/>
      <c r="AO674" s="37"/>
      <c r="AP674" s="37"/>
      <c r="AQ674" s="37"/>
      <c r="AR674" s="37"/>
      <c r="AS674" s="37"/>
      <c r="AT674" s="37"/>
      <c r="AU674" s="37"/>
      <c r="AV674" s="37"/>
      <c r="AW674" s="37"/>
      <c r="AX674" s="37"/>
      <c r="AY674" s="37"/>
      <c r="AZ674" s="37"/>
    </row>
    <row r="675"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  <c r="AH675" s="37"/>
      <c r="AI675" s="37"/>
      <c r="AJ675" s="37"/>
      <c r="AK675" s="37"/>
      <c r="AL675" s="37"/>
      <c r="AM675" s="37"/>
      <c r="AN675" s="37"/>
      <c r="AO675" s="37"/>
      <c r="AP675" s="37"/>
      <c r="AQ675" s="37"/>
      <c r="AR675" s="37"/>
      <c r="AS675" s="37"/>
      <c r="AT675" s="37"/>
      <c r="AU675" s="37"/>
      <c r="AV675" s="37"/>
      <c r="AW675" s="37"/>
      <c r="AX675" s="37"/>
      <c r="AY675" s="37"/>
      <c r="AZ675" s="37"/>
    </row>
    <row r="676"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  <c r="AH676" s="37"/>
      <c r="AI676" s="37"/>
      <c r="AJ676" s="37"/>
      <c r="AK676" s="37"/>
      <c r="AL676" s="37"/>
      <c r="AM676" s="37"/>
      <c r="AN676" s="37"/>
      <c r="AO676" s="37"/>
      <c r="AP676" s="37"/>
      <c r="AQ676" s="37"/>
      <c r="AR676" s="37"/>
      <c r="AS676" s="37"/>
      <c r="AT676" s="37"/>
      <c r="AU676" s="37"/>
      <c r="AV676" s="37"/>
      <c r="AW676" s="37"/>
      <c r="AX676" s="37"/>
      <c r="AY676" s="37"/>
      <c r="AZ676" s="37"/>
    </row>
    <row r="677"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  <c r="AH677" s="37"/>
      <c r="AI677" s="37"/>
      <c r="AJ677" s="37"/>
      <c r="AK677" s="37"/>
      <c r="AL677" s="37"/>
      <c r="AM677" s="37"/>
      <c r="AN677" s="37"/>
      <c r="AO677" s="37"/>
      <c r="AP677" s="37"/>
      <c r="AQ677" s="37"/>
      <c r="AR677" s="37"/>
      <c r="AS677" s="37"/>
      <c r="AT677" s="37"/>
      <c r="AU677" s="37"/>
      <c r="AV677" s="37"/>
      <c r="AW677" s="37"/>
      <c r="AX677" s="37"/>
      <c r="AY677" s="37"/>
      <c r="AZ677" s="37"/>
    </row>
    <row r="678"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  <c r="AH678" s="37"/>
      <c r="AI678" s="37"/>
      <c r="AJ678" s="37"/>
      <c r="AK678" s="37"/>
      <c r="AL678" s="37"/>
      <c r="AM678" s="37"/>
      <c r="AN678" s="37"/>
      <c r="AO678" s="37"/>
      <c r="AP678" s="37"/>
      <c r="AQ678" s="37"/>
      <c r="AR678" s="37"/>
      <c r="AS678" s="37"/>
      <c r="AT678" s="37"/>
      <c r="AU678" s="37"/>
      <c r="AV678" s="37"/>
      <c r="AW678" s="37"/>
      <c r="AX678" s="37"/>
      <c r="AY678" s="37"/>
      <c r="AZ678" s="37"/>
    </row>
    <row r="679"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  <c r="AH679" s="37"/>
      <c r="AI679" s="37"/>
      <c r="AJ679" s="37"/>
      <c r="AK679" s="37"/>
      <c r="AL679" s="37"/>
      <c r="AM679" s="37"/>
      <c r="AN679" s="37"/>
      <c r="AO679" s="37"/>
      <c r="AP679" s="37"/>
      <c r="AQ679" s="37"/>
      <c r="AR679" s="37"/>
      <c r="AS679" s="37"/>
      <c r="AT679" s="37"/>
      <c r="AU679" s="37"/>
      <c r="AV679" s="37"/>
      <c r="AW679" s="37"/>
      <c r="AX679" s="37"/>
      <c r="AY679" s="37"/>
      <c r="AZ679" s="37"/>
    </row>
    <row r="680"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  <c r="AH680" s="37"/>
      <c r="AI680" s="37"/>
      <c r="AJ680" s="37"/>
      <c r="AK680" s="37"/>
      <c r="AL680" s="37"/>
      <c r="AM680" s="37"/>
      <c r="AN680" s="37"/>
      <c r="AO680" s="37"/>
      <c r="AP680" s="37"/>
      <c r="AQ680" s="37"/>
      <c r="AR680" s="37"/>
      <c r="AS680" s="37"/>
      <c r="AT680" s="37"/>
      <c r="AU680" s="37"/>
      <c r="AV680" s="37"/>
      <c r="AW680" s="37"/>
      <c r="AX680" s="37"/>
      <c r="AY680" s="37"/>
      <c r="AZ680" s="37"/>
    </row>
    <row r="681"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  <c r="AH681" s="37"/>
      <c r="AI681" s="37"/>
      <c r="AJ681" s="37"/>
      <c r="AK681" s="37"/>
      <c r="AL681" s="37"/>
      <c r="AM681" s="37"/>
      <c r="AN681" s="37"/>
      <c r="AO681" s="37"/>
      <c r="AP681" s="37"/>
      <c r="AQ681" s="37"/>
      <c r="AR681" s="37"/>
      <c r="AS681" s="37"/>
      <c r="AT681" s="37"/>
      <c r="AU681" s="37"/>
      <c r="AV681" s="37"/>
      <c r="AW681" s="37"/>
      <c r="AX681" s="37"/>
      <c r="AY681" s="37"/>
      <c r="AZ681" s="37"/>
    </row>
    <row r="682"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  <c r="AH682" s="37"/>
      <c r="AI682" s="37"/>
      <c r="AJ682" s="37"/>
      <c r="AK682" s="37"/>
      <c r="AL682" s="37"/>
      <c r="AM682" s="37"/>
      <c r="AN682" s="37"/>
      <c r="AO682" s="37"/>
      <c r="AP682" s="37"/>
      <c r="AQ682" s="37"/>
      <c r="AR682" s="37"/>
      <c r="AS682" s="37"/>
      <c r="AT682" s="37"/>
      <c r="AU682" s="37"/>
      <c r="AV682" s="37"/>
      <c r="AW682" s="37"/>
      <c r="AX682" s="37"/>
      <c r="AY682" s="37"/>
      <c r="AZ682" s="37"/>
    </row>
    <row r="683"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  <c r="AH683" s="37"/>
      <c r="AI683" s="37"/>
      <c r="AJ683" s="37"/>
      <c r="AK683" s="37"/>
      <c r="AL683" s="37"/>
      <c r="AM683" s="37"/>
      <c r="AN683" s="37"/>
      <c r="AO683" s="37"/>
      <c r="AP683" s="37"/>
      <c r="AQ683" s="37"/>
      <c r="AR683" s="37"/>
      <c r="AS683" s="37"/>
      <c r="AT683" s="37"/>
      <c r="AU683" s="37"/>
      <c r="AV683" s="37"/>
      <c r="AW683" s="37"/>
      <c r="AX683" s="37"/>
      <c r="AY683" s="37"/>
      <c r="AZ683" s="37"/>
    </row>
    <row r="684"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  <c r="AH684" s="37"/>
      <c r="AI684" s="37"/>
      <c r="AJ684" s="37"/>
      <c r="AK684" s="37"/>
      <c r="AL684" s="37"/>
      <c r="AM684" s="37"/>
      <c r="AN684" s="37"/>
      <c r="AO684" s="37"/>
      <c r="AP684" s="37"/>
      <c r="AQ684" s="37"/>
      <c r="AR684" s="37"/>
      <c r="AS684" s="37"/>
      <c r="AT684" s="37"/>
      <c r="AU684" s="37"/>
      <c r="AV684" s="37"/>
      <c r="AW684" s="37"/>
      <c r="AX684" s="37"/>
      <c r="AY684" s="37"/>
      <c r="AZ684" s="37"/>
    </row>
    <row r="685"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  <c r="AG685" s="37"/>
      <c r="AH685" s="37"/>
      <c r="AI685" s="37"/>
      <c r="AJ685" s="37"/>
      <c r="AK685" s="37"/>
      <c r="AL685" s="37"/>
      <c r="AM685" s="37"/>
      <c r="AN685" s="37"/>
      <c r="AO685" s="37"/>
      <c r="AP685" s="37"/>
      <c r="AQ685" s="37"/>
      <c r="AR685" s="37"/>
      <c r="AS685" s="37"/>
      <c r="AT685" s="37"/>
      <c r="AU685" s="37"/>
      <c r="AV685" s="37"/>
      <c r="AW685" s="37"/>
      <c r="AX685" s="37"/>
      <c r="AY685" s="37"/>
      <c r="AZ685" s="37"/>
    </row>
    <row r="686"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  <c r="AH686" s="37"/>
      <c r="AI686" s="37"/>
      <c r="AJ686" s="37"/>
      <c r="AK686" s="37"/>
      <c r="AL686" s="37"/>
      <c r="AM686" s="37"/>
      <c r="AN686" s="37"/>
      <c r="AO686" s="37"/>
      <c r="AP686" s="37"/>
      <c r="AQ686" s="37"/>
      <c r="AR686" s="37"/>
      <c r="AS686" s="37"/>
      <c r="AT686" s="37"/>
      <c r="AU686" s="37"/>
      <c r="AV686" s="37"/>
      <c r="AW686" s="37"/>
      <c r="AX686" s="37"/>
      <c r="AY686" s="37"/>
      <c r="AZ686" s="37"/>
    </row>
    <row r="687"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  <c r="AG687" s="37"/>
      <c r="AH687" s="37"/>
      <c r="AI687" s="37"/>
      <c r="AJ687" s="37"/>
      <c r="AK687" s="37"/>
      <c r="AL687" s="37"/>
      <c r="AM687" s="37"/>
      <c r="AN687" s="37"/>
      <c r="AO687" s="37"/>
      <c r="AP687" s="37"/>
      <c r="AQ687" s="37"/>
      <c r="AR687" s="37"/>
      <c r="AS687" s="37"/>
      <c r="AT687" s="37"/>
      <c r="AU687" s="37"/>
      <c r="AV687" s="37"/>
      <c r="AW687" s="37"/>
      <c r="AX687" s="37"/>
      <c r="AY687" s="37"/>
      <c r="AZ687" s="37"/>
    </row>
    <row r="688"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  <c r="AG688" s="37"/>
      <c r="AH688" s="37"/>
      <c r="AI688" s="37"/>
      <c r="AJ688" s="37"/>
      <c r="AK688" s="37"/>
      <c r="AL688" s="37"/>
      <c r="AM688" s="37"/>
      <c r="AN688" s="37"/>
      <c r="AO688" s="37"/>
      <c r="AP688" s="37"/>
      <c r="AQ688" s="37"/>
      <c r="AR688" s="37"/>
      <c r="AS688" s="37"/>
      <c r="AT688" s="37"/>
      <c r="AU688" s="37"/>
      <c r="AV688" s="37"/>
      <c r="AW688" s="37"/>
      <c r="AX688" s="37"/>
      <c r="AY688" s="37"/>
      <c r="AZ688" s="37"/>
    </row>
    <row r="689"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  <c r="AG689" s="37"/>
      <c r="AH689" s="37"/>
      <c r="AI689" s="37"/>
      <c r="AJ689" s="37"/>
      <c r="AK689" s="37"/>
      <c r="AL689" s="37"/>
      <c r="AM689" s="37"/>
      <c r="AN689" s="37"/>
      <c r="AO689" s="37"/>
      <c r="AP689" s="37"/>
      <c r="AQ689" s="37"/>
      <c r="AR689" s="37"/>
      <c r="AS689" s="37"/>
      <c r="AT689" s="37"/>
      <c r="AU689" s="37"/>
      <c r="AV689" s="37"/>
      <c r="AW689" s="37"/>
      <c r="AX689" s="37"/>
      <c r="AY689" s="37"/>
      <c r="AZ689" s="37"/>
    </row>
    <row r="690"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  <c r="AG690" s="37"/>
      <c r="AH690" s="37"/>
      <c r="AI690" s="37"/>
      <c r="AJ690" s="37"/>
      <c r="AK690" s="37"/>
      <c r="AL690" s="37"/>
      <c r="AM690" s="37"/>
      <c r="AN690" s="37"/>
      <c r="AO690" s="37"/>
      <c r="AP690" s="37"/>
      <c r="AQ690" s="37"/>
      <c r="AR690" s="37"/>
      <c r="AS690" s="37"/>
      <c r="AT690" s="37"/>
      <c r="AU690" s="37"/>
      <c r="AV690" s="37"/>
      <c r="AW690" s="37"/>
      <c r="AX690" s="37"/>
      <c r="AY690" s="37"/>
      <c r="AZ690" s="37"/>
    </row>
    <row r="691"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  <c r="AG691" s="37"/>
      <c r="AH691" s="37"/>
      <c r="AI691" s="37"/>
      <c r="AJ691" s="37"/>
      <c r="AK691" s="37"/>
      <c r="AL691" s="37"/>
      <c r="AM691" s="37"/>
      <c r="AN691" s="37"/>
      <c r="AO691" s="37"/>
      <c r="AP691" s="37"/>
      <c r="AQ691" s="37"/>
      <c r="AR691" s="37"/>
      <c r="AS691" s="37"/>
      <c r="AT691" s="37"/>
      <c r="AU691" s="37"/>
      <c r="AV691" s="37"/>
      <c r="AW691" s="37"/>
      <c r="AX691" s="37"/>
      <c r="AY691" s="37"/>
      <c r="AZ691" s="37"/>
    </row>
    <row r="692"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  <c r="AH692" s="37"/>
      <c r="AI692" s="37"/>
      <c r="AJ692" s="37"/>
      <c r="AK692" s="37"/>
      <c r="AL692" s="37"/>
      <c r="AM692" s="37"/>
      <c r="AN692" s="37"/>
      <c r="AO692" s="37"/>
      <c r="AP692" s="37"/>
      <c r="AQ692" s="37"/>
      <c r="AR692" s="37"/>
      <c r="AS692" s="37"/>
      <c r="AT692" s="37"/>
      <c r="AU692" s="37"/>
      <c r="AV692" s="37"/>
      <c r="AW692" s="37"/>
      <c r="AX692" s="37"/>
      <c r="AY692" s="37"/>
      <c r="AZ692" s="37"/>
    </row>
    <row r="693"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  <c r="AH693" s="37"/>
      <c r="AI693" s="37"/>
      <c r="AJ693" s="37"/>
      <c r="AK693" s="37"/>
      <c r="AL693" s="37"/>
      <c r="AM693" s="37"/>
      <c r="AN693" s="37"/>
      <c r="AO693" s="37"/>
      <c r="AP693" s="37"/>
      <c r="AQ693" s="37"/>
      <c r="AR693" s="37"/>
      <c r="AS693" s="37"/>
      <c r="AT693" s="37"/>
      <c r="AU693" s="37"/>
      <c r="AV693" s="37"/>
      <c r="AW693" s="37"/>
      <c r="AX693" s="37"/>
      <c r="AY693" s="37"/>
      <c r="AZ693" s="37"/>
    </row>
    <row r="694"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  <c r="AH694" s="37"/>
      <c r="AI694" s="37"/>
      <c r="AJ694" s="37"/>
      <c r="AK694" s="37"/>
      <c r="AL694" s="37"/>
      <c r="AM694" s="37"/>
      <c r="AN694" s="37"/>
      <c r="AO694" s="37"/>
      <c r="AP694" s="37"/>
      <c r="AQ694" s="37"/>
      <c r="AR694" s="37"/>
      <c r="AS694" s="37"/>
      <c r="AT694" s="37"/>
      <c r="AU694" s="37"/>
      <c r="AV694" s="37"/>
      <c r="AW694" s="37"/>
      <c r="AX694" s="37"/>
      <c r="AY694" s="37"/>
      <c r="AZ694" s="37"/>
    </row>
    <row r="695"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  <c r="AG695" s="37"/>
      <c r="AH695" s="37"/>
      <c r="AI695" s="37"/>
      <c r="AJ695" s="37"/>
      <c r="AK695" s="37"/>
      <c r="AL695" s="37"/>
      <c r="AM695" s="37"/>
      <c r="AN695" s="37"/>
      <c r="AO695" s="37"/>
      <c r="AP695" s="37"/>
      <c r="AQ695" s="37"/>
      <c r="AR695" s="37"/>
      <c r="AS695" s="37"/>
      <c r="AT695" s="37"/>
      <c r="AU695" s="37"/>
      <c r="AV695" s="37"/>
      <c r="AW695" s="37"/>
      <c r="AX695" s="37"/>
      <c r="AY695" s="37"/>
      <c r="AZ695" s="37"/>
    </row>
    <row r="696"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  <c r="AH696" s="37"/>
      <c r="AI696" s="37"/>
      <c r="AJ696" s="37"/>
      <c r="AK696" s="37"/>
      <c r="AL696" s="37"/>
      <c r="AM696" s="37"/>
      <c r="AN696" s="37"/>
      <c r="AO696" s="37"/>
      <c r="AP696" s="37"/>
      <c r="AQ696" s="37"/>
      <c r="AR696" s="37"/>
      <c r="AS696" s="37"/>
      <c r="AT696" s="37"/>
      <c r="AU696" s="37"/>
      <c r="AV696" s="37"/>
      <c r="AW696" s="37"/>
      <c r="AX696" s="37"/>
      <c r="AY696" s="37"/>
      <c r="AZ696" s="37"/>
    </row>
    <row r="697"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  <c r="AH697" s="37"/>
      <c r="AI697" s="37"/>
      <c r="AJ697" s="37"/>
      <c r="AK697" s="37"/>
      <c r="AL697" s="37"/>
      <c r="AM697" s="37"/>
      <c r="AN697" s="37"/>
      <c r="AO697" s="37"/>
      <c r="AP697" s="37"/>
      <c r="AQ697" s="37"/>
      <c r="AR697" s="37"/>
      <c r="AS697" s="37"/>
      <c r="AT697" s="37"/>
      <c r="AU697" s="37"/>
      <c r="AV697" s="37"/>
      <c r="AW697" s="37"/>
      <c r="AX697" s="37"/>
      <c r="AY697" s="37"/>
      <c r="AZ697" s="37"/>
    </row>
    <row r="698"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  <c r="AG698" s="37"/>
      <c r="AH698" s="37"/>
      <c r="AI698" s="37"/>
      <c r="AJ698" s="37"/>
      <c r="AK698" s="37"/>
      <c r="AL698" s="37"/>
      <c r="AM698" s="37"/>
      <c r="AN698" s="37"/>
      <c r="AO698" s="37"/>
      <c r="AP698" s="37"/>
      <c r="AQ698" s="37"/>
      <c r="AR698" s="37"/>
      <c r="AS698" s="37"/>
      <c r="AT698" s="37"/>
      <c r="AU698" s="37"/>
      <c r="AV698" s="37"/>
      <c r="AW698" s="37"/>
      <c r="AX698" s="37"/>
      <c r="AY698" s="37"/>
      <c r="AZ698" s="37"/>
    </row>
    <row r="699"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  <c r="AG699" s="37"/>
      <c r="AH699" s="37"/>
      <c r="AI699" s="37"/>
      <c r="AJ699" s="37"/>
      <c r="AK699" s="37"/>
      <c r="AL699" s="37"/>
      <c r="AM699" s="37"/>
      <c r="AN699" s="37"/>
      <c r="AO699" s="37"/>
      <c r="AP699" s="37"/>
      <c r="AQ699" s="37"/>
      <c r="AR699" s="37"/>
      <c r="AS699" s="37"/>
      <c r="AT699" s="37"/>
      <c r="AU699" s="37"/>
      <c r="AV699" s="37"/>
      <c r="AW699" s="37"/>
      <c r="AX699" s="37"/>
      <c r="AY699" s="37"/>
      <c r="AZ699" s="37"/>
    </row>
    <row r="700"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  <c r="AH700" s="37"/>
      <c r="AI700" s="37"/>
      <c r="AJ700" s="37"/>
      <c r="AK700" s="37"/>
      <c r="AL700" s="37"/>
      <c r="AM700" s="37"/>
      <c r="AN700" s="37"/>
      <c r="AO700" s="37"/>
      <c r="AP700" s="37"/>
      <c r="AQ700" s="37"/>
      <c r="AR700" s="37"/>
      <c r="AS700" s="37"/>
      <c r="AT700" s="37"/>
      <c r="AU700" s="37"/>
      <c r="AV700" s="37"/>
      <c r="AW700" s="37"/>
      <c r="AX700" s="37"/>
      <c r="AY700" s="37"/>
      <c r="AZ700" s="37"/>
    </row>
    <row r="701"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  <c r="AG701" s="37"/>
      <c r="AH701" s="37"/>
      <c r="AI701" s="37"/>
      <c r="AJ701" s="37"/>
      <c r="AK701" s="37"/>
      <c r="AL701" s="37"/>
      <c r="AM701" s="37"/>
      <c r="AN701" s="37"/>
      <c r="AO701" s="37"/>
      <c r="AP701" s="37"/>
      <c r="AQ701" s="37"/>
      <c r="AR701" s="37"/>
      <c r="AS701" s="37"/>
      <c r="AT701" s="37"/>
      <c r="AU701" s="37"/>
      <c r="AV701" s="37"/>
      <c r="AW701" s="37"/>
      <c r="AX701" s="37"/>
      <c r="AY701" s="37"/>
      <c r="AZ701" s="37"/>
    </row>
    <row r="702"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  <c r="AG702" s="37"/>
      <c r="AH702" s="37"/>
      <c r="AI702" s="37"/>
      <c r="AJ702" s="37"/>
      <c r="AK702" s="37"/>
      <c r="AL702" s="37"/>
      <c r="AM702" s="37"/>
      <c r="AN702" s="37"/>
      <c r="AO702" s="37"/>
      <c r="AP702" s="37"/>
      <c r="AQ702" s="37"/>
      <c r="AR702" s="37"/>
      <c r="AS702" s="37"/>
      <c r="AT702" s="37"/>
      <c r="AU702" s="37"/>
      <c r="AV702" s="37"/>
      <c r="AW702" s="37"/>
      <c r="AX702" s="37"/>
      <c r="AY702" s="37"/>
      <c r="AZ702" s="37"/>
    </row>
    <row r="703"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  <c r="AH703" s="37"/>
      <c r="AI703" s="37"/>
      <c r="AJ703" s="37"/>
      <c r="AK703" s="37"/>
      <c r="AL703" s="37"/>
      <c r="AM703" s="37"/>
      <c r="AN703" s="37"/>
      <c r="AO703" s="37"/>
      <c r="AP703" s="37"/>
      <c r="AQ703" s="37"/>
      <c r="AR703" s="37"/>
      <c r="AS703" s="37"/>
      <c r="AT703" s="37"/>
      <c r="AU703" s="37"/>
      <c r="AV703" s="37"/>
      <c r="AW703" s="37"/>
      <c r="AX703" s="37"/>
      <c r="AY703" s="37"/>
      <c r="AZ703" s="37"/>
    </row>
    <row r="704"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  <c r="AG704" s="37"/>
      <c r="AH704" s="37"/>
      <c r="AI704" s="37"/>
      <c r="AJ704" s="37"/>
      <c r="AK704" s="37"/>
      <c r="AL704" s="37"/>
      <c r="AM704" s="37"/>
      <c r="AN704" s="37"/>
      <c r="AO704" s="37"/>
      <c r="AP704" s="37"/>
      <c r="AQ704" s="37"/>
      <c r="AR704" s="37"/>
      <c r="AS704" s="37"/>
      <c r="AT704" s="37"/>
      <c r="AU704" s="37"/>
      <c r="AV704" s="37"/>
      <c r="AW704" s="37"/>
      <c r="AX704" s="37"/>
      <c r="AY704" s="37"/>
      <c r="AZ704" s="37"/>
    </row>
    <row r="705"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  <c r="AG705" s="37"/>
      <c r="AH705" s="37"/>
      <c r="AI705" s="37"/>
      <c r="AJ705" s="37"/>
      <c r="AK705" s="37"/>
      <c r="AL705" s="37"/>
      <c r="AM705" s="37"/>
      <c r="AN705" s="37"/>
      <c r="AO705" s="37"/>
      <c r="AP705" s="37"/>
      <c r="AQ705" s="37"/>
      <c r="AR705" s="37"/>
      <c r="AS705" s="37"/>
      <c r="AT705" s="37"/>
      <c r="AU705" s="37"/>
      <c r="AV705" s="37"/>
      <c r="AW705" s="37"/>
      <c r="AX705" s="37"/>
      <c r="AY705" s="37"/>
      <c r="AZ705" s="37"/>
    </row>
    <row r="706"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  <c r="AG706" s="37"/>
      <c r="AH706" s="37"/>
      <c r="AI706" s="37"/>
      <c r="AJ706" s="37"/>
      <c r="AK706" s="37"/>
      <c r="AL706" s="37"/>
      <c r="AM706" s="37"/>
      <c r="AN706" s="37"/>
      <c r="AO706" s="37"/>
      <c r="AP706" s="37"/>
      <c r="AQ706" s="37"/>
      <c r="AR706" s="37"/>
      <c r="AS706" s="37"/>
      <c r="AT706" s="37"/>
      <c r="AU706" s="37"/>
      <c r="AV706" s="37"/>
      <c r="AW706" s="37"/>
      <c r="AX706" s="37"/>
      <c r="AY706" s="37"/>
      <c r="AZ706" s="37"/>
    </row>
    <row r="707"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  <c r="AG707" s="37"/>
      <c r="AH707" s="37"/>
      <c r="AI707" s="37"/>
      <c r="AJ707" s="37"/>
      <c r="AK707" s="37"/>
      <c r="AL707" s="37"/>
      <c r="AM707" s="37"/>
      <c r="AN707" s="37"/>
      <c r="AO707" s="37"/>
      <c r="AP707" s="37"/>
      <c r="AQ707" s="37"/>
      <c r="AR707" s="37"/>
      <c r="AS707" s="37"/>
      <c r="AT707" s="37"/>
      <c r="AU707" s="37"/>
      <c r="AV707" s="37"/>
      <c r="AW707" s="37"/>
      <c r="AX707" s="37"/>
      <c r="AY707" s="37"/>
      <c r="AZ707" s="37"/>
    </row>
    <row r="708"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  <c r="AG708" s="37"/>
      <c r="AH708" s="37"/>
      <c r="AI708" s="37"/>
      <c r="AJ708" s="37"/>
      <c r="AK708" s="37"/>
      <c r="AL708" s="37"/>
      <c r="AM708" s="37"/>
      <c r="AN708" s="37"/>
      <c r="AO708" s="37"/>
      <c r="AP708" s="37"/>
      <c r="AQ708" s="37"/>
      <c r="AR708" s="37"/>
      <c r="AS708" s="37"/>
      <c r="AT708" s="37"/>
      <c r="AU708" s="37"/>
      <c r="AV708" s="37"/>
      <c r="AW708" s="37"/>
      <c r="AX708" s="37"/>
      <c r="AY708" s="37"/>
      <c r="AZ708" s="37"/>
    </row>
    <row r="709"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  <c r="AG709" s="37"/>
      <c r="AH709" s="37"/>
      <c r="AI709" s="37"/>
      <c r="AJ709" s="37"/>
      <c r="AK709" s="37"/>
      <c r="AL709" s="37"/>
      <c r="AM709" s="37"/>
      <c r="AN709" s="37"/>
      <c r="AO709" s="37"/>
      <c r="AP709" s="37"/>
      <c r="AQ709" s="37"/>
      <c r="AR709" s="37"/>
      <c r="AS709" s="37"/>
      <c r="AT709" s="37"/>
      <c r="AU709" s="37"/>
      <c r="AV709" s="37"/>
      <c r="AW709" s="37"/>
      <c r="AX709" s="37"/>
      <c r="AY709" s="37"/>
      <c r="AZ709" s="37"/>
    </row>
    <row r="710"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  <c r="AG710" s="37"/>
      <c r="AH710" s="37"/>
      <c r="AI710" s="37"/>
      <c r="AJ710" s="37"/>
      <c r="AK710" s="37"/>
      <c r="AL710" s="37"/>
      <c r="AM710" s="37"/>
      <c r="AN710" s="37"/>
      <c r="AO710" s="37"/>
      <c r="AP710" s="37"/>
      <c r="AQ710" s="37"/>
      <c r="AR710" s="37"/>
      <c r="AS710" s="37"/>
      <c r="AT710" s="37"/>
      <c r="AU710" s="37"/>
      <c r="AV710" s="37"/>
      <c r="AW710" s="37"/>
      <c r="AX710" s="37"/>
      <c r="AY710" s="37"/>
      <c r="AZ710" s="37"/>
    </row>
    <row r="711"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  <c r="AH711" s="37"/>
      <c r="AI711" s="37"/>
      <c r="AJ711" s="37"/>
      <c r="AK711" s="37"/>
      <c r="AL711" s="37"/>
      <c r="AM711" s="37"/>
      <c r="AN711" s="37"/>
      <c r="AO711" s="37"/>
      <c r="AP711" s="37"/>
      <c r="AQ711" s="37"/>
      <c r="AR711" s="37"/>
      <c r="AS711" s="37"/>
      <c r="AT711" s="37"/>
      <c r="AU711" s="37"/>
      <c r="AV711" s="37"/>
      <c r="AW711" s="37"/>
      <c r="AX711" s="37"/>
      <c r="AY711" s="37"/>
      <c r="AZ711" s="37"/>
    </row>
    <row r="712"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G712" s="37"/>
      <c r="AH712" s="37"/>
      <c r="AI712" s="37"/>
      <c r="AJ712" s="37"/>
      <c r="AK712" s="37"/>
      <c r="AL712" s="37"/>
      <c r="AM712" s="37"/>
      <c r="AN712" s="37"/>
      <c r="AO712" s="37"/>
      <c r="AP712" s="37"/>
      <c r="AQ712" s="37"/>
      <c r="AR712" s="37"/>
      <c r="AS712" s="37"/>
      <c r="AT712" s="37"/>
      <c r="AU712" s="37"/>
      <c r="AV712" s="37"/>
      <c r="AW712" s="37"/>
      <c r="AX712" s="37"/>
      <c r="AY712" s="37"/>
      <c r="AZ712" s="37"/>
    </row>
    <row r="713"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  <c r="AH713" s="37"/>
      <c r="AI713" s="37"/>
      <c r="AJ713" s="37"/>
      <c r="AK713" s="37"/>
      <c r="AL713" s="37"/>
      <c r="AM713" s="37"/>
      <c r="AN713" s="37"/>
      <c r="AO713" s="37"/>
      <c r="AP713" s="37"/>
      <c r="AQ713" s="37"/>
      <c r="AR713" s="37"/>
      <c r="AS713" s="37"/>
      <c r="AT713" s="37"/>
      <c r="AU713" s="37"/>
      <c r="AV713" s="37"/>
      <c r="AW713" s="37"/>
      <c r="AX713" s="37"/>
      <c r="AY713" s="37"/>
      <c r="AZ713" s="37"/>
    </row>
    <row r="714"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  <c r="AG714" s="37"/>
      <c r="AH714" s="37"/>
      <c r="AI714" s="37"/>
      <c r="AJ714" s="37"/>
      <c r="AK714" s="37"/>
      <c r="AL714" s="37"/>
      <c r="AM714" s="37"/>
      <c r="AN714" s="37"/>
      <c r="AO714" s="37"/>
      <c r="AP714" s="37"/>
      <c r="AQ714" s="37"/>
      <c r="AR714" s="37"/>
      <c r="AS714" s="37"/>
      <c r="AT714" s="37"/>
      <c r="AU714" s="37"/>
      <c r="AV714" s="37"/>
      <c r="AW714" s="37"/>
      <c r="AX714" s="37"/>
      <c r="AY714" s="37"/>
      <c r="AZ714" s="37"/>
    </row>
    <row r="715"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  <c r="AG715" s="37"/>
      <c r="AH715" s="37"/>
      <c r="AI715" s="37"/>
      <c r="AJ715" s="37"/>
      <c r="AK715" s="37"/>
      <c r="AL715" s="37"/>
      <c r="AM715" s="37"/>
      <c r="AN715" s="37"/>
      <c r="AO715" s="37"/>
      <c r="AP715" s="37"/>
      <c r="AQ715" s="37"/>
      <c r="AR715" s="37"/>
      <c r="AS715" s="37"/>
      <c r="AT715" s="37"/>
      <c r="AU715" s="37"/>
      <c r="AV715" s="37"/>
      <c r="AW715" s="37"/>
      <c r="AX715" s="37"/>
      <c r="AY715" s="37"/>
      <c r="AZ715" s="37"/>
    </row>
    <row r="716"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  <c r="AH716" s="37"/>
      <c r="AI716" s="37"/>
      <c r="AJ716" s="37"/>
      <c r="AK716" s="37"/>
      <c r="AL716" s="37"/>
      <c r="AM716" s="37"/>
      <c r="AN716" s="37"/>
      <c r="AO716" s="37"/>
      <c r="AP716" s="37"/>
      <c r="AQ716" s="37"/>
      <c r="AR716" s="37"/>
      <c r="AS716" s="37"/>
      <c r="AT716" s="37"/>
      <c r="AU716" s="37"/>
      <c r="AV716" s="37"/>
      <c r="AW716" s="37"/>
      <c r="AX716" s="37"/>
      <c r="AY716" s="37"/>
      <c r="AZ716" s="37"/>
    </row>
    <row r="717"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  <c r="AH717" s="37"/>
      <c r="AI717" s="37"/>
      <c r="AJ717" s="37"/>
      <c r="AK717" s="37"/>
      <c r="AL717" s="37"/>
      <c r="AM717" s="37"/>
      <c r="AN717" s="37"/>
      <c r="AO717" s="37"/>
      <c r="AP717" s="37"/>
      <c r="AQ717" s="37"/>
      <c r="AR717" s="37"/>
      <c r="AS717" s="37"/>
      <c r="AT717" s="37"/>
      <c r="AU717" s="37"/>
      <c r="AV717" s="37"/>
      <c r="AW717" s="37"/>
      <c r="AX717" s="37"/>
      <c r="AY717" s="37"/>
      <c r="AZ717" s="37"/>
    </row>
    <row r="718"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  <c r="AG718" s="37"/>
      <c r="AH718" s="37"/>
      <c r="AI718" s="37"/>
      <c r="AJ718" s="37"/>
      <c r="AK718" s="37"/>
      <c r="AL718" s="37"/>
      <c r="AM718" s="37"/>
      <c r="AN718" s="37"/>
      <c r="AO718" s="37"/>
      <c r="AP718" s="37"/>
      <c r="AQ718" s="37"/>
      <c r="AR718" s="37"/>
      <c r="AS718" s="37"/>
      <c r="AT718" s="37"/>
      <c r="AU718" s="37"/>
      <c r="AV718" s="37"/>
      <c r="AW718" s="37"/>
      <c r="AX718" s="37"/>
      <c r="AY718" s="37"/>
      <c r="AZ718" s="37"/>
    </row>
    <row r="719"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  <c r="AH719" s="37"/>
      <c r="AI719" s="37"/>
      <c r="AJ719" s="37"/>
      <c r="AK719" s="37"/>
      <c r="AL719" s="37"/>
      <c r="AM719" s="37"/>
      <c r="AN719" s="37"/>
      <c r="AO719" s="37"/>
      <c r="AP719" s="37"/>
      <c r="AQ719" s="37"/>
      <c r="AR719" s="37"/>
      <c r="AS719" s="37"/>
      <c r="AT719" s="37"/>
      <c r="AU719" s="37"/>
      <c r="AV719" s="37"/>
      <c r="AW719" s="37"/>
      <c r="AX719" s="37"/>
      <c r="AY719" s="37"/>
      <c r="AZ719" s="37"/>
    </row>
    <row r="720"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  <c r="AH720" s="37"/>
      <c r="AI720" s="37"/>
      <c r="AJ720" s="37"/>
      <c r="AK720" s="37"/>
      <c r="AL720" s="37"/>
      <c r="AM720" s="37"/>
      <c r="AN720" s="37"/>
      <c r="AO720" s="37"/>
      <c r="AP720" s="37"/>
      <c r="AQ720" s="37"/>
      <c r="AR720" s="37"/>
      <c r="AS720" s="37"/>
      <c r="AT720" s="37"/>
      <c r="AU720" s="37"/>
      <c r="AV720" s="37"/>
      <c r="AW720" s="37"/>
      <c r="AX720" s="37"/>
      <c r="AY720" s="37"/>
      <c r="AZ720" s="37"/>
    </row>
    <row r="721"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  <c r="AH721" s="37"/>
      <c r="AI721" s="37"/>
      <c r="AJ721" s="37"/>
      <c r="AK721" s="37"/>
      <c r="AL721" s="37"/>
      <c r="AM721" s="37"/>
      <c r="AN721" s="37"/>
      <c r="AO721" s="37"/>
      <c r="AP721" s="37"/>
      <c r="AQ721" s="37"/>
      <c r="AR721" s="37"/>
      <c r="AS721" s="37"/>
      <c r="AT721" s="37"/>
      <c r="AU721" s="37"/>
      <c r="AV721" s="37"/>
      <c r="AW721" s="37"/>
      <c r="AX721" s="37"/>
      <c r="AY721" s="37"/>
      <c r="AZ721" s="37"/>
    </row>
    <row r="722"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  <c r="AG722" s="37"/>
      <c r="AH722" s="37"/>
      <c r="AI722" s="37"/>
      <c r="AJ722" s="37"/>
      <c r="AK722" s="37"/>
      <c r="AL722" s="37"/>
      <c r="AM722" s="37"/>
      <c r="AN722" s="37"/>
      <c r="AO722" s="37"/>
      <c r="AP722" s="37"/>
      <c r="AQ722" s="37"/>
      <c r="AR722" s="37"/>
      <c r="AS722" s="37"/>
      <c r="AT722" s="37"/>
      <c r="AU722" s="37"/>
      <c r="AV722" s="37"/>
      <c r="AW722" s="37"/>
      <c r="AX722" s="37"/>
      <c r="AY722" s="37"/>
      <c r="AZ722" s="37"/>
    </row>
    <row r="723"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  <c r="AH723" s="37"/>
      <c r="AI723" s="37"/>
      <c r="AJ723" s="37"/>
      <c r="AK723" s="37"/>
      <c r="AL723" s="37"/>
      <c r="AM723" s="37"/>
      <c r="AN723" s="37"/>
      <c r="AO723" s="37"/>
      <c r="AP723" s="37"/>
      <c r="AQ723" s="37"/>
      <c r="AR723" s="37"/>
      <c r="AS723" s="37"/>
      <c r="AT723" s="37"/>
      <c r="AU723" s="37"/>
      <c r="AV723" s="37"/>
      <c r="AW723" s="37"/>
      <c r="AX723" s="37"/>
      <c r="AY723" s="37"/>
      <c r="AZ723" s="37"/>
    </row>
    <row r="724"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  <c r="AG724" s="37"/>
      <c r="AH724" s="37"/>
      <c r="AI724" s="37"/>
      <c r="AJ724" s="37"/>
      <c r="AK724" s="37"/>
      <c r="AL724" s="37"/>
      <c r="AM724" s="37"/>
      <c r="AN724" s="37"/>
      <c r="AO724" s="37"/>
      <c r="AP724" s="37"/>
      <c r="AQ724" s="37"/>
      <c r="AR724" s="37"/>
      <c r="AS724" s="37"/>
      <c r="AT724" s="37"/>
      <c r="AU724" s="37"/>
      <c r="AV724" s="37"/>
      <c r="AW724" s="37"/>
      <c r="AX724" s="37"/>
      <c r="AY724" s="37"/>
      <c r="AZ724" s="37"/>
    </row>
    <row r="725"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  <c r="AG725" s="37"/>
      <c r="AH725" s="37"/>
      <c r="AI725" s="37"/>
      <c r="AJ725" s="37"/>
      <c r="AK725" s="37"/>
      <c r="AL725" s="37"/>
      <c r="AM725" s="37"/>
      <c r="AN725" s="37"/>
      <c r="AO725" s="37"/>
      <c r="AP725" s="37"/>
      <c r="AQ725" s="37"/>
      <c r="AR725" s="37"/>
      <c r="AS725" s="37"/>
      <c r="AT725" s="37"/>
      <c r="AU725" s="37"/>
      <c r="AV725" s="37"/>
      <c r="AW725" s="37"/>
      <c r="AX725" s="37"/>
      <c r="AY725" s="37"/>
      <c r="AZ725" s="37"/>
    </row>
    <row r="726"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  <c r="AH726" s="37"/>
      <c r="AI726" s="37"/>
      <c r="AJ726" s="37"/>
      <c r="AK726" s="37"/>
      <c r="AL726" s="37"/>
      <c r="AM726" s="37"/>
      <c r="AN726" s="37"/>
      <c r="AO726" s="37"/>
      <c r="AP726" s="37"/>
      <c r="AQ726" s="37"/>
      <c r="AR726" s="37"/>
      <c r="AS726" s="37"/>
      <c r="AT726" s="37"/>
      <c r="AU726" s="37"/>
      <c r="AV726" s="37"/>
      <c r="AW726" s="37"/>
      <c r="AX726" s="37"/>
      <c r="AY726" s="37"/>
      <c r="AZ726" s="37"/>
    </row>
    <row r="727"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  <c r="AG727" s="37"/>
      <c r="AH727" s="37"/>
      <c r="AI727" s="37"/>
      <c r="AJ727" s="37"/>
      <c r="AK727" s="37"/>
      <c r="AL727" s="37"/>
      <c r="AM727" s="37"/>
      <c r="AN727" s="37"/>
      <c r="AO727" s="37"/>
      <c r="AP727" s="37"/>
      <c r="AQ727" s="37"/>
      <c r="AR727" s="37"/>
      <c r="AS727" s="37"/>
      <c r="AT727" s="37"/>
      <c r="AU727" s="37"/>
      <c r="AV727" s="37"/>
      <c r="AW727" s="37"/>
      <c r="AX727" s="37"/>
      <c r="AY727" s="37"/>
      <c r="AZ727" s="37"/>
    </row>
    <row r="728"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  <c r="AH728" s="37"/>
      <c r="AI728" s="37"/>
      <c r="AJ728" s="37"/>
      <c r="AK728" s="37"/>
      <c r="AL728" s="37"/>
      <c r="AM728" s="37"/>
      <c r="AN728" s="37"/>
      <c r="AO728" s="37"/>
      <c r="AP728" s="37"/>
      <c r="AQ728" s="37"/>
      <c r="AR728" s="37"/>
      <c r="AS728" s="37"/>
      <c r="AT728" s="37"/>
      <c r="AU728" s="37"/>
      <c r="AV728" s="37"/>
      <c r="AW728" s="37"/>
      <c r="AX728" s="37"/>
      <c r="AY728" s="37"/>
      <c r="AZ728" s="37"/>
    </row>
    <row r="729"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  <c r="AH729" s="37"/>
      <c r="AI729" s="37"/>
      <c r="AJ729" s="37"/>
      <c r="AK729" s="37"/>
      <c r="AL729" s="37"/>
      <c r="AM729" s="37"/>
      <c r="AN729" s="37"/>
      <c r="AO729" s="37"/>
      <c r="AP729" s="37"/>
      <c r="AQ729" s="37"/>
      <c r="AR729" s="37"/>
      <c r="AS729" s="37"/>
      <c r="AT729" s="37"/>
      <c r="AU729" s="37"/>
      <c r="AV729" s="37"/>
      <c r="AW729" s="37"/>
      <c r="AX729" s="37"/>
      <c r="AY729" s="37"/>
      <c r="AZ729" s="37"/>
    </row>
    <row r="730"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  <c r="AG730" s="37"/>
      <c r="AH730" s="37"/>
      <c r="AI730" s="37"/>
      <c r="AJ730" s="37"/>
      <c r="AK730" s="37"/>
      <c r="AL730" s="37"/>
      <c r="AM730" s="37"/>
      <c r="AN730" s="37"/>
      <c r="AO730" s="37"/>
      <c r="AP730" s="37"/>
      <c r="AQ730" s="37"/>
      <c r="AR730" s="37"/>
      <c r="AS730" s="37"/>
      <c r="AT730" s="37"/>
      <c r="AU730" s="37"/>
      <c r="AV730" s="37"/>
      <c r="AW730" s="37"/>
      <c r="AX730" s="37"/>
      <c r="AY730" s="37"/>
      <c r="AZ730" s="37"/>
    </row>
    <row r="731"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  <c r="AG731" s="37"/>
      <c r="AH731" s="37"/>
      <c r="AI731" s="37"/>
      <c r="AJ731" s="37"/>
      <c r="AK731" s="37"/>
      <c r="AL731" s="37"/>
      <c r="AM731" s="37"/>
      <c r="AN731" s="37"/>
      <c r="AO731" s="37"/>
      <c r="AP731" s="37"/>
      <c r="AQ731" s="37"/>
      <c r="AR731" s="37"/>
      <c r="AS731" s="37"/>
      <c r="AT731" s="37"/>
      <c r="AU731" s="37"/>
      <c r="AV731" s="37"/>
      <c r="AW731" s="37"/>
      <c r="AX731" s="37"/>
      <c r="AY731" s="37"/>
      <c r="AZ731" s="37"/>
    </row>
    <row r="732"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  <c r="AH732" s="37"/>
      <c r="AI732" s="37"/>
      <c r="AJ732" s="37"/>
      <c r="AK732" s="37"/>
      <c r="AL732" s="37"/>
      <c r="AM732" s="37"/>
      <c r="AN732" s="37"/>
      <c r="AO732" s="37"/>
      <c r="AP732" s="37"/>
      <c r="AQ732" s="37"/>
      <c r="AR732" s="37"/>
      <c r="AS732" s="37"/>
      <c r="AT732" s="37"/>
      <c r="AU732" s="37"/>
      <c r="AV732" s="37"/>
      <c r="AW732" s="37"/>
      <c r="AX732" s="37"/>
      <c r="AY732" s="37"/>
      <c r="AZ732" s="37"/>
    </row>
    <row r="733"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  <c r="AH733" s="37"/>
      <c r="AI733" s="37"/>
      <c r="AJ733" s="37"/>
      <c r="AK733" s="37"/>
      <c r="AL733" s="37"/>
      <c r="AM733" s="37"/>
      <c r="AN733" s="37"/>
      <c r="AO733" s="37"/>
      <c r="AP733" s="37"/>
      <c r="AQ733" s="37"/>
      <c r="AR733" s="37"/>
      <c r="AS733" s="37"/>
      <c r="AT733" s="37"/>
      <c r="AU733" s="37"/>
      <c r="AV733" s="37"/>
      <c r="AW733" s="37"/>
      <c r="AX733" s="37"/>
      <c r="AY733" s="37"/>
      <c r="AZ733" s="37"/>
    </row>
    <row r="734"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  <c r="AG734" s="37"/>
      <c r="AH734" s="37"/>
      <c r="AI734" s="37"/>
      <c r="AJ734" s="37"/>
      <c r="AK734" s="37"/>
      <c r="AL734" s="37"/>
      <c r="AM734" s="37"/>
      <c r="AN734" s="37"/>
      <c r="AO734" s="37"/>
      <c r="AP734" s="37"/>
      <c r="AQ734" s="37"/>
      <c r="AR734" s="37"/>
      <c r="AS734" s="37"/>
      <c r="AT734" s="37"/>
      <c r="AU734" s="37"/>
      <c r="AV734" s="37"/>
      <c r="AW734" s="37"/>
      <c r="AX734" s="37"/>
      <c r="AY734" s="37"/>
      <c r="AZ734" s="37"/>
    </row>
    <row r="735"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  <c r="AG735" s="37"/>
      <c r="AH735" s="37"/>
      <c r="AI735" s="37"/>
      <c r="AJ735" s="37"/>
      <c r="AK735" s="37"/>
      <c r="AL735" s="37"/>
      <c r="AM735" s="37"/>
      <c r="AN735" s="37"/>
      <c r="AO735" s="37"/>
      <c r="AP735" s="37"/>
      <c r="AQ735" s="37"/>
      <c r="AR735" s="37"/>
      <c r="AS735" s="37"/>
      <c r="AT735" s="37"/>
      <c r="AU735" s="37"/>
      <c r="AV735" s="37"/>
      <c r="AW735" s="37"/>
      <c r="AX735" s="37"/>
      <c r="AY735" s="37"/>
      <c r="AZ735" s="37"/>
    </row>
    <row r="736"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  <c r="AG736" s="37"/>
      <c r="AH736" s="37"/>
      <c r="AI736" s="37"/>
      <c r="AJ736" s="37"/>
      <c r="AK736" s="37"/>
      <c r="AL736" s="37"/>
      <c r="AM736" s="37"/>
      <c r="AN736" s="37"/>
      <c r="AO736" s="37"/>
      <c r="AP736" s="37"/>
      <c r="AQ736" s="37"/>
      <c r="AR736" s="37"/>
      <c r="AS736" s="37"/>
      <c r="AT736" s="37"/>
      <c r="AU736" s="37"/>
      <c r="AV736" s="37"/>
      <c r="AW736" s="37"/>
      <c r="AX736" s="37"/>
      <c r="AY736" s="37"/>
      <c r="AZ736" s="37"/>
    </row>
    <row r="737"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  <c r="AG737" s="37"/>
      <c r="AH737" s="37"/>
      <c r="AI737" s="37"/>
      <c r="AJ737" s="37"/>
      <c r="AK737" s="37"/>
      <c r="AL737" s="37"/>
      <c r="AM737" s="37"/>
      <c r="AN737" s="37"/>
      <c r="AO737" s="37"/>
      <c r="AP737" s="37"/>
      <c r="AQ737" s="37"/>
      <c r="AR737" s="37"/>
      <c r="AS737" s="37"/>
      <c r="AT737" s="37"/>
      <c r="AU737" s="37"/>
      <c r="AV737" s="37"/>
      <c r="AW737" s="37"/>
      <c r="AX737" s="37"/>
      <c r="AY737" s="37"/>
      <c r="AZ737" s="37"/>
    </row>
    <row r="738"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  <c r="AG738" s="37"/>
      <c r="AH738" s="37"/>
      <c r="AI738" s="37"/>
      <c r="AJ738" s="37"/>
      <c r="AK738" s="37"/>
      <c r="AL738" s="37"/>
      <c r="AM738" s="37"/>
      <c r="AN738" s="37"/>
      <c r="AO738" s="37"/>
      <c r="AP738" s="37"/>
      <c r="AQ738" s="37"/>
      <c r="AR738" s="37"/>
      <c r="AS738" s="37"/>
      <c r="AT738" s="37"/>
      <c r="AU738" s="37"/>
      <c r="AV738" s="37"/>
      <c r="AW738" s="37"/>
      <c r="AX738" s="37"/>
      <c r="AY738" s="37"/>
      <c r="AZ738" s="37"/>
    </row>
    <row r="739"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  <c r="AG739" s="37"/>
      <c r="AH739" s="37"/>
      <c r="AI739" s="37"/>
      <c r="AJ739" s="37"/>
      <c r="AK739" s="37"/>
      <c r="AL739" s="37"/>
      <c r="AM739" s="37"/>
      <c r="AN739" s="37"/>
      <c r="AO739" s="37"/>
      <c r="AP739" s="37"/>
      <c r="AQ739" s="37"/>
      <c r="AR739" s="37"/>
      <c r="AS739" s="37"/>
      <c r="AT739" s="37"/>
      <c r="AU739" s="37"/>
      <c r="AV739" s="37"/>
      <c r="AW739" s="37"/>
      <c r="AX739" s="37"/>
      <c r="AY739" s="37"/>
      <c r="AZ739" s="37"/>
    </row>
    <row r="740"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  <c r="AG740" s="37"/>
      <c r="AH740" s="37"/>
      <c r="AI740" s="37"/>
      <c r="AJ740" s="37"/>
      <c r="AK740" s="37"/>
      <c r="AL740" s="37"/>
      <c r="AM740" s="37"/>
      <c r="AN740" s="37"/>
      <c r="AO740" s="37"/>
      <c r="AP740" s="37"/>
      <c r="AQ740" s="37"/>
      <c r="AR740" s="37"/>
      <c r="AS740" s="37"/>
      <c r="AT740" s="37"/>
      <c r="AU740" s="37"/>
      <c r="AV740" s="37"/>
      <c r="AW740" s="37"/>
      <c r="AX740" s="37"/>
      <c r="AY740" s="37"/>
      <c r="AZ740" s="37"/>
    </row>
    <row r="741"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  <c r="AG741" s="37"/>
      <c r="AH741" s="37"/>
      <c r="AI741" s="37"/>
      <c r="AJ741" s="37"/>
      <c r="AK741" s="37"/>
      <c r="AL741" s="37"/>
      <c r="AM741" s="37"/>
      <c r="AN741" s="37"/>
      <c r="AO741" s="37"/>
      <c r="AP741" s="37"/>
      <c r="AQ741" s="37"/>
      <c r="AR741" s="37"/>
      <c r="AS741" s="37"/>
      <c r="AT741" s="37"/>
      <c r="AU741" s="37"/>
      <c r="AV741" s="37"/>
      <c r="AW741" s="37"/>
      <c r="AX741" s="37"/>
      <c r="AY741" s="37"/>
      <c r="AZ741" s="37"/>
    </row>
    <row r="742"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  <c r="AG742" s="37"/>
      <c r="AH742" s="37"/>
      <c r="AI742" s="37"/>
      <c r="AJ742" s="37"/>
      <c r="AK742" s="37"/>
      <c r="AL742" s="37"/>
      <c r="AM742" s="37"/>
      <c r="AN742" s="37"/>
      <c r="AO742" s="37"/>
      <c r="AP742" s="37"/>
      <c r="AQ742" s="37"/>
      <c r="AR742" s="37"/>
      <c r="AS742" s="37"/>
      <c r="AT742" s="37"/>
      <c r="AU742" s="37"/>
      <c r="AV742" s="37"/>
      <c r="AW742" s="37"/>
      <c r="AX742" s="37"/>
      <c r="AY742" s="37"/>
      <c r="AZ742" s="37"/>
    </row>
    <row r="743"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  <c r="AG743" s="37"/>
      <c r="AH743" s="37"/>
      <c r="AI743" s="37"/>
      <c r="AJ743" s="37"/>
      <c r="AK743" s="37"/>
      <c r="AL743" s="37"/>
      <c r="AM743" s="37"/>
      <c r="AN743" s="37"/>
      <c r="AO743" s="37"/>
      <c r="AP743" s="37"/>
      <c r="AQ743" s="37"/>
      <c r="AR743" s="37"/>
      <c r="AS743" s="37"/>
      <c r="AT743" s="37"/>
      <c r="AU743" s="37"/>
      <c r="AV743" s="37"/>
      <c r="AW743" s="37"/>
      <c r="AX743" s="37"/>
      <c r="AY743" s="37"/>
      <c r="AZ743" s="37"/>
    </row>
    <row r="744"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  <c r="AG744" s="37"/>
      <c r="AH744" s="37"/>
      <c r="AI744" s="37"/>
      <c r="AJ744" s="37"/>
      <c r="AK744" s="37"/>
      <c r="AL744" s="37"/>
      <c r="AM744" s="37"/>
      <c r="AN744" s="37"/>
      <c r="AO744" s="37"/>
      <c r="AP744" s="37"/>
      <c r="AQ744" s="37"/>
      <c r="AR744" s="37"/>
      <c r="AS744" s="37"/>
      <c r="AT744" s="37"/>
      <c r="AU744" s="37"/>
      <c r="AV744" s="37"/>
      <c r="AW744" s="37"/>
      <c r="AX744" s="37"/>
      <c r="AY744" s="37"/>
      <c r="AZ744" s="37"/>
    </row>
    <row r="745"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  <c r="AG745" s="37"/>
      <c r="AH745" s="37"/>
      <c r="AI745" s="37"/>
      <c r="AJ745" s="37"/>
      <c r="AK745" s="37"/>
      <c r="AL745" s="37"/>
      <c r="AM745" s="37"/>
      <c r="AN745" s="37"/>
      <c r="AO745" s="37"/>
      <c r="AP745" s="37"/>
      <c r="AQ745" s="37"/>
      <c r="AR745" s="37"/>
      <c r="AS745" s="37"/>
      <c r="AT745" s="37"/>
      <c r="AU745" s="37"/>
      <c r="AV745" s="37"/>
      <c r="AW745" s="37"/>
      <c r="AX745" s="37"/>
      <c r="AY745" s="37"/>
      <c r="AZ745" s="37"/>
    </row>
    <row r="746"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  <c r="AG746" s="37"/>
      <c r="AH746" s="37"/>
      <c r="AI746" s="37"/>
      <c r="AJ746" s="37"/>
      <c r="AK746" s="37"/>
      <c r="AL746" s="37"/>
      <c r="AM746" s="37"/>
      <c r="AN746" s="37"/>
      <c r="AO746" s="37"/>
      <c r="AP746" s="37"/>
      <c r="AQ746" s="37"/>
      <c r="AR746" s="37"/>
      <c r="AS746" s="37"/>
      <c r="AT746" s="37"/>
      <c r="AU746" s="37"/>
      <c r="AV746" s="37"/>
      <c r="AW746" s="37"/>
      <c r="AX746" s="37"/>
      <c r="AY746" s="37"/>
      <c r="AZ746" s="37"/>
    </row>
    <row r="747"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  <c r="AG747" s="37"/>
      <c r="AH747" s="37"/>
      <c r="AI747" s="37"/>
      <c r="AJ747" s="37"/>
      <c r="AK747" s="37"/>
      <c r="AL747" s="37"/>
      <c r="AM747" s="37"/>
      <c r="AN747" s="37"/>
      <c r="AO747" s="37"/>
      <c r="AP747" s="37"/>
      <c r="AQ747" s="37"/>
      <c r="AR747" s="37"/>
      <c r="AS747" s="37"/>
      <c r="AT747" s="37"/>
      <c r="AU747" s="37"/>
      <c r="AV747" s="37"/>
      <c r="AW747" s="37"/>
      <c r="AX747" s="37"/>
      <c r="AY747" s="37"/>
      <c r="AZ747" s="37"/>
    </row>
    <row r="748"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  <c r="AG748" s="37"/>
      <c r="AH748" s="37"/>
      <c r="AI748" s="37"/>
      <c r="AJ748" s="37"/>
      <c r="AK748" s="37"/>
      <c r="AL748" s="37"/>
      <c r="AM748" s="37"/>
      <c r="AN748" s="37"/>
      <c r="AO748" s="37"/>
      <c r="AP748" s="37"/>
      <c r="AQ748" s="37"/>
      <c r="AR748" s="37"/>
      <c r="AS748" s="37"/>
      <c r="AT748" s="37"/>
      <c r="AU748" s="37"/>
      <c r="AV748" s="37"/>
      <c r="AW748" s="37"/>
      <c r="AX748" s="37"/>
      <c r="AY748" s="37"/>
      <c r="AZ748" s="37"/>
    </row>
    <row r="749"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  <c r="AG749" s="37"/>
      <c r="AH749" s="37"/>
      <c r="AI749" s="37"/>
      <c r="AJ749" s="37"/>
      <c r="AK749" s="37"/>
      <c r="AL749" s="37"/>
      <c r="AM749" s="37"/>
      <c r="AN749" s="37"/>
      <c r="AO749" s="37"/>
      <c r="AP749" s="37"/>
      <c r="AQ749" s="37"/>
      <c r="AR749" s="37"/>
      <c r="AS749" s="37"/>
      <c r="AT749" s="37"/>
      <c r="AU749" s="37"/>
      <c r="AV749" s="37"/>
      <c r="AW749" s="37"/>
      <c r="AX749" s="37"/>
      <c r="AY749" s="37"/>
      <c r="AZ749" s="37"/>
    </row>
    <row r="750"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  <c r="AG750" s="37"/>
      <c r="AH750" s="37"/>
      <c r="AI750" s="37"/>
      <c r="AJ750" s="37"/>
      <c r="AK750" s="37"/>
      <c r="AL750" s="37"/>
      <c r="AM750" s="37"/>
      <c r="AN750" s="37"/>
      <c r="AO750" s="37"/>
      <c r="AP750" s="37"/>
      <c r="AQ750" s="37"/>
      <c r="AR750" s="37"/>
      <c r="AS750" s="37"/>
      <c r="AT750" s="37"/>
      <c r="AU750" s="37"/>
      <c r="AV750" s="37"/>
      <c r="AW750" s="37"/>
      <c r="AX750" s="37"/>
      <c r="AY750" s="37"/>
      <c r="AZ750" s="37"/>
    </row>
    <row r="751"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  <c r="AG751" s="37"/>
      <c r="AH751" s="37"/>
      <c r="AI751" s="37"/>
      <c r="AJ751" s="37"/>
      <c r="AK751" s="37"/>
      <c r="AL751" s="37"/>
      <c r="AM751" s="37"/>
      <c r="AN751" s="37"/>
      <c r="AO751" s="37"/>
      <c r="AP751" s="37"/>
      <c r="AQ751" s="37"/>
      <c r="AR751" s="37"/>
      <c r="AS751" s="37"/>
      <c r="AT751" s="37"/>
      <c r="AU751" s="37"/>
      <c r="AV751" s="37"/>
      <c r="AW751" s="37"/>
      <c r="AX751" s="37"/>
      <c r="AY751" s="37"/>
      <c r="AZ751" s="37"/>
    </row>
    <row r="752"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  <c r="AG752" s="37"/>
      <c r="AH752" s="37"/>
      <c r="AI752" s="37"/>
      <c r="AJ752" s="37"/>
      <c r="AK752" s="37"/>
      <c r="AL752" s="37"/>
      <c r="AM752" s="37"/>
      <c r="AN752" s="37"/>
      <c r="AO752" s="37"/>
      <c r="AP752" s="37"/>
      <c r="AQ752" s="37"/>
      <c r="AR752" s="37"/>
      <c r="AS752" s="37"/>
      <c r="AT752" s="37"/>
      <c r="AU752" s="37"/>
      <c r="AV752" s="37"/>
      <c r="AW752" s="37"/>
      <c r="AX752" s="37"/>
      <c r="AY752" s="37"/>
      <c r="AZ752" s="37"/>
    </row>
    <row r="753"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  <c r="AG753" s="37"/>
      <c r="AH753" s="37"/>
      <c r="AI753" s="37"/>
      <c r="AJ753" s="37"/>
      <c r="AK753" s="37"/>
      <c r="AL753" s="37"/>
      <c r="AM753" s="37"/>
      <c r="AN753" s="37"/>
      <c r="AO753" s="37"/>
      <c r="AP753" s="37"/>
      <c r="AQ753" s="37"/>
      <c r="AR753" s="37"/>
      <c r="AS753" s="37"/>
      <c r="AT753" s="37"/>
      <c r="AU753" s="37"/>
      <c r="AV753" s="37"/>
      <c r="AW753" s="37"/>
      <c r="AX753" s="37"/>
      <c r="AY753" s="37"/>
      <c r="AZ753" s="37"/>
    </row>
    <row r="754"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  <c r="AG754" s="37"/>
      <c r="AH754" s="37"/>
      <c r="AI754" s="37"/>
      <c r="AJ754" s="37"/>
      <c r="AK754" s="37"/>
      <c r="AL754" s="37"/>
      <c r="AM754" s="37"/>
      <c r="AN754" s="37"/>
      <c r="AO754" s="37"/>
      <c r="AP754" s="37"/>
      <c r="AQ754" s="37"/>
      <c r="AR754" s="37"/>
      <c r="AS754" s="37"/>
      <c r="AT754" s="37"/>
      <c r="AU754" s="37"/>
      <c r="AV754" s="37"/>
      <c r="AW754" s="37"/>
      <c r="AX754" s="37"/>
      <c r="AY754" s="37"/>
      <c r="AZ754" s="37"/>
    </row>
    <row r="755"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  <c r="AG755" s="37"/>
      <c r="AH755" s="37"/>
      <c r="AI755" s="37"/>
      <c r="AJ755" s="37"/>
      <c r="AK755" s="37"/>
      <c r="AL755" s="37"/>
      <c r="AM755" s="37"/>
      <c r="AN755" s="37"/>
      <c r="AO755" s="37"/>
      <c r="AP755" s="37"/>
      <c r="AQ755" s="37"/>
      <c r="AR755" s="37"/>
      <c r="AS755" s="37"/>
      <c r="AT755" s="37"/>
      <c r="AU755" s="37"/>
      <c r="AV755" s="37"/>
      <c r="AW755" s="37"/>
      <c r="AX755" s="37"/>
      <c r="AY755" s="37"/>
      <c r="AZ755" s="37"/>
    </row>
    <row r="756"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  <c r="AG756" s="37"/>
      <c r="AH756" s="37"/>
      <c r="AI756" s="37"/>
      <c r="AJ756" s="37"/>
      <c r="AK756" s="37"/>
      <c r="AL756" s="37"/>
      <c r="AM756" s="37"/>
      <c r="AN756" s="37"/>
      <c r="AO756" s="37"/>
      <c r="AP756" s="37"/>
      <c r="AQ756" s="37"/>
      <c r="AR756" s="37"/>
      <c r="AS756" s="37"/>
      <c r="AT756" s="37"/>
      <c r="AU756" s="37"/>
      <c r="AV756" s="37"/>
      <c r="AW756" s="37"/>
      <c r="AX756" s="37"/>
      <c r="AY756" s="37"/>
      <c r="AZ756" s="37"/>
    </row>
    <row r="757"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  <c r="AG757" s="37"/>
      <c r="AH757" s="37"/>
      <c r="AI757" s="37"/>
      <c r="AJ757" s="37"/>
      <c r="AK757" s="37"/>
      <c r="AL757" s="37"/>
      <c r="AM757" s="37"/>
      <c r="AN757" s="37"/>
      <c r="AO757" s="37"/>
      <c r="AP757" s="37"/>
      <c r="AQ757" s="37"/>
      <c r="AR757" s="37"/>
      <c r="AS757" s="37"/>
      <c r="AT757" s="37"/>
      <c r="AU757" s="37"/>
      <c r="AV757" s="37"/>
      <c r="AW757" s="37"/>
      <c r="AX757" s="37"/>
      <c r="AY757" s="37"/>
      <c r="AZ757" s="37"/>
    </row>
    <row r="758"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  <c r="AH758" s="37"/>
      <c r="AI758" s="37"/>
      <c r="AJ758" s="37"/>
      <c r="AK758" s="37"/>
      <c r="AL758" s="37"/>
      <c r="AM758" s="37"/>
      <c r="AN758" s="37"/>
      <c r="AO758" s="37"/>
      <c r="AP758" s="37"/>
      <c r="AQ758" s="37"/>
      <c r="AR758" s="37"/>
      <c r="AS758" s="37"/>
      <c r="AT758" s="37"/>
      <c r="AU758" s="37"/>
      <c r="AV758" s="37"/>
      <c r="AW758" s="37"/>
      <c r="AX758" s="37"/>
      <c r="AY758" s="37"/>
      <c r="AZ758" s="37"/>
    </row>
    <row r="759"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  <c r="AI759" s="37"/>
      <c r="AJ759" s="37"/>
      <c r="AK759" s="37"/>
      <c r="AL759" s="37"/>
      <c r="AM759" s="37"/>
      <c r="AN759" s="37"/>
      <c r="AO759" s="37"/>
      <c r="AP759" s="37"/>
      <c r="AQ759" s="37"/>
      <c r="AR759" s="37"/>
      <c r="AS759" s="37"/>
      <c r="AT759" s="37"/>
      <c r="AU759" s="37"/>
      <c r="AV759" s="37"/>
      <c r="AW759" s="37"/>
      <c r="AX759" s="37"/>
      <c r="AY759" s="37"/>
      <c r="AZ759" s="37"/>
    </row>
    <row r="760"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  <c r="AH760" s="37"/>
      <c r="AI760" s="37"/>
      <c r="AJ760" s="37"/>
      <c r="AK760" s="37"/>
      <c r="AL760" s="37"/>
      <c r="AM760" s="37"/>
      <c r="AN760" s="37"/>
      <c r="AO760" s="37"/>
      <c r="AP760" s="37"/>
      <c r="AQ760" s="37"/>
      <c r="AR760" s="37"/>
      <c r="AS760" s="37"/>
      <c r="AT760" s="37"/>
      <c r="AU760" s="37"/>
      <c r="AV760" s="37"/>
      <c r="AW760" s="37"/>
      <c r="AX760" s="37"/>
      <c r="AY760" s="37"/>
      <c r="AZ760" s="37"/>
    </row>
    <row r="761"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  <c r="AG761" s="37"/>
      <c r="AH761" s="37"/>
      <c r="AI761" s="37"/>
      <c r="AJ761" s="37"/>
      <c r="AK761" s="37"/>
      <c r="AL761" s="37"/>
      <c r="AM761" s="37"/>
      <c r="AN761" s="37"/>
      <c r="AO761" s="37"/>
      <c r="AP761" s="37"/>
      <c r="AQ761" s="37"/>
      <c r="AR761" s="37"/>
      <c r="AS761" s="37"/>
      <c r="AT761" s="37"/>
      <c r="AU761" s="37"/>
      <c r="AV761" s="37"/>
      <c r="AW761" s="37"/>
      <c r="AX761" s="37"/>
      <c r="AY761" s="37"/>
      <c r="AZ761" s="37"/>
    </row>
    <row r="762"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  <c r="AG762" s="37"/>
      <c r="AH762" s="37"/>
      <c r="AI762" s="37"/>
      <c r="AJ762" s="37"/>
      <c r="AK762" s="37"/>
      <c r="AL762" s="37"/>
      <c r="AM762" s="37"/>
      <c r="AN762" s="37"/>
      <c r="AO762" s="37"/>
      <c r="AP762" s="37"/>
      <c r="AQ762" s="37"/>
      <c r="AR762" s="37"/>
      <c r="AS762" s="37"/>
      <c r="AT762" s="37"/>
      <c r="AU762" s="37"/>
      <c r="AV762" s="37"/>
      <c r="AW762" s="37"/>
      <c r="AX762" s="37"/>
      <c r="AY762" s="37"/>
      <c r="AZ762" s="37"/>
    </row>
    <row r="763"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  <c r="AG763" s="37"/>
      <c r="AH763" s="37"/>
      <c r="AI763" s="37"/>
      <c r="AJ763" s="37"/>
      <c r="AK763" s="37"/>
      <c r="AL763" s="37"/>
      <c r="AM763" s="37"/>
      <c r="AN763" s="37"/>
      <c r="AO763" s="37"/>
      <c r="AP763" s="37"/>
      <c r="AQ763" s="37"/>
      <c r="AR763" s="37"/>
      <c r="AS763" s="37"/>
      <c r="AT763" s="37"/>
      <c r="AU763" s="37"/>
      <c r="AV763" s="37"/>
      <c r="AW763" s="37"/>
      <c r="AX763" s="37"/>
      <c r="AY763" s="37"/>
      <c r="AZ763" s="37"/>
    </row>
    <row r="764"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  <c r="AG764" s="37"/>
      <c r="AH764" s="37"/>
      <c r="AI764" s="37"/>
      <c r="AJ764" s="37"/>
      <c r="AK764" s="37"/>
      <c r="AL764" s="37"/>
      <c r="AM764" s="37"/>
      <c r="AN764" s="37"/>
      <c r="AO764" s="37"/>
      <c r="AP764" s="37"/>
      <c r="AQ764" s="37"/>
      <c r="AR764" s="37"/>
      <c r="AS764" s="37"/>
      <c r="AT764" s="37"/>
      <c r="AU764" s="37"/>
      <c r="AV764" s="37"/>
      <c r="AW764" s="37"/>
      <c r="AX764" s="37"/>
      <c r="AY764" s="37"/>
      <c r="AZ764" s="37"/>
    </row>
    <row r="765"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  <c r="AG765" s="37"/>
      <c r="AH765" s="37"/>
      <c r="AI765" s="37"/>
      <c r="AJ765" s="37"/>
      <c r="AK765" s="37"/>
      <c r="AL765" s="37"/>
      <c r="AM765" s="37"/>
      <c r="AN765" s="37"/>
      <c r="AO765" s="37"/>
      <c r="AP765" s="37"/>
      <c r="AQ765" s="37"/>
      <c r="AR765" s="37"/>
      <c r="AS765" s="37"/>
      <c r="AT765" s="37"/>
      <c r="AU765" s="37"/>
      <c r="AV765" s="37"/>
      <c r="AW765" s="37"/>
      <c r="AX765" s="37"/>
      <c r="AY765" s="37"/>
      <c r="AZ765" s="37"/>
    </row>
    <row r="766"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  <c r="AH766" s="37"/>
      <c r="AI766" s="37"/>
      <c r="AJ766" s="37"/>
      <c r="AK766" s="37"/>
      <c r="AL766" s="37"/>
      <c r="AM766" s="37"/>
      <c r="AN766" s="37"/>
      <c r="AO766" s="37"/>
      <c r="AP766" s="37"/>
      <c r="AQ766" s="37"/>
      <c r="AR766" s="37"/>
      <c r="AS766" s="37"/>
      <c r="AT766" s="37"/>
      <c r="AU766" s="37"/>
      <c r="AV766" s="37"/>
      <c r="AW766" s="37"/>
      <c r="AX766" s="37"/>
      <c r="AY766" s="37"/>
      <c r="AZ766" s="37"/>
    </row>
    <row r="767"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  <c r="AG767" s="37"/>
      <c r="AH767" s="37"/>
      <c r="AI767" s="37"/>
      <c r="AJ767" s="37"/>
      <c r="AK767" s="37"/>
      <c r="AL767" s="37"/>
      <c r="AM767" s="37"/>
      <c r="AN767" s="37"/>
      <c r="AO767" s="37"/>
      <c r="AP767" s="37"/>
      <c r="AQ767" s="37"/>
      <c r="AR767" s="37"/>
      <c r="AS767" s="37"/>
      <c r="AT767" s="37"/>
      <c r="AU767" s="37"/>
      <c r="AV767" s="37"/>
      <c r="AW767" s="37"/>
      <c r="AX767" s="37"/>
      <c r="AY767" s="37"/>
      <c r="AZ767" s="37"/>
    </row>
    <row r="768"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  <c r="AG768" s="37"/>
      <c r="AH768" s="37"/>
      <c r="AI768" s="37"/>
      <c r="AJ768" s="37"/>
      <c r="AK768" s="37"/>
      <c r="AL768" s="37"/>
      <c r="AM768" s="37"/>
      <c r="AN768" s="37"/>
      <c r="AO768" s="37"/>
      <c r="AP768" s="37"/>
      <c r="AQ768" s="37"/>
      <c r="AR768" s="37"/>
      <c r="AS768" s="37"/>
      <c r="AT768" s="37"/>
      <c r="AU768" s="37"/>
      <c r="AV768" s="37"/>
      <c r="AW768" s="37"/>
      <c r="AX768" s="37"/>
      <c r="AY768" s="37"/>
      <c r="AZ768" s="37"/>
    </row>
    <row r="769"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  <c r="AG769" s="37"/>
      <c r="AH769" s="37"/>
      <c r="AI769" s="37"/>
      <c r="AJ769" s="37"/>
      <c r="AK769" s="37"/>
      <c r="AL769" s="37"/>
      <c r="AM769" s="37"/>
      <c r="AN769" s="37"/>
      <c r="AO769" s="37"/>
      <c r="AP769" s="37"/>
      <c r="AQ769" s="37"/>
      <c r="AR769" s="37"/>
      <c r="AS769" s="37"/>
      <c r="AT769" s="37"/>
      <c r="AU769" s="37"/>
      <c r="AV769" s="37"/>
      <c r="AW769" s="37"/>
      <c r="AX769" s="37"/>
      <c r="AY769" s="37"/>
      <c r="AZ769" s="37"/>
    </row>
    <row r="770"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  <c r="AG770" s="37"/>
      <c r="AH770" s="37"/>
      <c r="AI770" s="37"/>
      <c r="AJ770" s="37"/>
      <c r="AK770" s="37"/>
      <c r="AL770" s="37"/>
      <c r="AM770" s="37"/>
      <c r="AN770" s="37"/>
      <c r="AO770" s="37"/>
      <c r="AP770" s="37"/>
      <c r="AQ770" s="37"/>
      <c r="AR770" s="37"/>
      <c r="AS770" s="37"/>
      <c r="AT770" s="37"/>
      <c r="AU770" s="37"/>
      <c r="AV770" s="37"/>
      <c r="AW770" s="37"/>
      <c r="AX770" s="37"/>
      <c r="AY770" s="37"/>
      <c r="AZ770" s="37"/>
    </row>
    <row r="771"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  <c r="AG771" s="37"/>
      <c r="AH771" s="37"/>
      <c r="AI771" s="37"/>
      <c r="AJ771" s="37"/>
      <c r="AK771" s="37"/>
      <c r="AL771" s="37"/>
      <c r="AM771" s="37"/>
      <c r="AN771" s="37"/>
      <c r="AO771" s="37"/>
      <c r="AP771" s="37"/>
      <c r="AQ771" s="37"/>
      <c r="AR771" s="37"/>
      <c r="AS771" s="37"/>
      <c r="AT771" s="37"/>
      <c r="AU771" s="37"/>
      <c r="AV771" s="37"/>
      <c r="AW771" s="37"/>
      <c r="AX771" s="37"/>
      <c r="AY771" s="37"/>
      <c r="AZ771" s="37"/>
    </row>
    <row r="772"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  <c r="AG772" s="37"/>
      <c r="AH772" s="37"/>
      <c r="AI772" s="37"/>
      <c r="AJ772" s="37"/>
      <c r="AK772" s="37"/>
      <c r="AL772" s="37"/>
      <c r="AM772" s="37"/>
      <c r="AN772" s="37"/>
      <c r="AO772" s="37"/>
      <c r="AP772" s="37"/>
      <c r="AQ772" s="37"/>
      <c r="AR772" s="37"/>
      <c r="AS772" s="37"/>
      <c r="AT772" s="37"/>
      <c r="AU772" s="37"/>
      <c r="AV772" s="37"/>
      <c r="AW772" s="37"/>
      <c r="AX772" s="37"/>
      <c r="AY772" s="37"/>
      <c r="AZ772" s="37"/>
    </row>
    <row r="773"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  <c r="AH773" s="37"/>
      <c r="AI773" s="37"/>
      <c r="AJ773" s="37"/>
      <c r="AK773" s="37"/>
      <c r="AL773" s="37"/>
      <c r="AM773" s="37"/>
      <c r="AN773" s="37"/>
      <c r="AO773" s="37"/>
      <c r="AP773" s="37"/>
      <c r="AQ773" s="37"/>
      <c r="AR773" s="37"/>
      <c r="AS773" s="37"/>
      <c r="AT773" s="37"/>
      <c r="AU773" s="37"/>
      <c r="AV773" s="37"/>
      <c r="AW773" s="37"/>
      <c r="AX773" s="37"/>
      <c r="AY773" s="37"/>
      <c r="AZ773" s="37"/>
    </row>
    <row r="774"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  <c r="AG774" s="37"/>
      <c r="AH774" s="37"/>
      <c r="AI774" s="37"/>
      <c r="AJ774" s="37"/>
      <c r="AK774" s="37"/>
      <c r="AL774" s="37"/>
      <c r="AM774" s="37"/>
      <c r="AN774" s="37"/>
      <c r="AO774" s="37"/>
      <c r="AP774" s="37"/>
      <c r="AQ774" s="37"/>
      <c r="AR774" s="37"/>
      <c r="AS774" s="37"/>
      <c r="AT774" s="37"/>
      <c r="AU774" s="37"/>
      <c r="AV774" s="37"/>
      <c r="AW774" s="37"/>
      <c r="AX774" s="37"/>
      <c r="AY774" s="37"/>
      <c r="AZ774" s="37"/>
    </row>
    <row r="775"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  <c r="AG775" s="37"/>
      <c r="AH775" s="37"/>
      <c r="AI775" s="37"/>
      <c r="AJ775" s="37"/>
      <c r="AK775" s="37"/>
      <c r="AL775" s="37"/>
      <c r="AM775" s="37"/>
      <c r="AN775" s="37"/>
      <c r="AO775" s="37"/>
      <c r="AP775" s="37"/>
      <c r="AQ775" s="37"/>
      <c r="AR775" s="37"/>
      <c r="AS775" s="37"/>
      <c r="AT775" s="37"/>
      <c r="AU775" s="37"/>
      <c r="AV775" s="37"/>
      <c r="AW775" s="37"/>
      <c r="AX775" s="37"/>
      <c r="AY775" s="37"/>
      <c r="AZ775" s="37"/>
    </row>
    <row r="776"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  <c r="AG776" s="37"/>
      <c r="AH776" s="37"/>
      <c r="AI776" s="37"/>
      <c r="AJ776" s="37"/>
      <c r="AK776" s="37"/>
      <c r="AL776" s="37"/>
      <c r="AM776" s="37"/>
      <c r="AN776" s="37"/>
      <c r="AO776" s="37"/>
      <c r="AP776" s="37"/>
      <c r="AQ776" s="37"/>
      <c r="AR776" s="37"/>
      <c r="AS776" s="37"/>
      <c r="AT776" s="37"/>
      <c r="AU776" s="37"/>
      <c r="AV776" s="37"/>
      <c r="AW776" s="37"/>
      <c r="AX776" s="37"/>
      <c r="AY776" s="37"/>
      <c r="AZ776" s="37"/>
    </row>
    <row r="777"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  <c r="AG777" s="37"/>
      <c r="AH777" s="37"/>
      <c r="AI777" s="37"/>
      <c r="AJ777" s="37"/>
      <c r="AK777" s="37"/>
      <c r="AL777" s="37"/>
      <c r="AM777" s="37"/>
      <c r="AN777" s="37"/>
      <c r="AO777" s="37"/>
      <c r="AP777" s="37"/>
      <c r="AQ777" s="37"/>
      <c r="AR777" s="37"/>
      <c r="AS777" s="37"/>
      <c r="AT777" s="37"/>
      <c r="AU777" s="37"/>
      <c r="AV777" s="37"/>
      <c r="AW777" s="37"/>
      <c r="AX777" s="37"/>
      <c r="AY777" s="37"/>
      <c r="AZ777" s="37"/>
    </row>
    <row r="778"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  <c r="AG778" s="37"/>
      <c r="AH778" s="37"/>
      <c r="AI778" s="37"/>
      <c r="AJ778" s="37"/>
      <c r="AK778" s="37"/>
      <c r="AL778" s="37"/>
      <c r="AM778" s="37"/>
      <c r="AN778" s="37"/>
      <c r="AO778" s="37"/>
      <c r="AP778" s="37"/>
      <c r="AQ778" s="37"/>
      <c r="AR778" s="37"/>
      <c r="AS778" s="37"/>
      <c r="AT778" s="37"/>
      <c r="AU778" s="37"/>
      <c r="AV778" s="37"/>
      <c r="AW778" s="37"/>
      <c r="AX778" s="37"/>
      <c r="AY778" s="37"/>
      <c r="AZ778" s="37"/>
    </row>
    <row r="779"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  <c r="AG779" s="37"/>
      <c r="AH779" s="37"/>
      <c r="AI779" s="37"/>
      <c r="AJ779" s="37"/>
      <c r="AK779" s="37"/>
      <c r="AL779" s="37"/>
      <c r="AM779" s="37"/>
      <c r="AN779" s="37"/>
      <c r="AO779" s="37"/>
      <c r="AP779" s="37"/>
      <c r="AQ779" s="37"/>
      <c r="AR779" s="37"/>
      <c r="AS779" s="37"/>
      <c r="AT779" s="37"/>
      <c r="AU779" s="37"/>
      <c r="AV779" s="37"/>
      <c r="AW779" s="37"/>
      <c r="AX779" s="37"/>
      <c r="AY779" s="37"/>
      <c r="AZ779" s="37"/>
    </row>
    <row r="780"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  <c r="AG780" s="37"/>
      <c r="AH780" s="37"/>
      <c r="AI780" s="37"/>
      <c r="AJ780" s="37"/>
      <c r="AK780" s="37"/>
      <c r="AL780" s="37"/>
      <c r="AM780" s="37"/>
      <c r="AN780" s="37"/>
      <c r="AO780" s="37"/>
      <c r="AP780" s="37"/>
      <c r="AQ780" s="37"/>
      <c r="AR780" s="37"/>
      <c r="AS780" s="37"/>
      <c r="AT780" s="37"/>
      <c r="AU780" s="37"/>
      <c r="AV780" s="37"/>
      <c r="AW780" s="37"/>
      <c r="AX780" s="37"/>
      <c r="AY780" s="37"/>
      <c r="AZ780" s="37"/>
    </row>
    <row r="781"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  <c r="AG781" s="37"/>
      <c r="AH781" s="37"/>
      <c r="AI781" s="37"/>
      <c r="AJ781" s="37"/>
      <c r="AK781" s="37"/>
      <c r="AL781" s="37"/>
      <c r="AM781" s="37"/>
      <c r="AN781" s="37"/>
      <c r="AO781" s="37"/>
      <c r="AP781" s="37"/>
      <c r="AQ781" s="37"/>
      <c r="AR781" s="37"/>
      <c r="AS781" s="37"/>
      <c r="AT781" s="37"/>
      <c r="AU781" s="37"/>
      <c r="AV781" s="37"/>
      <c r="AW781" s="37"/>
      <c r="AX781" s="37"/>
      <c r="AY781" s="37"/>
      <c r="AZ781" s="37"/>
    </row>
    <row r="782"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  <c r="AG782" s="37"/>
      <c r="AH782" s="37"/>
      <c r="AI782" s="37"/>
      <c r="AJ782" s="37"/>
      <c r="AK782" s="37"/>
      <c r="AL782" s="37"/>
      <c r="AM782" s="37"/>
      <c r="AN782" s="37"/>
      <c r="AO782" s="37"/>
      <c r="AP782" s="37"/>
      <c r="AQ782" s="37"/>
      <c r="AR782" s="37"/>
      <c r="AS782" s="37"/>
      <c r="AT782" s="37"/>
      <c r="AU782" s="37"/>
      <c r="AV782" s="37"/>
      <c r="AW782" s="37"/>
      <c r="AX782" s="37"/>
      <c r="AY782" s="37"/>
      <c r="AZ782" s="37"/>
    </row>
    <row r="783"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  <c r="AH783" s="37"/>
      <c r="AI783" s="37"/>
      <c r="AJ783" s="37"/>
      <c r="AK783" s="37"/>
      <c r="AL783" s="37"/>
      <c r="AM783" s="37"/>
      <c r="AN783" s="37"/>
      <c r="AO783" s="37"/>
      <c r="AP783" s="37"/>
      <c r="AQ783" s="37"/>
      <c r="AR783" s="37"/>
      <c r="AS783" s="37"/>
      <c r="AT783" s="37"/>
      <c r="AU783" s="37"/>
      <c r="AV783" s="37"/>
      <c r="AW783" s="37"/>
      <c r="AX783" s="37"/>
      <c r="AY783" s="37"/>
      <c r="AZ783" s="37"/>
    </row>
    <row r="784"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  <c r="AG784" s="37"/>
      <c r="AH784" s="37"/>
      <c r="AI784" s="37"/>
      <c r="AJ784" s="37"/>
      <c r="AK784" s="37"/>
      <c r="AL784" s="37"/>
      <c r="AM784" s="37"/>
      <c r="AN784" s="37"/>
      <c r="AO784" s="37"/>
      <c r="AP784" s="37"/>
      <c r="AQ784" s="37"/>
      <c r="AR784" s="37"/>
      <c r="AS784" s="37"/>
      <c r="AT784" s="37"/>
      <c r="AU784" s="37"/>
      <c r="AV784" s="37"/>
      <c r="AW784" s="37"/>
      <c r="AX784" s="37"/>
      <c r="AY784" s="37"/>
      <c r="AZ784" s="37"/>
    </row>
    <row r="785"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  <c r="AG785" s="37"/>
      <c r="AH785" s="37"/>
      <c r="AI785" s="37"/>
      <c r="AJ785" s="37"/>
      <c r="AK785" s="37"/>
      <c r="AL785" s="37"/>
      <c r="AM785" s="37"/>
      <c r="AN785" s="37"/>
      <c r="AO785" s="37"/>
      <c r="AP785" s="37"/>
      <c r="AQ785" s="37"/>
      <c r="AR785" s="37"/>
      <c r="AS785" s="37"/>
      <c r="AT785" s="37"/>
      <c r="AU785" s="37"/>
      <c r="AV785" s="37"/>
      <c r="AW785" s="37"/>
      <c r="AX785" s="37"/>
      <c r="AY785" s="37"/>
      <c r="AZ785" s="37"/>
    </row>
    <row r="786"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  <c r="AG786" s="37"/>
      <c r="AH786" s="37"/>
      <c r="AI786" s="37"/>
      <c r="AJ786" s="37"/>
      <c r="AK786" s="37"/>
      <c r="AL786" s="37"/>
      <c r="AM786" s="37"/>
      <c r="AN786" s="37"/>
      <c r="AO786" s="37"/>
      <c r="AP786" s="37"/>
      <c r="AQ786" s="37"/>
      <c r="AR786" s="37"/>
      <c r="AS786" s="37"/>
      <c r="AT786" s="37"/>
      <c r="AU786" s="37"/>
      <c r="AV786" s="37"/>
      <c r="AW786" s="37"/>
      <c r="AX786" s="37"/>
      <c r="AY786" s="37"/>
      <c r="AZ786" s="37"/>
    </row>
    <row r="787"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  <c r="AH787" s="37"/>
      <c r="AI787" s="37"/>
      <c r="AJ787" s="37"/>
      <c r="AK787" s="37"/>
      <c r="AL787" s="37"/>
      <c r="AM787" s="37"/>
      <c r="AN787" s="37"/>
      <c r="AO787" s="37"/>
      <c r="AP787" s="37"/>
      <c r="AQ787" s="37"/>
      <c r="AR787" s="37"/>
      <c r="AS787" s="37"/>
      <c r="AT787" s="37"/>
      <c r="AU787" s="37"/>
      <c r="AV787" s="37"/>
      <c r="AW787" s="37"/>
      <c r="AX787" s="37"/>
      <c r="AY787" s="37"/>
      <c r="AZ787" s="37"/>
    </row>
    <row r="788"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  <c r="AG788" s="37"/>
      <c r="AH788" s="37"/>
      <c r="AI788" s="37"/>
      <c r="AJ788" s="37"/>
      <c r="AK788" s="37"/>
      <c r="AL788" s="37"/>
      <c r="AM788" s="37"/>
      <c r="AN788" s="37"/>
      <c r="AO788" s="37"/>
      <c r="AP788" s="37"/>
      <c r="AQ788" s="37"/>
      <c r="AR788" s="37"/>
      <c r="AS788" s="37"/>
      <c r="AT788" s="37"/>
      <c r="AU788" s="37"/>
      <c r="AV788" s="37"/>
      <c r="AW788" s="37"/>
      <c r="AX788" s="37"/>
      <c r="AY788" s="37"/>
      <c r="AZ788" s="37"/>
    </row>
    <row r="789"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  <c r="AG789" s="37"/>
      <c r="AH789" s="37"/>
      <c r="AI789" s="37"/>
      <c r="AJ789" s="37"/>
      <c r="AK789" s="37"/>
      <c r="AL789" s="37"/>
      <c r="AM789" s="37"/>
      <c r="AN789" s="37"/>
      <c r="AO789" s="37"/>
      <c r="AP789" s="37"/>
      <c r="AQ789" s="37"/>
      <c r="AR789" s="37"/>
      <c r="AS789" s="37"/>
      <c r="AT789" s="37"/>
      <c r="AU789" s="37"/>
      <c r="AV789" s="37"/>
      <c r="AW789" s="37"/>
      <c r="AX789" s="37"/>
      <c r="AY789" s="37"/>
      <c r="AZ789" s="37"/>
    </row>
    <row r="790"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  <c r="AG790" s="37"/>
      <c r="AH790" s="37"/>
      <c r="AI790" s="37"/>
      <c r="AJ790" s="37"/>
      <c r="AK790" s="37"/>
      <c r="AL790" s="37"/>
      <c r="AM790" s="37"/>
      <c r="AN790" s="37"/>
      <c r="AO790" s="37"/>
      <c r="AP790" s="37"/>
      <c r="AQ790" s="37"/>
      <c r="AR790" s="37"/>
      <c r="AS790" s="37"/>
      <c r="AT790" s="37"/>
      <c r="AU790" s="37"/>
      <c r="AV790" s="37"/>
      <c r="AW790" s="37"/>
      <c r="AX790" s="37"/>
      <c r="AY790" s="37"/>
      <c r="AZ790" s="37"/>
    </row>
    <row r="791"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  <c r="AG791" s="37"/>
      <c r="AH791" s="37"/>
      <c r="AI791" s="37"/>
      <c r="AJ791" s="37"/>
      <c r="AK791" s="37"/>
      <c r="AL791" s="37"/>
      <c r="AM791" s="37"/>
      <c r="AN791" s="37"/>
      <c r="AO791" s="37"/>
      <c r="AP791" s="37"/>
      <c r="AQ791" s="37"/>
      <c r="AR791" s="37"/>
      <c r="AS791" s="37"/>
      <c r="AT791" s="37"/>
      <c r="AU791" s="37"/>
      <c r="AV791" s="37"/>
      <c r="AW791" s="37"/>
      <c r="AX791" s="37"/>
      <c r="AY791" s="37"/>
      <c r="AZ791" s="37"/>
    </row>
    <row r="792"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  <c r="AG792" s="37"/>
      <c r="AH792" s="37"/>
      <c r="AI792" s="37"/>
      <c r="AJ792" s="37"/>
      <c r="AK792" s="37"/>
      <c r="AL792" s="37"/>
      <c r="AM792" s="37"/>
      <c r="AN792" s="37"/>
      <c r="AO792" s="37"/>
      <c r="AP792" s="37"/>
      <c r="AQ792" s="37"/>
      <c r="AR792" s="37"/>
      <c r="AS792" s="37"/>
      <c r="AT792" s="37"/>
      <c r="AU792" s="37"/>
      <c r="AV792" s="37"/>
      <c r="AW792" s="37"/>
      <c r="AX792" s="37"/>
      <c r="AY792" s="37"/>
      <c r="AZ792" s="37"/>
    </row>
    <row r="793"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  <c r="AG793" s="37"/>
      <c r="AH793" s="37"/>
      <c r="AI793" s="37"/>
      <c r="AJ793" s="37"/>
      <c r="AK793" s="37"/>
      <c r="AL793" s="37"/>
      <c r="AM793" s="37"/>
      <c r="AN793" s="37"/>
      <c r="AO793" s="37"/>
      <c r="AP793" s="37"/>
      <c r="AQ793" s="37"/>
      <c r="AR793" s="37"/>
      <c r="AS793" s="37"/>
      <c r="AT793" s="37"/>
      <c r="AU793" s="37"/>
      <c r="AV793" s="37"/>
      <c r="AW793" s="37"/>
      <c r="AX793" s="37"/>
      <c r="AY793" s="37"/>
      <c r="AZ793" s="37"/>
    </row>
    <row r="794"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  <c r="AG794" s="37"/>
      <c r="AH794" s="37"/>
      <c r="AI794" s="37"/>
      <c r="AJ794" s="37"/>
      <c r="AK794" s="37"/>
      <c r="AL794" s="37"/>
      <c r="AM794" s="37"/>
      <c r="AN794" s="37"/>
      <c r="AO794" s="37"/>
      <c r="AP794" s="37"/>
      <c r="AQ794" s="37"/>
      <c r="AR794" s="37"/>
      <c r="AS794" s="37"/>
      <c r="AT794" s="37"/>
      <c r="AU794" s="37"/>
      <c r="AV794" s="37"/>
      <c r="AW794" s="37"/>
      <c r="AX794" s="37"/>
      <c r="AY794" s="37"/>
      <c r="AZ794" s="37"/>
    </row>
    <row r="795"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  <c r="AG795" s="37"/>
      <c r="AH795" s="37"/>
      <c r="AI795" s="37"/>
      <c r="AJ795" s="37"/>
      <c r="AK795" s="37"/>
      <c r="AL795" s="37"/>
      <c r="AM795" s="37"/>
      <c r="AN795" s="37"/>
      <c r="AO795" s="37"/>
      <c r="AP795" s="37"/>
      <c r="AQ795" s="37"/>
      <c r="AR795" s="37"/>
      <c r="AS795" s="37"/>
      <c r="AT795" s="37"/>
      <c r="AU795" s="37"/>
      <c r="AV795" s="37"/>
      <c r="AW795" s="37"/>
      <c r="AX795" s="37"/>
      <c r="AY795" s="37"/>
      <c r="AZ795" s="37"/>
    </row>
    <row r="796"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  <c r="AG796" s="37"/>
      <c r="AH796" s="37"/>
      <c r="AI796" s="37"/>
      <c r="AJ796" s="37"/>
      <c r="AK796" s="37"/>
      <c r="AL796" s="37"/>
      <c r="AM796" s="37"/>
      <c r="AN796" s="37"/>
      <c r="AO796" s="37"/>
      <c r="AP796" s="37"/>
      <c r="AQ796" s="37"/>
      <c r="AR796" s="37"/>
      <c r="AS796" s="37"/>
      <c r="AT796" s="37"/>
      <c r="AU796" s="37"/>
      <c r="AV796" s="37"/>
      <c r="AW796" s="37"/>
      <c r="AX796" s="37"/>
      <c r="AY796" s="37"/>
      <c r="AZ796" s="37"/>
    </row>
    <row r="797"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  <c r="AG797" s="37"/>
      <c r="AH797" s="37"/>
      <c r="AI797" s="37"/>
      <c r="AJ797" s="37"/>
      <c r="AK797" s="37"/>
      <c r="AL797" s="37"/>
      <c r="AM797" s="37"/>
      <c r="AN797" s="37"/>
      <c r="AO797" s="37"/>
      <c r="AP797" s="37"/>
      <c r="AQ797" s="37"/>
      <c r="AR797" s="37"/>
      <c r="AS797" s="37"/>
      <c r="AT797" s="37"/>
      <c r="AU797" s="37"/>
      <c r="AV797" s="37"/>
      <c r="AW797" s="37"/>
      <c r="AX797" s="37"/>
      <c r="AY797" s="37"/>
      <c r="AZ797" s="37"/>
    </row>
    <row r="798"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  <c r="AG798" s="37"/>
      <c r="AH798" s="37"/>
      <c r="AI798" s="37"/>
      <c r="AJ798" s="37"/>
      <c r="AK798" s="37"/>
      <c r="AL798" s="37"/>
      <c r="AM798" s="37"/>
      <c r="AN798" s="37"/>
      <c r="AO798" s="37"/>
      <c r="AP798" s="37"/>
      <c r="AQ798" s="37"/>
      <c r="AR798" s="37"/>
      <c r="AS798" s="37"/>
      <c r="AT798" s="37"/>
      <c r="AU798" s="37"/>
      <c r="AV798" s="37"/>
      <c r="AW798" s="37"/>
      <c r="AX798" s="37"/>
      <c r="AY798" s="37"/>
      <c r="AZ798" s="37"/>
    </row>
    <row r="799"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  <c r="AG799" s="37"/>
      <c r="AH799" s="37"/>
      <c r="AI799" s="37"/>
      <c r="AJ799" s="37"/>
      <c r="AK799" s="37"/>
      <c r="AL799" s="37"/>
      <c r="AM799" s="37"/>
      <c r="AN799" s="37"/>
      <c r="AO799" s="37"/>
      <c r="AP799" s="37"/>
      <c r="AQ799" s="37"/>
      <c r="AR799" s="37"/>
      <c r="AS799" s="37"/>
      <c r="AT799" s="37"/>
      <c r="AU799" s="37"/>
      <c r="AV799" s="37"/>
      <c r="AW799" s="37"/>
      <c r="AX799" s="37"/>
      <c r="AY799" s="37"/>
      <c r="AZ799" s="37"/>
    </row>
    <row r="800"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  <c r="AG800" s="37"/>
      <c r="AH800" s="37"/>
      <c r="AI800" s="37"/>
      <c r="AJ800" s="37"/>
      <c r="AK800" s="37"/>
      <c r="AL800" s="37"/>
      <c r="AM800" s="37"/>
      <c r="AN800" s="37"/>
      <c r="AO800" s="37"/>
      <c r="AP800" s="37"/>
      <c r="AQ800" s="37"/>
      <c r="AR800" s="37"/>
      <c r="AS800" s="37"/>
      <c r="AT800" s="37"/>
      <c r="AU800" s="37"/>
      <c r="AV800" s="37"/>
      <c r="AW800" s="37"/>
      <c r="AX800" s="37"/>
      <c r="AY800" s="37"/>
      <c r="AZ800" s="37"/>
    </row>
    <row r="801"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  <c r="AG801" s="37"/>
      <c r="AH801" s="37"/>
      <c r="AI801" s="37"/>
      <c r="AJ801" s="37"/>
      <c r="AK801" s="37"/>
      <c r="AL801" s="37"/>
      <c r="AM801" s="37"/>
      <c r="AN801" s="37"/>
      <c r="AO801" s="37"/>
      <c r="AP801" s="37"/>
      <c r="AQ801" s="37"/>
      <c r="AR801" s="37"/>
      <c r="AS801" s="37"/>
      <c r="AT801" s="37"/>
      <c r="AU801" s="37"/>
      <c r="AV801" s="37"/>
      <c r="AW801" s="37"/>
      <c r="AX801" s="37"/>
      <c r="AY801" s="37"/>
      <c r="AZ801" s="37"/>
    </row>
    <row r="802"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  <c r="AG802" s="37"/>
      <c r="AH802" s="37"/>
      <c r="AI802" s="37"/>
      <c r="AJ802" s="37"/>
      <c r="AK802" s="37"/>
      <c r="AL802" s="37"/>
      <c r="AM802" s="37"/>
      <c r="AN802" s="37"/>
      <c r="AO802" s="37"/>
      <c r="AP802" s="37"/>
      <c r="AQ802" s="37"/>
      <c r="AR802" s="37"/>
      <c r="AS802" s="37"/>
      <c r="AT802" s="37"/>
      <c r="AU802" s="37"/>
      <c r="AV802" s="37"/>
      <c r="AW802" s="37"/>
      <c r="AX802" s="37"/>
      <c r="AY802" s="37"/>
      <c r="AZ802" s="37"/>
    </row>
    <row r="803"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  <c r="AG803" s="37"/>
      <c r="AH803" s="37"/>
      <c r="AI803" s="37"/>
      <c r="AJ803" s="37"/>
      <c r="AK803" s="37"/>
      <c r="AL803" s="37"/>
      <c r="AM803" s="37"/>
      <c r="AN803" s="37"/>
      <c r="AO803" s="37"/>
      <c r="AP803" s="37"/>
      <c r="AQ803" s="37"/>
      <c r="AR803" s="37"/>
      <c r="AS803" s="37"/>
      <c r="AT803" s="37"/>
      <c r="AU803" s="37"/>
      <c r="AV803" s="37"/>
      <c r="AW803" s="37"/>
      <c r="AX803" s="37"/>
      <c r="AY803" s="37"/>
      <c r="AZ803" s="37"/>
    </row>
    <row r="804"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  <c r="AG804" s="37"/>
      <c r="AH804" s="37"/>
      <c r="AI804" s="37"/>
      <c r="AJ804" s="37"/>
      <c r="AK804" s="37"/>
      <c r="AL804" s="37"/>
      <c r="AM804" s="37"/>
      <c r="AN804" s="37"/>
      <c r="AO804" s="37"/>
      <c r="AP804" s="37"/>
      <c r="AQ804" s="37"/>
      <c r="AR804" s="37"/>
      <c r="AS804" s="37"/>
      <c r="AT804" s="37"/>
      <c r="AU804" s="37"/>
      <c r="AV804" s="37"/>
      <c r="AW804" s="37"/>
      <c r="AX804" s="37"/>
      <c r="AY804" s="37"/>
      <c r="AZ804" s="37"/>
    </row>
    <row r="805"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  <c r="AH805" s="37"/>
      <c r="AI805" s="37"/>
      <c r="AJ805" s="37"/>
      <c r="AK805" s="37"/>
      <c r="AL805" s="37"/>
      <c r="AM805" s="37"/>
      <c r="AN805" s="37"/>
      <c r="AO805" s="37"/>
      <c r="AP805" s="37"/>
      <c r="AQ805" s="37"/>
      <c r="AR805" s="37"/>
      <c r="AS805" s="37"/>
      <c r="AT805" s="37"/>
      <c r="AU805" s="37"/>
      <c r="AV805" s="37"/>
      <c r="AW805" s="37"/>
      <c r="AX805" s="37"/>
      <c r="AY805" s="37"/>
      <c r="AZ805" s="37"/>
    </row>
    <row r="806"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  <c r="AH806" s="37"/>
      <c r="AI806" s="37"/>
      <c r="AJ806" s="37"/>
      <c r="AK806" s="37"/>
      <c r="AL806" s="37"/>
      <c r="AM806" s="37"/>
      <c r="AN806" s="37"/>
      <c r="AO806" s="37"/>
      <c r="AP806" s="37"/>
      <c r="AQ806" s="37"/>
      <c r="AR806" s="37"/>
      <c r="AS806" s="37"/>
      <c r="AT806" s="37"/>
      <c r="AU806" s="37"/>
      <c r="AV806" s="37"/>
      <c r="AW806" s="37"/>
      <c r="AX806" s="37"/>
      <c r="AY806" s="37"/>
      <c r="AZ806" s="37"/>
    </row>
    <row r="807"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  <c r="AG807" s="37"/>
      <c r="AH807" s="37"/>
      <c r="AI807" s="37"/>
      <c r="AJ807" s="37"/>
      <c r="AK807" s="37"/>
      <c r="AL807" s="37"/>
      <c r="AM807" s="37"/>
      <c r="AN807" s="37"/>
      <c r="AO807" s="37"/>
      <c r="AP807" s="37"/>
      <c r="AQ807" s="37"/>
      <c r="AR807" s="37"/>
      <c r="AS807" s="37"/>
      <c r="AT807" s="37"/>
      <c r="AU807" s="37"/>
      <c r="AV807" s="37"/>
      <c r="AW807" s="37"/>
      <c r="AX807" s="37"/>
      <c r="AY807" s="37"/>
      <c r="AZ807" s="37"/>
    </row>
    <row r="808"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  <c r="AG808" s="37"/>
      <c r="AH808" s="37"/>
      <c r="AI808" s="37"/>
      <c r="AJ808" s="37"/>
      <c r="AK808" s="37"/>
      <c r="AL808" s="37"/>
      <c r="AM808" s="37"/>
      <c r="AN808" s="37"/>
      <c r="AO808" s="37"/>
      <c r="AP808" s="37"/>
      <c r="AQ808" s="37"/>
      <c r="AR808" s="37"/>
      <c r="AS808" s="37"/>
      <c r="AT808" s="37"/>
      <c r="AU808" s="37"/>
      <c r="AV808" s="37"/>
      <c r="AW808" s="37"/>
      <c r="AX808" s="37"/>
      <c r="AY808" s="37"/>
      <c r="AZ808" s="37"/>
    </row>
    <row r="809"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  <c r="AH809" s="37"/>
      <c r="AI809" s="37"/>
      <c r="AJ809" s="37"/>
      <c r="AK809" s="37"/>
      <c r="AL809" s="37"/>
      <c r="AM809" s="37"/>
      <c r="AN809" s="37"/>
      <c r="AO809" s="37"/>
      <c r="AP809" s="37"/>
      <c r="AQ809" s="37"/>
      <c r="AR809" s="37"/>
      <c r="AS809" s="37"/>
      <c r="AT809" s="37"/>
      <c r="AU809" s="37"/>
      <c r="AV809" s="37"/>
      <c r="AW809" s="37"/>
      <c r="AX809" s="37"/>
      <c r="AY809" s="37"/>
      <c r="AZ809" s="37"/>
    </row>
    <row r="810"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  <c r="AH810" s="37"/>
      <c r="AI810" s="37"/>
      <c r="AJ810" s="37"/>
      <c r="AK810" s="37"/>
      <c r="AL810" s="37"/>
      <c r="AM810" s="37"/>
      <c r="AN810" s="37"/>
      <c r="AO810" s="37"/>
      <c r="AP810" s="37"/>
      <c r="AQ810" s="37"/>
      <c r="AR810" s="37"/>
      <c r="AS810" s="37"/>
      <c r="AT810" s="37"/>
      <c r="AU810" s="37"/>
      <c r="AV810" s="37"/>
      <c r="AW810" s="37"/>
      <c r="AX810" s="37"/>
      <c r="AY810" s="37"/>
      <c r="AZ810" s="37"/>
    </row>
    <row r="811"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  <c r="AG811" s="37"/>
      <c r="AH811" s="37"/>
      <c r="AI811" s="37"/>
      <c r="AJ811" s="37"/>
      <c r="AK811" s="37"/>
      <c r="AL811" s="37"/>
      <c r="AM811" s="37"/>
      <c r="AN811" s="37"/>
      <c r="AO811" s="37"/>
      <c r="AP811" s="37"/>
      <c r="AQ811" s="37"/>
      <c r="AR811" s="37"/>
      <c r="AS811" s="37"/>
      <c r="AT811" s="37"/>
      <c r="AU811" s="37"/>
      <c r="AV811" s="37"/>
      <c r="AW811" s="37"/>
      <c r="AX811" s="37"/>
      <c r="AY811" s="37"/>
      <c r="AZ811" s="37"/>
    </row>
    <row r="812"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  <c r="AH812" s="37"/>
      <c r="AI812" s="37"/>
      <c r="AJ812" s="37"/>
      <c r="AK812" s="37"/>
      <c r="AL812" s="37"/>
      <c r="AM812" s="37"/>
      <c r="AN812" s="37"/>
      <c r="AO812" s="37"/>
      <c r="AP812" s="37"/>
      <c r="AQ812" s="37"/>
      <c r="AR812" s="37"/>
      <c r="AS812" s="37"/>
      <c r="AT812" s="37"/>
      <c r="AU812" s="37"/>
      <c r="AV812" s="37"/>
      <c r="AW812" s="37"/>
      <c r="AX812" s="37"/>
      <c r="AY812" s="37"/>
      <c r="AZ812" s="37"/>
    </row>
    <row r="813"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  <c r="AG813" s="37"/>
      <c r="AH813" s="37"/>
      <c r="AI813" s="37"/>
      <c r="AJ813" s="37"/>
      <c r="AK813" s="37"/>
      <c r="AL813" s="37"/>
      <c r="AM813" s="37"/>
      <c r="AN813" s="37"/>
      <c r="AO813" s="37"/>
      <c r="AP813" s="37"/>
      <c r="AQ813" s="37"/>
      <c r="AR813" s="37"/>
      <c r="AS813" s="37"/>
      <c r="AT813" s="37"/>
      <c r="AU813" s="37"/>
      <c r="AV813" s="37"/>
      <c r="AW813" s="37"/>
      <c r="AX813" s="37"/>
      <c r="AY813" s="37"/>
      <c r="AZ813" s="37"/>
    </row>
    <row r="814"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  <c r="AG814" s="37"/>
      <c r="AH814" s="37"/>
      <c r="AI814" s="37"/>
      <c r="AJ814" s="37"/>
      <c r="AK814" s="37"/>
      <c r="AL814" s="37"/>
      <c r="AM814" s="37"/>
      <c r="AN814" s="37"/>
      <c r="AO814" s="37"/>
      <c r="AP814" s="37"/>
      <c r="AQ814" s="37"/>
      <c r="AR814" s="37"/>
      <c r="AS814" s="37"/>
      <c r="AT814" s="37"/>
      <c r="AU814" s="37"/>
      <c r="AV814" s="37"/>
      <c r="AW814" s="37"/>
      <c r="AX814" s="37"/>
      <c r="AY814" s="37"/>
      <c r="AZ814" s="37"/>
    </row>
    <row r="815"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  <c r="AG815" s="37"/>
      <c r="AH815" s="37"/>
      <c r="AI815" s="37"/>
      <c r="AJ815" s="37"/>
      <c r="AK815" s="37"/>
      <c r="AL815" s="37"/>
      <c r="AM815" s="37"/>
      <c r="AN815" s="37"/>
      <c r="AO815" s="37"/>
      <c r="AP815" s="37"/>
      <c r="AQ815" s="37"/>
      <c r="AR815" s="37"/>
      <c r="AS815" s="37"/>
      <c r="AT815" s="37"/>
      <c r="AU815" s="37"/>
      <c r="AV815" s="37"/>
      <c r="AW815" s="37"/>
      <c r="AX815" s="37"/>
      <c r="AY815" s="37"/>
      <c r="AZ815" s="37"/>
    </row>
    <row r="816"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  <c r="AG816" s="37"/>
      <c r="AH816" s="37"/>
      <c r="AI816" s="37"/>
      <c r="AJ816" s="37"/>
      <c r="AK816" s="37"/>
      <c r="AL816" s="37"/>
      <c r="AM816" s="37"/>
      <c r="AN816" s="37"/>
      <c r="AO816" s="37"/>
      <c r="AP816" s="37"/>
      <c r="AQ816" s="37"/>
      <c r="AR816" s="37"/>
      <c r="AS816" s="37"/>
      <c r="AT816" s="37"/>
      <c r="AU816" s="37"/>
      <c r="AV816" s="37"/>
      <c r="AW816" s="37"/>
      <c r="AX816" s="37"/>
      <c r="AY816" s="37"/>
      <c r="AZ816" s="37"/>
    </row>
    <row r="817"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  <c r="AG817" s="37"/>
      <c r="AH817" s="37"/>
      <c r="AI817" s="37"/>
      <c r="AJ817" s="37"/>
      <c r="AK817" s="37"/>
      <c r="AL817" s="37"/>
      <c r="AM817" s="37"/>
      <c r="AN817" s="37"/>
      <c r="AO817" s="37"/>
      <c r="AP817" s="37"/>
      <c r="AQ817" s="37"/>
      <c r="AR817" s="37"/>
      <c r="AS817" s="37"/>
      <c r="AT817" s="37"/>
      <c r="AU817" s="37"/>
      <c r="AV817" s="37"/>
      <c r="AW817" s="37"/>
      <c r="AX817" s="37"/>
      <c r="AY817" s="37"/>
      <c r="AZ817" s="37"/>
    </row>
    <row r="818"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  <c r="AG818" s="37"/>
      <c r="AH818" s="37"/>
      <c r="AI818" s="37"/>
      <c r="AJ818" s="37"/>
      <c r="AK818" s="37"/>
      <c r="AL818" s="37"/>
      <c r="AM818" s="37"/>
      <c r="AN818" s="37"/>
      <c r="AO818" s="37"/>
      <c r="AP818" s="37"/>
      <c r="AQ818" s="37"/>
      <c r="AR818" s="37"/>
      <c r="AS818" s="37"/>
      <c r="AT818" s="37"/>
      <c r="AU818" s="37"/>
      <c r="AV818" s="37"/>
      <c r="AW818" s="37"/>
      <c r="AX818" s="37"/>
      <c r="AY818" s="37"/>
      <c r="AZ818" s="37"/>
    </row>
    <row r="819"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  <c r="AG819" s="37"/>
      <c r="AH819" s="37"/>
      <c r="AI819" s="37"/>
      <c r="AJ819" s="37"/>
      <c r="AK819" s="37"/>
      <c r="AL819" s="37"/>
      <c r="AM819" s="37"/>
      <c r="AN819" s="37"/>
      <c r="AO819" s="37"/>
      <c r="AP819" s="37"/>
      <c r="AQ819" s="37"/>
      <c r="AR819" s="37"/>
      <c r="AS819" s="37"/>
      <c r="AT819" s="37"/>
      <c r="AU819" s="37"/>
      <c r="AV819" s="37"/>
      <c r="AW819" s="37"/>
      <c r="AX819" s="37"/>
      <c r="AY819" s="37"/>
      <c r="AZ819" s="37"/>
    </row>
    <row r="820"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  <c r="AG820" s="37"/>
      <c r="AH820" s="37"/>
      <c r="AI820" s="37"/>
      <c r="AJ820" s="37"/>
      <c r="AK820" s="37"/>
      <c r="AL820" s="37"/>
      <c r="AM820" s="37"/>
      <c r="AN820" s="37"/>
      <c r="AO820" s="37"/>
      <c r="AP820" s="37"/>
      <c r="AQ820" s="37"/>
      <c r="AR820" s="37"/>
      <c r="AS820" s="37"/>
      <c r="AT820" s="37"/>
      <c r="AU820" s="37"/>
      <c r="AV820" s="37"/>
      <c r="AW820" s="37"/>
      <c r="AX820" s="37"/>
      <c r="AY820" s="37"/>
      <c r="AZ820" s="37"/>
    </row>
    <row r="821"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  <c r="AG821" s="37"/>
      <c r="AH821" s="37"/>
      <c r="AI821" s="37"/>
      <c r="AJ821" s="37"/>
      <c r="AK821" s="37"/>
      <c r="AL821" s="37"/>
      <c r="AM821" s="37"/>
      <c r="AN821" s="37"/>
      <c r="AO821" s="37"/>
      <c r="AP821" s="37"/>
      <c r="AQ821" s="37"/>
      <c r="AR821" s="37"/>
      <c r="AS821" s="37"/>
      <c r="AT821" s="37"/>
      <c r="AU821" s="37"/>
      <c r="AV821" s="37"/>
      <c r="AW821" s="37"/>
      <c r="AX821" s="37"/>
      <c r="AY821" s="37"/>
      <c r="AZ821" s="37"/>
    </row>
    <row r="822"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  <c r="AG822" s="37"/>
      <c r="AH822" s="37"/>
      <c r="AI822" s="37"/>
      <c r="AJ822" s="37"/>
      <c r="AK822" s="37"/>
      <c r="AL822" s="37"/>
      <c r="AM822" s="37"/>
      <c r="AN822" s="37"/>
      <c r="AO822" s="37"/>
      <c r="AP822" s="37"/>
      <c r="AQ822" s="37"/>
      <c r="AR822" s="37"/>
      <c r="AS822" s="37"/>
      <c r="AT822" s="37"/>
      <c r="AU822" s="37"/>
      <c r="AV822" s="37"/>
      <c r="AW822" s="37"/>
      <c r="AX822" s="37"/>
      <c r="AY822" s="37"/>
      <c r="AZ822" s="37"/>
    </row>
    <row r="823"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  <c r="AG823" s="37"/>
      <c r="AH823" s="37"/>
      <c r="AI823" s="37"/>
      <c r="AJ823" s="37"/>
      <c r="AK823" s="37"/>
      <c r="AL823" s="37"/>
      <c r="AM823" s="37"/>
      <c r="AN823" s="37"/>
      <c r="AO823" s="37"/>
      <c r="AP823" s="37"/>
      <c r="AQ823" s="37"/>
      <c r="AR823" s="37"/>
      <c r="AS823" s="37"/>
      <c r="AT823" s="37"/>
      <c r="AU823" s="37"/>
      <c r="AV823" s="37"/>
      <c r="AW823" s="37"/>
      <c r="AX823" s="37"/>
      <c r="AY823" s="37"/>
      <c r="AZ823" s="37"/>
    </row>
    <row r="824"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  <c r="AG824" s="37"/>
      <c r="AH824" s="37"/>
      <c r="AI824" s="37"/>
      <c r="AJ824" s="37"/>
      <c r="AK824" s="37"/>
      <c r="AL824" s="37"/>
      <c r="AM824" s="37"/>
      <c r="AN824" s="37"/>
      <c r="AO824" s="37"/>
      <c r="AP824" s="37"/>
      <c r="AQ824" s="37"/>
      <c r="AR824" s="37"/>
      <c r="AS824" s="37"/>
      <c r="AT824" s="37"/>
      <c r="AU824" s="37"/>
      <c r="AV824" s="37"/>
      <c r="AW824" s="37"/>
      <c r="AX824" s="37"/>
      <c r="AY824" s="37"/>
      <c r="AZ824" s="37"/>
    </row>
    <row r="825"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37"/>
      <c r="AG825" s="37"/>
      <c r="AH825" s="37"/>
      <c r="AI825" s="37"/>
      <c r="AJ825" s="37"/>
      <c r="AK825" s="37"/>
      <c r="AL825" s="37"/>
      <c r="AM825" s="37"/>
      <c r="AN825" s="37"/>
      <c r="AO825" s="37"/>
      <c r="AP825" s="37"/>
      <c r="AQ825" s="37"/>
      <c r="AR825" s="37"/>
      <c r="AS825" s="37"/>
      <c r="AT825" s="37"/>
      <c r="AU825" s="37"/>
      <c r="AV825" s="37"/>
      <c r="AW825" s="37"/>
      <c r="AX825" s="37"/>
      <c r="AY825" s="37"/>
      <c r="AZ825" s="37"/>
    </row>
    <row r="826"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  <c r="AG826" s="37"/>
      <c r="AH826" s="37"/>
      <c r="AI826" s="37"/>
      <c r="AJ826" s="37"/>
      <c r="AK826" s="37"/>
      <c r="AL826" s="37"/>
      <c r="AM826" s="37"/>
      <c r="AN826" s="37"/>
      <c r="AO826" s="37"/>
      <c r="AP826" s="37"/>
      <c r="AQ826" s="37"/>
      <c r="AR826" s="37"/>
      <c r="AS826" s="37"/>
      <c r="AT826" s="37"/>
      <c r="AU826" s="37"/>
      <c r="AV826" s="37"/>
      <c r="AW826" s="37"/>
      <c r="AX826" s="37"/>
      <c r="AY826" s="37"/>
      <c r="AZ826" s="37"/>
    </row>
    <row r="827"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  <c r="AG827" s="37"/>
      <c r="AH827" s="37"/>
      <c r="AI827" s="37"/>
      <c r="AJ827" s="37"/>
      <c r="AK827" s="37"/>
      <c r="AL827" s="37"/>
      <c r="AM827" s="37"/>
      <c r="AN827" s="37"/>
      <c r="AO827" s="37"/>
      <c r="AP827" s="37"/>
      <c r="AQ827" s="37"/>
      <c r="AR827" s="37"/>
      <c r="AS827" s="37"/>
      <c r="AT827" s="37"/>
      <c r="AU827" s="37"/>
      <c r="AV827" s="37"/>
      <c r="AW827" s="37"/>
      <c r="AX827" s="37"/>
      <c r="AY827" s="37"/>
      <c r="AZ827" s="37"/>
    </row>
    <row r="828"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  <c r="AG828" s="37"/>
      <c r="AH828" s="37"/>
      <c r="AI828" s="37"/>
      <c r="AJ828" s="37"/>
      <c r="AK828" s="37"/>
      <c r="AL828" s="37"/>
      <c r="AM828" s="37"/>
      <c r="AN828" s="37"/>
      <c r="AO828" s="37"/>
      <c r="AP828" s="37"/>
      <c r="AQ828" s="37"/>
      <c r="AR828" s="37"/>
      <c r="AS828" s="37"/>
      <c r="AT828" s="37"/>
      <c r="AU828" s="37"/>
      <c r="AV828" s="37"/>
      <c r="AW828" s="37"/>
      <c r="AX828" s="37"/>
      <c r="AY828" s="37"/>
      <c r="AZ828" s="37"/>
    </row>
    <row r="829"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  <c r="AG829" s="37"/>
      <c r="AH829" s="37"/>
      <c r="AI829" s="37"/>
      <c r="AJ829" s="37"/>
      <c r="AK829" s="37"/>
      <c r="AL829" s="37"/>
      <c r="AM829" s="37"/>
      <c r="AN829" s="37"/>
      <c r="AO829" s="37"/>
      <c r="AP829" s="37"/>
      <c r="AQ829" s="37"/>
      <c r="AR829" s="37"/>
      <c r="AS829" s="37"/>
      <c r="AT829" s="37"/>
      <c r="AU829" s="37"/>
      <c r="AV829" s="37"/>
      <c r="AW829" s="37"/>
      <c r="AX829" s="37"/>
      <c r="AY829" s="37"/>
      <c r="AZ829" s="37"/>
    </row>
    <row r="830"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  <c r="AG830" s="37"/>
      <c r="AH830" s="37"/>
      <c r="AI830" s="37"/>
      <c r="AJ830" s="37"/>
      <c r="AK830" s="37"/>
      <c r="AL830" s="37"/>
      <c r="AM830" s="37"/>
      <c r="AN830" s="37"/>
      <c r="AO830" s="37"/>
      <c r="AP830" s="37"/>
      <c r="AQ830" s="37"/>
      <c r="AR830" s="37"/>
      <c r="AS830" s="37"/>
      <c r="AT830" s="37"/>
      <c r="AU830" s="37"/>
      <c r="AV830" s="37"/>
      <c r="AW830" s="37"/>
      <c r="AX830" s="37"/>
      <c r="AY830" s="37"/>
      <c r="AZ830" s="37"/>
    </row>
    <row r="831"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  <c r="AG831" s="37"/>
      <c r="AH831" s="37"/>
      <c r="AI831" s="37"/>
      <c r="AJ831" s="37"/>
      <c r="AK831" s="37"/>
      <c r="AL831" s="37"/>
      <c r="AM831" s="37"/>
      <c r="AN831" s="37"/>
      <c r="AO831" s="37"/>
      <c r="AP831" s="37"/>
      <c r="AQ831" s="37"/>
      <c r="AR831" s="37"/>
      <c r="AS831" s="37"/>
      <c r="AT831" s="37"/>
      <c r="AU831" s="37"/>
      <c r="AV831" s="37"/>
      <c r="AW831" s="37"/>
      <c r="AX831" s="37"/>
      <c r="AY831" s="37"/>
      <c r="AZ831" s="37"/>
    </row>
    <row r="832"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  <c r="AG832" s="37"/>
      <c r="AH832" s="37"/>
      <c r="AI832" s="37"/>
      <c r="AJ832" s="37"/>
      <c r="AK832" s="37"/>
      <c r="AL832" s="37"/>
      <c r="AM832" s="37"/>
      <c r="AN832" s="37"/>
      <c r="AO832" s="37"/>
      <c r="AP832" s="37"/>
      <c r="AQ832" s="37"/>
      <c r="AR832" s="37"/>
      <c r="AS832" s="37"/>
      <c r="AT832" s="37"/>
      <c r="AU832" s="37"/>
      <c r="AV832" s="37"/>
      <c r="AW832" s="37"/>
      <c r="AX832" s="37"/>
      <c r="AY832" s="37"/>
      <c r="AZ832" s="37"/>
    </row>
    <row r="833"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37"/>
      <c r="AG833" s="37"/>
      <c r="AH833" s="37"/>
      <c r="AI833" s="37"/>
      <c r="AJ833" s="37"/>
      <c r="AK833" s="37"/>
      <c r="AL833" s="37"/>
      <c r="AM833" s="37"/>
      <c r="AN833" s="37"/>
      <c r="AO833" s="37"/>
      <c r="AP833" s="37"/>
      <c r="AQ833" s="37"/>
      <c r="AR833" s="37"/>
      <c r="AS833" s="37"/>
      <c r="AT833" s="37"/>
      <c r="AU833" s="37"/>
      <c r="AV833" s="37"/>
      <c r="AW833" s="37"/>
      <c r="AX833" s="37"/>
      <c r="AY833" s="37"/>
      <c r="AZ833" s="37"/>
    </row>
    <row r="834"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  <c r="AG834" s="37"/>
      <c r="AH834" s="37"/>
      <c r="AI834" s="37"/>
      <c r="AJ834" s="37"/>
      <c r="AK834" s="37"/>
      <c r="AL834" s="37"/>
      <c r="AM834" s="37"/>
      <c r="AN834" s="37"/>
      <c r="AO834" s="37"/>
      <c r="AP834" s="37"/>
      <c r="AQ834" s="37"/>
      <c r="AR834" s="37"/>
      <c r="AS834" s="37"/>
      <c r="AT834" s="37"/>
      <c r="AU834" s="37"/>
      <c r="AV834" s="37"/>
      <c r="AW834" s="37"/>
      <c r="AX834" s="37"/>
      <c r="AY834" s="37"/>
      <c r="AZ834" s="37"/>
    </row>
    <row r="835"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  <c r="AG835" s="37"/>
      <c r="AH835" s="37"/>
      <c r="AI835" s="37"/>
      <c r="AJ835" s="37"/>
      <c r="AK835" s="37"/>
      <c r="AL835" s="37"/>
      <c r="AM835" s="37"/>
      <c r="AN835" s="37"/>
      <c r="AO835" s="37"/>
      <c r="AP835" s="37"/>
      <c r="AQ835" s="37"/>
      <c r="AR835" s="37"/>
      <c r="AS835" s="37"/>
      <c r="AT835" s="37"/>
      <c r="AU835" s="37"/>
      <c r="AV835" s="37"/>
      <c r="AW835" s="37"/>
      <c r="AX835" s="37"/>
      <c r="AY835" s="37"/>
      <c r="AZ835" s="37"/>
    </row>
    <row r="836"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  <c r="AG836" s="37"/>
      <c r="AH836" s="37"/>
      <c r="AI836" s="37"/>
      <c r="AJ836" s="37"/>
      <c r="AK836" s="37"/>
      <c r="AL836" s="37"/>
      <c r="AM836" s="37"/>
      <c r="AN836" s="37"/>
      <c r="AO836" s="37"/>
      <c r="AP836" s="37"/>
      <c r="AQ836" s="37"/>
      <c r="AR836" s="37"/>
      <c r="AS836" s="37"/>
      <c r="AT836" s="37"/>
      <c r="AU836" s="37"/>
      <c r="AV836" s="37"/>
      <c r="AW836" s="37"/>
      <c r="AX836" s="37"/>
      <c r="AY836" s="37"/>
      <c r="AZ836" s="37"/>
    </row>
    <row r="837"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  <c r="AG837" s="37"/>
      <c r="AH837" s="37"/>
      <c r="AI837" s="37"/>
      <c r="AJ837" s="37"/>
      <c r="AK837" s="37"/>
      <c r="AL837" s="37"/>
      <c r="AM837" s="37"/>
      <c r="AN837" s="37"/>
      <c r="AO837" s="37"/>
      <c r="AP837" s="37"/>
      <c r="AQ837" s="37"/>
      <c r="AR837" s="37"/>
      <c r="AS837" s="37"/>
      <c r="AT837" s="37"/>
      <c r="AU837" s="37"/>
      <c r="AV837" s="37"/>
      <c r="AW837" s="37"/>
      <c r="AX837" s="37"/>
      <c r="AY837" s="37"/>
      <c r="AZ837" s="37"/>
    </row>
    <row r="838"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  <c r="AG838" s="37"/>
      <c r="AH838" s="37"/>
      <c r="AI838" s="37"/>
      <c r="AJ838" s="37"/>
      <c r="AK838" s="37"/>
      <c r="AL838" s="37"/>
      <c r="AM838" s="37"/>
      <c r="AN838" s="37"/>
      <c r="AO838" s="37"/>
      <c r="AP838" s="37"/>
      <c r="AQ838" s="37"/>
      <c r="AR838" s="37"/>
      <c r="AS838" s="37"/>
      <c r="AT838" s="37"/>
      <c r="AU838" s="37"/>
      <c r="AV838" s="37"/>
      <c r="AW838" s="37"/>
      <c r="AX838" s="37"/>
      <c r="AY838" s="37"/>
      <c r="AZ838" s="37"/>
    </row>
    <row r="839"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  <c r="AG839" s="37"/>
      <c r="AH839" s="37"/>
      <c r="AI839" s="37"/>
      <c r="AJ839" s="37"/>
      <c r="AK839" s="37"/>
      <c r="AL839" s="37"/>
      <c r="AM839" s="37"/>
      <c r="AN839" s="37"/>
      <c r="AO839" s="37"/>
      <c r="AP839" s="37"/>
      <c r="AQ839" s="37"/>
      <c r="AR839" s="37"/>
      <c r="AS839" s="37"/>
      <c r="AT839" s="37"/>
      <c r="AU839" s="37"/>
      <c r="AV839" s="37"/>
      <c r="AW839" s="37"/>
      <c r="AX839" s="37"/>
      <c r="AY839" s="37"/>
      <c r="AZ839" s="37"/>
    </row>
    <row r="840"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  <c r="AG840" s="37"/>
      <c r="AH840" s="37"/>
      <c r="AI840" s="37"/>
      <c r="AJ840" s="37"/>
      <c r="AK840" s="37"/>
      <c r="AL840" s="37"/>
      <c r="AM840" s="37"/>
      <c r="AN840" s="37"/>
      <c r="AO840" s="37"/>
      <c r="AP840" s="37"/>
      <c r="AQ840" s="37"/>
      <c r="AR840" s="37"/>
      <c r="AS840" s="37"/>
      <c r="AT840" s="37"/>
      <c r="AU840" s="37"/>
      <c r="AV840" s="37"/>
      <c r="AW840" s="37"/>
      <c r="AX840" s="37"/>
      <c r="AY840" s="37"/>
      <c r="AZ840" s="37"/>
    </row>
    <row r="841"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  <c r="AG841" s="37"/>
      <c r="AH841" s="37"/>
      <c r="AI841" s="37"/>
      <c r="AJ841" s="37"/>
      <c r="AK841" s="37"/>
      <c r="AL841" s="37"/>
      <c r="AM841" s="37"/>
      <c r="AN841" s="37"/>
      <c r="AO841" s="37"/>
      <c r="AP841" s="37"/>
      <c r="AQ841" s="37"/>
      <c r="AR841" s="37"/>
      <c r="AS841" s="37"/>
      <c r="AT841" s="37"/>
      <c r="AU841" s="37"/>
      <c r="AV841" s="37"/>
      <c r="AW841" s="37"/>
      <c r="AX841" s="37"/>
      <c r="AY841" s="37"/>
      <c r="AZ841" s="37"/>
    </row>
    <row r="842"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  <c r="AG842" s="37"/>
      <c r="AH842" s="37"/>
      <c r="AI842" s="37"/>
      <c r="AJ842" s="37"/>
      <c r="AK842" s="37"/>
      <c r="AL842" s="37"/>
      <c r="AM842" s="37"/>
      <c r="AN842" s="37"/>
      <c r="AO842" s="37"/>
      <c r="AP842" s="37"/>
      <c r="AQ842" s="37"/>
      <c r="AR842" s="37"/>
      <c r="AS842" s="37"/>
      <c r="AT842" s="37"/>
      <c r="AU842" s="37"/>
      <c r="AV842" s="37"/>
      <c r="AW842" s="37"/>
      <c r="AX842" s="37"/>
      <c r="AY842" s="37"/>
      <c r="AZ842" s="37"/>
    </row>
    <row r="843"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  <c r="AG843" s="37"/>
      <c r="AH843" s="37"/>
      <c r="AI843" s="37"/>
      <c r="AJ843" s="37"/>
      <c r="AK843" s="37"/>
      <c r="AL843" s="37"/>
      <c r="AM843" s="37"/>
      <c r="AN843" s="37"/>
      <c r="AO843" s="37"/>
      <c r="AP843" s="37"/>
      <c r="AQ843" s="37"/>
      <c r="AR843" s="37"/>
      <c r="AS843" s="37"/>
      <c r="AT843" s="37"/>
      <c r="AU843" s="37"/>
      <c r="AV843" s="37"/>
      <c r="AW843" s="37"/>
      <c r="AX843" s="37"/>
      <c r="AY843" s="37"/>
      <c r="AZ843" s="37"/>
    </row>
    <row r="844"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  <c r="AG844" s="37"/>
      <c r="AH844" s="37"/>
      <c r="AI844" s="37"/>
      <c r="AJ844" s="37"/>
      <c r="AK844" s="37"/>
      <c r="AL844" s="37"/>
      <c r="AM844" s="37"/>
      <c r="AN844" s="37"/>
      <c r="AO844" s="37"/>
      <c r="AP844" s="37"/>
      <c r="AQ844" s="37"/>
      <c r="AR844" s="37"/>
      <c r="AS844" s="37"/>
      <c r="AT844" s="37"/>
      <c r="AU844" s="37"/>
      <c r="AV844" s="37"/>
      <c r="AW844" s="37"/>
      <c r="AX844" s="37"/>
      <c r="AY844" s="37"/>
      <c r="AZ844" s="37"/>
    </row>
    <row r="845"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  <c r="AG845" s="37"/>
      <c r="AH845" s="37"/>
      <c r="AI845" s="37"/>
      <c r="AJ845" s="37"/>
      <c r="AK845" s="37"/>
      <c r="AL845" s="37"/>
      <c r="AM845" s="37"/>
      <c r="AN845" s="37"/>
      <c r="AO845" s="37"/>
      <c r="AP845" s="37"/>
      <c r="AQ845" s="37"/>
      <c r="AR845" s="37"/>
      <c r="AS845" s="37"/>
      <c r="AT845" s="37"/>
      <c r="AU845" s="37"/>
      <c r="AV845" s="37"/>
      <c r="AW845" s="37"/>
      <c r="AX845" s="37"/>
      <c r="AY845" s="37"/>
      <c r="AZ845" s="37"/>
    </row>
    <row r="846"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  <c r="AG846" s="37"/>
      <c r="AH846" s="37"/>
      <c r="AI846" s="37"/>
      <c r="AJ846" s="37"/>
      <c r="AK846" s="37"/>
      <c r="AL846" s="37"/>
      <c r="AM846" s="37"/>
      <c r="AN846" s="37"/>
      <c r="AO846" s="37"/>
      <c r="AP846" s="37"/>
      <c r="AQ846" s="37"/>
      <c r="AR846" s="37"/>
      <c r="AS846" s="37"/>
      <c r="AT846" s="37"/>
      <c r="AU846" s="37"/>
      <c r="AV846" s="37"/>
      <c r="AW846" s="37"/>
      <c r="AX846" s="37"/>
      <c r="AY846" s="37"/>
      <c r="AZ846" s="37"/>
    </row>
    <row r="847"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  <c r="AG847" s="37"/>
      <c r="AH847" s="37"/>
      <c r="AI847" s="37"/>
      <c r="AJ847" s="37"/>
      <c r="AK847" s="37"/>
      <c r="AL847" s="37"/>
      <c r="AM847" s="37"/>
      <c r="AN847" s="37"/>
      <c r="AO847" s="37"/>
      <c r="AP847" s="37"/>
      <c r="AQ847" s="37"/>
      <c r="AR847" s="37"/>
      <c r="AS847" s="37"/>
      <c r="AT847" s="37"/>
      <c r="AU847" s="37"/>
      <c r="AV847" s="37"/>
      <c r="AW847" s="37"/>
      <c r="AX847" s="37"/>
      <c r="AY847" s="37"/>
      <c r="AZ847" s="37"/>
    </row>
    <row r="848"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  <c r="AG848" s="37"/>
      <c r="AH848" s="37"/>
      <c r="AI848" s="37"/>
      <c r="AJ848" s="37"/>
      <c r="AK848" s="37"/>
      <c r="AL848" s="37"/>
      <c r="AM848" s="37"/>
      <c r="AN848" s="37"/>
      <c r="AO848" s="37"/>
      <c r="AP848" s="37"/>
      <c r="AQ848" s="37"/>
      <c r="AR848" s="37"/>
      <c r="AS848" s="37"/>
      <c r="AT848" s="37"/>
      <c r="AU848" s="37"/>
      <c r="AV848" s="37"/>
      <c r="AW848" s="37"/>
      <c r="AX848" s="37"/>
      <c r="AY848" s="37"/>
      <c r="AZ848" s="37"/>
    </row>
    <row r="849"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  <c r="AG849" s="37"/>
      <c r="AH849" s="37"/>
      <c r="AI849" s="37"/>
      <c r="AJ849" s="37"/>
      <c r="AK849" s="37"/>
      <c r="AL849" s="37"/>
      <c r="AM849" s="37"/>
      <c r="AN849" s="37"/>
      <c r="AO849" s="37"/>
      <c r="AP849" s="37"/>
      <c r="AQ849" s="37"/>
      <c r="AR849" s="37"/>
      <c r="AS849" s="37"/>
      <c r="AT849" s="37"/>
      <c r="AU849" s="37"/>
      <c r="AV849" s="37"/>
      <c r="AW849" s="37"/>
      <c r="AX849" s="37"/>
      <c r="AY849" s="37"/>
      <c r="AZ849" s="37"/>
    </row>
    <row r="850"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37"/>
      <c r="AG850" s="37"/>
      <c r="AH850" s="37"/>
      <c r="AI850" s="37"/>
      <c r="AJ850" s="37"/>
      <c r="AK850" s="37"/>
      <c r="AL850" s="37"/>
      <c r="AM850" s="37"/>
      <c r="AN850" s="37"/>
      <c r="AO850" s="37"/>
      <c r="AP850" s="37"/>
      <c r="AQ850" s="37"/>
      <c r="AR850" s="37"/>
      <c r="AS850" s="37"/>
      <c r="AT850" s="37"/>
      <c r="AU850" s="37"/>
      <c r="AV850" s="37"/>
      <c r="AW850" s="37"/>
      <c r="AX850" s="37"/>
      <c r="AY850" s="37"/>
      <c r="AZ850" s="37"/>
    </row>
    <row r="851"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37"/>
      <c r="AG851" s="37"/>
      <c r="AH851" s="37"/>
      <c r="AI851" s="37"/>
      <c r="AJ851" s="37"/>
      <c r="AK851" s="37"/>
      <c r="AL851" s="37"/>
      <c r="AM851" s="37"/>
      <c r="AN851" s="37"/>
      <c r="AO851" s="37"/>
      <c r="AP851" s="37"/>
      <c r="AQ851" s="37"/>
      <c r="AR851" s="37"/>
      <c r="AS851" s="37"/>
      <c r="AT851" s="37"/>
      <c r="AU851" s="37"/>
      <c r="AV851" s="37"/>
      <c r="AW851" s="37"/>
      <c r="AX851" s="37"/>
      <c r="AY851" s="37"/>
      <c r="AZ851" s="37"/>
    </row>
    <row r="852"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  <c r="AG852" s="37"/>
      <c r="AH852" s="37"/>
      <c r="AI852" s="37"/>
      <c r="AJ852" s="37"/>
      <c r="AK852" s="37"/>
      <c r="AL852" s="37"/>
      <c r="AM852" s="37"/>
      <c r="AN852" s="37"/>
      <c r="AO852" s="37"/>
      <c r="AP852" s="37"/>
      <c r="AQ852" s="37"/>
      <c r="AR852" s="37"/>
      <c r="AS852" s="37"/>
      <c r="AT852" s="37"/>
      <c r="AU852" s="37"/>
      <c r="AV852" s="37"/>
      <c r="AW852" s="37"/>
      <c r="AX852" s="37"/>
      <c r="AY852" s="37"/>
      <c r="AZ852" s="37"/>
    </row>
    <row r="853"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  <c r="AG853" s="37"/>
      <c r="AH853" s="37"/>
      <c r="AI853" s="37"/>
      <c r="AJ853" s="37"/>
      <c r="AK853" s="37"/>
      <c r="AL853" s="37"/>
      <c r="AM853" s="37"/>
      <c r="AN853" s="37"/>
      <c r="AO853" s="37"/>
      <c r="AP853" s="37"/>
      <c r="AQ853" s="37"/>
      <c r="AR853" s="37"/>
      <c r="AS853" s="37"/>
      <c r="AT853" s="37"/>
      <c r="AU853" s="37"/>
      <c r="AV853" s="37"/>
      <c r="AW853" s="37"/>
      <c r="AX853" s="37"/>
      <c r="AY853" s="37"/>
      <c r="AZ853" s="37"/>
    </row>
    <row r="854"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  <c r="AG854" s="37"/>
      <c r="AH854" s="37"/>
      <c r="AI854" s="37"/>
      <c r="AJ854" s="37"/>
      <c r="AK854" s="37"/>
      <c r="AL854" s="37"/>
      <c r="AM854" s="37"/>
      <c r="AN854" s="37"/>
      <c r="AO854" s="37"/>
      <c r="AP854" s="37"/>
      <c r="AQ854" s="37"/>
      <c r="AR854" s="37"/>
      <c r="AS854" s="37"/>
      <c r="AT854" s="37"/>
      <c r="AU854" s="37"/>
      <c r="AV854" s="37"/>
      <c r="AW854" s="37"/>
      <c r="AX854" s="37"/>
      <c r="AY854" s="37"/>
      <c r="AZ854" s="37"/>
    </row>
    <row r="855"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  <c r="AG855" s="37"/>
      <c r="AH855" s="37"/>
      <c r="AI855" s="37"/>
      <c r="AJ855" s="37"/>
      <c r="AK855" s="37"/>
      <c r="AL855" s="37"/>
      <c r="AM855" s="37"/>
      <c r="AN855" s="37"/>
      <c r="AO855" s="37"/>
      <c r="AP855" s="37"/>
      <c r="AQ855" s="37"/>
      <c r="AR855" s="37"/>
      <c r="AS855" s="37"/>
      <c r="AT855" s="37"/>
      <c r="AU855" s="37"/>
      <c r="AV855" s="37"/>
      <c r="AW855" s="37"/>
      <c r="AX855" s="37"/>
      <c r="AY855" s="37"/>
      <c r="AZ855" s="37"/>
    </row>
    <row r="856"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  <c r="AG856" s="37"/>
      <c r="AH856" s="37"/>
      <c r="AI856" s="37"/>
      <c r="AJ856" s="37"/>
      <c r="AK856" s="37"/>
      <c r="AL856" s="37"/>
      <c r="AM856" s="37"/>
      <c r="AN856" s="37"/>
      <c r="AO856" s="37"/>
      <c r="AP856" s="37"/>
      <c r="AQ856" s="37"/>
      <c r="AR856" s="37"/>
      <c r="AS856" s="37"/>
      <c r="AT856" s="37"/>
      <c r="AU856" s="37"/>
      <c r="AV856" s="37"/>
      <c r="AW856" s="37"/>
      <c r="AX856" s="37"/>
      <c r="AY856" s="37"/>
      <c r="AZ856" s="37"/>
    </row>
    <row r="857"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  <c r="AG857" s="37"/>
      <c r="AH857" s="37"/>
      <c r="AI857" s="37"/>
      <c r="AJ857" s="37"/>
      <c r="AK857" s="37"/>
      <c r="AL857" s="37"/>
      <c r="AM857" s="37"/>
      <c r="AN857" s="37"/>
      <c r="AO857" s="37"/>
      <c r="AP857" s="37"/>
      <c r="AQ857" s="37"/>
      <c r="AR857" s="37"/>
      <c r="AS857" s="37"/>
      <c r="AT857" s="37"/>
      <c r="AU857" s="37"/>
      <c r="AV857" s="37"/>
      <c r="AW857" s="37"/>
      <c r="AX857" s="37"/>
      <c r="AY857" s="37"/>
      <c r="AZ857" s="37"/>
    </row>
    <row r="858"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  <c r="AG858" s="37"/>
      <c r="AH858" s="37"/>
      <c r="AI858" s="37"/>
      <c r="AJ858" s="37"/>
      <c r="AK858" s="37"/>
      <c r="AL858" s="37"/>
      <c r="AM858" s="37"/>
      <c r="AN858" s="37"/>
      <c r="AO858" s="37"/>
      <c r="AP858" s="37"/>
      <c r="AQ858" s="37"/>
      <c r="AR858" s="37"/>
      <c r="AS858" s="37"/>
      <c r="AT858" s="37"/>
      <c r="AU858" s="37"/>
      <c r="AV858" s="37"/>
      <c r="AW858" s="37"/>
      <c r="AX858" s="37"/>
      <c r="AY858" s="37"/>
      <c r="AZ858" s="37"/>
    </row>
    <row r="859"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  <c r="AG859" s="37"/>
      <c r="AH859" s="37"/>
      <c r="AI859" s="37"/>
      <c r="AJ859" s="37"/>
      <c r="AK859" s="37"/>
      <c r="AL859" s="37"/>
      <c r="AM859" s="37"/>
      <c r="AN859" s="37"/>
      <c r="AO859" s="37"/>
      <c r="AP859" s="37"/>
      <c r="AQ859" s="37"/>
      <c r="AR859" s="37"/>
      <c r="AS859" s="37"/>
      <c r="AT859" s="37"/>
      <c r="AU859" s="37"/>
      <c r="AV859" s="37"/>
      <c r="AW859" s="37"/>
      <c r="AX859" s="37"/>
      <c r="AY859" s="37"/>
      <c r="AZ859" s="37"/>
    </row>
    <row r="860"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  <c r="AG860" s="37"/>
      <c r="AH860" s="37"/>
      <c r="AI860" s="37"/>
      <c r="AJ860" s="37"/>
      <c r="AK860" s="37"/>
      <c r="AL860" s="37"/>
      <c r="AM860" s="37"/>
      <c r="AN860" s="37"/>
      <c r="AO860" s="37"/>
      <c r="AP860" s="37"/>
      <c r="AQ860" s="37"/>
      <c r="AR860" s="37"/>
      <c r="AS860" s="37"/>
      <c r="AT860" s="37"/>
      <c r="AU860" s="37"/>
      <c r="AV860" s="37"/>
      <c r="AW860" s="37"/>
      <c r="AX860" s="37"/>
      <c r="AY860" s="37"/>
      <c r="AZ860" s="37"/>
    </row>
    <row r="861"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  <c r="AG861" s="37"/>
      <c r="AH861" s="37"/>
      <c r="AI861" s="37"/>
      <c r="AJ861" s="37"/>
      <c r="AK861" s="37"/>
      <c r="AL861" s="37"/>
      <c r="AM861" s="37"/>
      <c r="AN861" s="37"/>
      <c r="AO861" s="37"/>
      <c r="AP861" s="37"/>
      <c r="AQ861" s="37"/>
      <c r="AR861" s="37"/>
      <c r="AS861" s="37"/>
      <c r="AT861" s="37"/>
      <c r="AU861" s="37"/>
      <c r="AV861" s="37"/>
      <c r="AW861" s="37"/>
      <c r="AX861" s="37"/>
      <c r="AY861" s="37"/>
      <c r="AZ861" s="37"/>
    </row>
    <row r="862"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  <c r="AG862" s="37"/>
      <c r="AH862" s="37"/>
      <c r="AI862" s="37"/>
      <c r="AJ862" s="37"/>
      <c r="AK862" s="37"/>
      <c r="AL862" s="37"/>
      <c r="AM862" s="37"/>
      <c r="AN862" s="37"/>
      <c r="AO862" s="37"/>
      <c r="AP862" s="37"/>
      <c r="AQ862" s="37"/>
      <c r="AR862" s="37"/>
      <c r="AS862" s="37"/>
      <c r="AT862" s="37"/>
      <c r="AU862" s="37"/>
      <c r="AV862" s="37"/>
      <c r="AW862" s="37"/>
      <c r="AX862" s="37"/>
      <c r="AY862" s="37"/>
      <c r="AZ862" s="37"/>
    </row>
    <row r="863"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  <c r="AG863" s="37"/>
      <c r="AH863" s="37"/>
      <c r="AI863" s="37"/>
      <c r="AJ863" s="37"/>
      <c r="AK863" s="37"/>
      <c r="AL863" s="37"/>
      <c r="AM863" s="37"/>
      <c r="AN863" s="37"/>
      <c r="AO863" s="37"/>
      <c r="AP863" s="37"/>
      <c r="AQ863" s="37"/>
      <c r="AR863" s="37"/>
      <c r="AS863" s="37"/>
      <c r="AT863" s="37"/>
      <c r="AU863" s="37"/>
      <c r="AV863" s="37"/>
      <c r="AW863" s="37"/>
      <c r="AX863" s="37"/>
      <c r="AY863" s="37"/>
      <c r="AZ863" s="37"/>
    </row>
    <row r="864"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  <c r="AG864" s="37"/>
      <c r="AH864" s="37"/>
      <c r="AI864" s="37"/>
      <c r="AJ864" s="37"/>
      <c r="AK864" s="37"/>
      <c r="AL864" s="37"/>
      <c r="AM864" s="37"/>
      <c r="AN864" s="37"/>
      <c r="AO864" s="37"/>
      <c r="AP864" s="37"/>
      <c r="AQ864" s="37"/>
      <c r="AR864" s="37"/>
      <c r="AS864" s="37"/>
      <c r="AT864" s="37"/>
      <c r="AU864" s="37"/>
      <c r="AV864" s="37"/>
      <c r="AW864" s="37"/>
      <c r="AX864" s="37"/>
      <c r="AY864" s="37"/>
      <c r="AZ864" s="37"/>
    </row>
    <row r="865"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  <c r="AG865" s="37"/>
      <c r="AH865" s="37"/>
      <c r="AI865" s="37"/>
      <c r="AJ865" s="37"/>
      <c r="AK865" s="37"/>
      <c r="AL865" s="37"/>
      <c r="AM865" s="37"/>
      <c r="AN865" s="37"/>
      <c r="AO865" s="37"/>
      <c r="AP865" s="37"/>
      <c r="AQ865" s="37"/>
      <c r="AR865" s="37"/>
      <c r="AS865" s="37"/>
      <c r="AT865" s="37"/>
      <c r="AU865" s="37"/>
      <c r="AV865" s="37"/>
      <c r="AW865" s="37"/>
      <c r="AX865" s="37"/>
      <c r="AY865" s="37"/>
      <c r="AZ865" s="37"/>
    </row>
    <row r="866"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  <c r="AH866" s="37"/>
      <c r="AI866" s="37"/>
      <c r="AJ866" s="37"/>
      <c r="AK866" s="37"/>
      <c r="AL866" s="37"/>
      <c r="AM866" s="37"/>
      <c r="AN866" s="37"/>
      <c r="AO866" s="37"/>
      <c r="AP866" s="37"/>
      <c r="AQ866" s="37"/>
      <c r="AR866" s="37"/>
      <c r="AS866" s="37"/>
      <c r="AT866" s="37"/>
      <c r="AU866" s="37"/>
      <c r="AV866" s="37"/>
      <c r="AW866" s="37"/>
      <c r="AX866" s="37"/>
      <c r="AY866" s="37"/>
      <c r="AZ866" s="37"/>
    </row>
    <row r="867"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  <c r="AG867" s="37"/>
      <c r="AH867" s="37"/>
      <c r="AI867" s="37"/>
      <c r="AJ867" s="37"/>
      <c r="AK867" s="37"/>
      <c r="AL867" s="37"/>
      <c r="AM867" s="37"/>
      <c r="AN867" s="37"/>
      <c r="AO867" s="37"/>
      <c r="AP867" s="37"/>
      <c r="AQ867" s="37"/>
      <c r="AR867" s="37"/>
      <c r="AS867" s="37"/>
      <c r="AT867" s="37"/>
      <c r="AU867" s="37"/>
      <c r="AV867" s="37"/>
      <c r="AW867" s="37"/>
      <c r="AX867" s="37"/>
      <c r="AY867" s="37"/>
      <c r="AZ867" s="37"/>
    </row>
    <row r="868"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  <c r="AG868" s="37"/>
      <c r="AH868" s="37"/>
      <c r="AI868" s="37"/>
      <c r="AJ868" s="37"/>
      <c r="AK868" s="37"/>
      <c r="AL868" s="37"/>
      <c r="AM868" s="37"/>
      <c r="AN868" s="37"/>
      <c r="AO868" s="37"/>
      <c r="AP868" s="37"/>
      <c r="AQ868" s="37"/>
      <c r="AR868" s="37"/>
      <c r="AS868" s="37"/>
      <c r="AT868" s="37"/>
      <c r="AU868" s="37"/>
      <c r="AV868" s="37"/>
      <c r="AW868" s="37"/>
      <c r="AX868" s="37"/>
      <c r="AY868" s="37"/>
      <c r="AZ868" s="37"/>
    </row>
    <row r="869"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  <c r="AG869" s="37"/>
      <c r="AH869" s="37"/>
      <c r="AI869" s="37"/>
      <c r="AJ869" s="37"/>
      <c r="AK869" s="37"/>
      <c r="AL869" s="37"/>
      <c r="AM869" s="37"/>
      <c r="AN869" s="37"/>
      <c r="AO869" s="37"/>
      <c r="AP869" s="37"/>
      <c r="AQ869" s="37"/>
      <c r="AR869" s="37"/>
      <c r="AS869" s="37"/>
      <c r="AT869" s="37"/>
      <c r="AU869" s="37"/>
      <c r="AV869" s="37"/>
      <c r="AW869" s="37"/>
      <c r="AX869" s="37"/>
      <c r="AY869" s="37"/>
      <c r="AZ869" s="37"/>
    </row>
    <row r="870"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  <c r="AG870" s="37"/>
      <c r="AH870" s="37"/>
      <c r="AI870" s="37"/>
      <c r="AJ870" s="37"/>
      <c r="AK870" s="37"/>
      <c r="AL870" s="37"/>
      <c r="AM870" s="37"/>
      <c r="AN870" s="37"/>
      <c r="AO870" s="37"/>
      <c r="AP870" s="37"/>
      <c r="AQ870" s="37"/>
      <c r="AR870" s="37"/>
      <c r="AS870" s="37"/>
      <c r="AT870" s="37"/>
      <c r="AU870" s="37"/>
      <c r="AV870" s="37"/>
      <c r="AW870" s="37"/>
      <c r="AX870" s="37"/>
      <c r="AY870" s="37"/>
      <c r="AZ870" s="37"/>
    </row>
    <row r="871"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  <c r="AG871" s="37"/>
      <c r="AH871" s="37"/>
      <c r="AI871" s="37"/>
      <c r="AJ871" s="37"/>
      <c r="AK871" s="37"/>
      <c r="AL871" s="37"/>
      <c r="AM871" s="37"/>
      <c r="AN871" s="37"/>
      <c r="AO871" s="37"/>
      <c r="AP871" s="37"/>
      <c r="AQ871" s="37"/>
      <c r="AR871" s="37"/>
      <c r="AS871" s="37"/>
      <c r="AT871" s="37"/>
      <c r="AU871" s="37"/>
      <c r="AV871" s="37"/>
      <c r="AW871" s="37"/>
      <c r="AX871" s="37"/>
      <c r="AY871" s="37"/>
      <c r="AZ871" s="37"/>
    </row>
    <row r="872"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  <c r="AG872" s="37"/>
      <c r="AH872" s="37"/>
      <c r="AI872" s="37"/>
      <c r="AJ872" s="37"/>
      <c r="AK872" s="37"/>
      <c r="AL872" s="37"/>
      <c r="AM872" s="37"/>
      <c r="AN872" s="37"/>
      <c r="AO872" s="37"/>
      <c r="AP872" s="37"/>
      <c r="AQ872" s="37"/>
      <c r="AR872" s="37"/>
      <c r="AS872" s="37"/>
      <c r="AT872" s="37"/>
      <c r="AU872" s="37"/>
      <c r="AV872" s="37"/>
      <c r="AW872" s="37"/>
      <c r="AX872" s="37"/>
      <c r="AY872" s="37"/>
      <c r="AZ872" s="37"/>
    </row>
    <row r="873"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  <c r="AG873" s="37"/>
      <c r="AH873" s="37"/>
      <c r="AI873" s="37"/>
      <c r="AJ873" s="37"/>
      <c r="AK873" s="37"/>
      <c r="AL873" s="37"/>
      <c r="AM873" s="37"/>
      <c r="AN873" s="37"/>
      <c r="AO873" s="37"/>
      <c r="AP873" s="37"/>
      <c r="AQ873" s="37"/>
      <c r="AR873" s="37"/>
      <c r="AS873" s="37"/>
      <c r="AT873" s="37"/>
      <c r="AU873" s="37"/>
      <c r="AV873" s="37"/>
      <c r="AW873" s="37"/>
      <c r="AX873" s="37"/>
      <c r="AY873" s="37"/>
      <c r="AZ873" s="37"/>
    </row>
    <row r="874"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  <c r="AG874" s="37"/>
      <c r="AH874" s="37"/>
      <c r="AI874" s="37"/>
      <c r="AJ874" s="37"/>
      <c r="AK874" s="37"/>
      <c r="AL874" s="37"/>
      <c r="AM874" s="37"/>
      <c r="AN874" s="37"/>
      <c r="AO874" s="37"/>
      <c r="AP874" s="37"/>
      <c r="AQ874" s="37"/>
      <c r="AR874" s="37"/>
      <c r="AS874" s="37"/>
      <c r="AT874" s="37"/>
      <c r="AU874" s="37"/>
      <c r="AV874" s="37"/>
      <c r="AW874" s="37"/>
      <c r="AX874" s="37"/>
      <c r="AY874" s="37"/>
      <c r="AZ874" s="37"/>
    </row>
    <row r="875"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  <c r="AG875" s="37"/>
      <c r="AH875" s="37"/>
      <c r="AI875" s="37"/>
      <c r="AJ875" s="37"/>
      <c r="AK875" s="37"/>
      <c r="AL875" s="37"/>
      <c r="AM875" s="37"/>
      <c r="AN875" s="37"/>
      <c r="AO875" s="37"/>
      <c r="AP875" s="37"/>
      <c r="AQ875" s="37"/>
      <c r="AR875" s="37"/>
      <c r="AS875" s="37"/>
      <c r="AT875" s="37"/>
      <c r="AU875" s="37"/>
      <c r="AV875" s="37"/>
      <c r="AW875" s="37"/>
      <c r="AX875" s="37"/>
      <c r="AY875" s="37"/>
      <c r="AZ875" s="37"/>
    </row>
    <row r="876"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  <c r="AG876" s="37"/>
      <c r="AH876" s="37"/>
      <c r="AI876" s="37"/>
      <c r="AJ876" s="37"/>
      <c r="AK876" s="37"/>
      <c r="AL876" s="37"/>
      <c r="AM876" s="37"/>
      <c r="AN876" s="37"/>
      <c r="AO876" s="37"/>
      <c r="AP876" s="37"/>
      <c r="AQ876" s="37"/>
      <c r="AR876" s="37"/>
      <c r="AS876" s="37"/>
      <c r="AT876" s="37"/>
      <c r="AU876" s="37"/>
      <c r="AV876" s="37"/>
      <c r="AW876" s="37"/>
      <c r="AX876" s="37"/>
      <c r="AY876" s="37"/>
      <c r="AZ876" s="37"/>
    </row>
    <row r="877"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  <c r="AG877" s="37"/>
      <c r="AH877" s="37"/>
      <c r="AI877" s="37"/>
      <c r="AJ877" s="37"/>
      <c r="AK877" s="37"/>
      <c r="AL877" s="37"/>
      <c r="AM877" s="37"/>
      <c r="AN877" s="37"/>
      <c r="AO877" s="37"/>
      <c r="AP877" s="37"/>
      <c r="AQ877" s="37"/>
      <c r="AR877" s="37"/>
      <c r="AS877" s="37"/>
      <c r="AT877" s="37"/>
      <c r="AU877" s="37"/>
      <c r="AV877" s="37"/>
      <c r="AW877" s="37"/>
      <c r="AX877" s="37"/>
      <c r="AY877" s="37"/>
      <c r="AZ877" s="37"/>
    </row>
    <row r="878"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  <c r="AG878" s="37"/>
      <c r="AH878" s="37"/>
      <c r="AI878" s="37"/>
      <c r="AJ878" s="37"/>
      <c r="AK878" s="37"/>
      <c r="AL878" s="37"/>
      <c r="AM878" s="37"/>
      <c r="AN878" s="37"/>
      <c r="AO878" s="37"/>
      <c r="AP878" s="37"/>
      <c r="AQ878" s="37"/>
      <c r="AR878" s="37"/>
      <c r="AS878" s="37"/>
      <c r="AT878" s="37"/>
      <c r="AU878" s="37"/>
      <c r="AV878" s="37"/>
      <c r="AW878" s="37"/>
      <c r="AX878" s="37"/>
      <c r="AY878" s="37"/>
      <c r="AZ878" s="37"/>
    </row>
    <row r="879"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  <c r="AG879" s="37"/>
      <c r="AH879" s="37"/>
      <c r="AI879" s="37"/>
      <c r="AJ879" s="37"/>
      <c r="AK879" s="37"/>
      <c r="AL879" s="37"/>
      <c r="AM879" s="37"/>
      <c r="AN879" s="37"/>
      <c r="AO879" s="37"/>
      <c r="AP879" s="37"/>
      <c r="AQ879" s="37"/>
      <c r="AR879" s="37"/>
      <c r="AS879" s="37"/>
      <c r="AT879" s="37"/>
      <c r="AU879" s="37"/>
      <c r="AV879" s="37"/>
      <c r="AW879" s="37"/>
      <c r="AX879" s="37"/>
      <c r="AY879" s="37"/>
      <c r="AZ879" s="37"/>
    </row>
    <row r="880"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  <c r="AG880" s="37"/>
      <c r="AH880" s="37"/>
      <c r="AI880" s="37"/>
      <c r="AJ880" s="37"/>
      <c r="AK880" s="37"/>
      <c r="AL880" s="37"/>
      <c r="AM880" s="37"/>
      <c r="AN880" s="37"/>
      <c r="AO880" s="37"/>
      <c r="AP880" s="37"/>
      <c r="AQ880" s="37"/>
      <c r="AR880" s="37"/>
      <c r="AS880" s="37"/>
      <c r="AT880" s="37"/>
      <c r="AU880" s="37"/>
      <c r="AV880" s="37"/>
      <c r="AW880" s="37"/>
      <c r="AX880" s="37"/>
      <c r="AY880" s="37"/>
      <c r="AZ880" s="37"/>
    </row>
    <row r="881"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  <c r="AG881" s="37"/>
      <c r="AH881" s="37"/>
      <c r="AI881" s="37"/>
      <c r="AJ881" s="37"/>
      <c r="AK881" s="37"/>
      <c r="AL881" s="37"/>
      <c r="AM881" s="37"/>
      <c r="AN881" s="37"/>
      <c r="AO881" s="37"/>
      <c r="AP881" s="37"/>
      <c r="AQ881" s="37"/>
      <c r="AR881" s="37"/>
      <c r="AS881" s="37"/>
      <c r="AT881" s="37"/>
      <c r="AU881" s="37"/>
      <c r="AV881" s="37"/>
      <c r="AW881" s="37"/>
      <c r="AX881" s="37"/>
      <c r="AY881" s="37"/>
      <c r="AZ881" s="37"/>
    </row>
    <row r="882"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  <c r="AG882" s="37"/>
      <c r="AH882" s="37"/>
      <c r="AI882" s="37"/>
      <c r="AJ882" s="37"/>
      <c r="AK882" s="37"/>
      <c r="AL882" s="37"/>
      <c r="AM882" s="37"/>
      <c r="AN882" s="37"/>
      <c r="AO882" s="37"/>
      <c r="AP882" s="37"/>
      <c r="AQ882" s="37"/>
      <c r="AR882" s="37"/>
      <c r="AS882" s="37"/>
      <c r="AT882" s="37"/>
      <c r="AU882" s="37"/>
      <c r="AV882" s="37"/>
      <c r="AW882" s="37"/>
      <c r="AX882" s="37"/>
      <c r="AY882" s="37"/>
      <c r="AZ882" s="37"/>
    </row>
    <row r="883"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  <c r="AG883" s="37"/>
      <c r="AH883" s="37"/>
      <c r="AI883" s="37"/>
      <c r="AJ883" s="37"/>
      <c r="AK883" s="37"/>
      <c r="AL883" s="37"/>
      <c r="AM883" s="37"/>
      <c r="AN883" s="37"/>
      <c r="AO883" s="37"/>
      <c r="AP883" s="37"/>
      <c r="AQ883" s="37"/>
      <c r="AR883" s="37"/>
      <c r="AS883" s="37"/>
      <c r="AT883" s="37"/>
      <c r="AU883" s="37"/>
      <c r="AV883" s="37"/>
      <c r="AW883" s="37"/>
      <c r="AX883" s="37"/>
      <c r="AY883" s="37"/>
      <c r="AZ883" s="37"/>
    </row>
    <row r="884"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  <c r="AG884" s="37"/>
      <c r="AH884" s="37"/>
      <c r="AI884" s="37"/>
      <c r="AJ884" s="37"/>
      <c r="AK884" s="37"/>
      <c r="AL884" s="37"/>
      <c r="AM884" s="37"/>
      <c r="AN884" s="37"/>
      <c r="AO884" s="37"/>
      <c r="AP884" s="37"/>
      <c r="AQ884" s="37"/>
      <c r="AR884" s="37"/>
      <c r="AS884" s="37"/>
      <c r="AT884" s="37"/>
      <c r="AU884" s="37"/>
      <c r="AV884" s="37"/>
      <c r="AW884" s="37"/>
      <c r="AX884" s="37"/>
      <c r="AY884" s="37"/>
      <c r="AZ884" s="37"/>
    </row>
    <row r="885"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  <c r="AG885" s="37"/>
      <c r="AH885" s="37"/>
      <c r="AI885" s="37"/>
      <c r="AJ885" s="37"/>
      <c r="AK885" s="37"/>
      <c r="AL885" s="37"/>
      <c r="AM885" s="37"/>
      <c r="AN885" s="37"/>
      <c r="AO885" s="37"/>
      <c r="AP885" s="37"/>
      <c r="AQ885" s="37"/>
      <c r="AR885" s="37"/>
      <c r="AS885" s="37"/>
      <c r="AT885" s="37"/>
      <c r="AU885" s="37"/>
      <c r="AV885" s="37"/>
      <c r="AW885" s="37"/>
      <c r="AX885" s="37"/>
      <c r="AY885" s="37"/>
      <c r="AZ885" s="37"/>
    </row>
    <row r="886"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  <c r="AG886" s="37"/>
      <c r="AH886" s="37"/>
      <c r="AI886" s="37"/>
      <c r="AJ886" s="37"/>
      <c r="AK886" s="37"/>
      <c r="AL886" s="37"/>
      <c r="AM886" s="37"/>
      <c r="AN886" s="37"/>
      <c r="AO886" s="37"/>
      <c r="AP886" s="37"/>
      <c r="AQ886" s="37"/>
      <c r="AR886" s="37"/>
      <c r="AS886" s="37"/>
      <c r="AT886" s="37"/>
      <c r="AU886" s="37"/>
      <c r="AV886" s="37"/>
      <c r="AW886" s="37"/>
      <c r="AX886" s="37"/>
      <c r="AY886" s="37"/>
      <c r="AZ886" s="37"/>
    </row>
    <row r="887"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  <c r="AG887" s="37"/>
      <c r="AH887" s="37"/>
      <c r="AI887" s="37"/>
      <c r="AJ887" s="37"/>
      <c r="AK887" s="37"/>
      <c r="AL887" s="37"/>
      <c r="AM887" s="37"/>
      <c r="AN887" s="37"/>
      <c r="AO887" s="37"/>
      <c r="AP887" s="37"/>
      <c r="AQ887" s="37"/>
      <c r="AR887" s="37"/>
      <c r="AS887" s="37"/>
      <c r="AT887" s="37"/>
      <c r="AU887" s="37"/>
      <c r="AV887" s="37"/>
      <c r="AW887" s="37"/>
      <c r="AX887" s="37"/>
      <c r="AY887" s="37"/>
      <c r="AZ887" s="37"/>
    </row>
    <row r="888"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  <c r="AG888" s="37"/>
      <c r="AH888" s="37"/>
      <c r="AI888" s="37"/>
      <c r="AJ888" s="37"/>
      <c r="AK888" s="37"/>
      <c r="AL888" s="37"/>
      <c r="AM888" s="37"/>
      <c r="AN888" s="37"/>
      <c r="AO888" s="37"/>
      <c r="AP888" s="37"/>
      <c r="AQ888" s="37"/>
      <c r="AR888" s="37"/>
      <c r="AS888" s="37"/>
      <c r="AT888" s="37"/>
      <c r="AU888" s="37"/>
      <c r="AV888" s="37"/>
      <c r="AW888" s="37"/>
      <c r="AX888" s="37"/>
      <c r="AY888" s="37"/>
      <c r="AZ888" s="37"/>
    </row>
    <row r="889"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  <c r="AG889" s="37"/>
      <c r="AH889" s="37"/>
      <c r="AI889" s="37"/>
      <c r="AJ889" s="37"/>
      <c r="AK889" s="37"/>
      <c r="AL889" s="37"/>
      <c r="AM889" s="37"/>
      <c r="AN889" s="37"/>
      <c r="AO889" s="37"/>
      <c r="AP889" s="37"/>
      <c r="AQ889" s="37"/>
      <c r="AR889" s="37"/>
      <c r="AS889" s="37"/>
      <c r="AT889" s="37"/>
      <c r="AU889" s="37"/>
      <c r="AV889" s="37"/>
      <c r="AW889" s="37"/>
      <c r="AX889" s="37"/>
      <c r="AY889" s="37"/>
      <c r="AZ889" s="37"/>
    </row>
    <row r="890"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  <c r="AG890" s="37"/>
      <c r="AH890" s="37"/>
      <c r="AI890" s="37"/>
      <c r="AJ890" s="37"/>
      <c r="AK890" s="37"/>
      <c r="AL890" s="37"/>
      <c r="AM890" s="37"/>
      <c r="AN890" s="37"/>
      <c r="AO890" s="37"/>
      <c r="AP890" s="37"/>
      <c r="AQ890" s="37"/>
      <c r="AR890" s="37"/>
      <c r="AS890" s="37"/>
      <c r="AT890" s="37"/>
      <c r="AU890" s="37"/>
      <c r="AV890" s="37"/>
      <c r="AW890" s="37"/>
      <c r="AX890" s="37"/>
      <c r="AY890" s="37"/>
      <c r="AZ890" s="37"/>
    </row>
    <row r="891"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  <c r="AG891" s="37"/>
      <c r="AH891" s="37"/>
      <c r="AI891" s="37"/>
      <c r="AJ891" s="37"/>
      <c r="AK891" s="37"/>
      <c r="AL891" s="37"/>
      <c r="AM891" s="37"/>
      <c r="AN891" s="37"/>
      <c r="AO891" s="37"/>
      <c r="AP891" s="37"/>
      <c r="AQ891" s="37"/>
      <c r="AR891" s="37"/>
      <c r="AS891" s="37"/>
      <c r="AT891" s="37"/>
      <c r="AU891" s="37"/>
      <c r="AV891" s="37"/>
      <c r="AW891" s="37"/>
      <c r="AX891" s="37"/>
      <c r="AY891" s="37"/>
      <c r="AZ891" s="37"/>
    </row>
    <row r="892"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  <c r="AG892" s="37"/>
      <c r="AH892" s="37"/>
      <c r="AI892" s="37"/>
      <c r="AJ892" s="37"/>
      <c r="AK892" s="37"/>
      <c r="AL892" s="37"/>
      <c r="AM892" s="37"/>
      <c r="AN892" s="37"/>
      <c r="AO892" s="37"/>
      <c r="AP892" s="37"/>
      <c r="AQ892" s="37"/>
      <c r="AR892" s="37"/>
      <c r="AS892" s="37"/>
      <c r="AT892" s="37"/>
      <c r="AU892" s="37"/>
      <c r="AV892" s="37"/>
      <c r="AW892" s="37"/>
      <c r="AX892" s="37"/>
      <c r="AY892" s="37"/>
      <c r="AZ892" s="37"/>
    </row>
    <row r="893"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  <c r="AG893" s="37"/>
      <c r="AH893" s="37"/>
      <c r="AI893" s="37"/>
      <c r="AJ893" s="37"/>
      <c r="AK893" s="37"/>
      <c r="AL893" s="37"/>
      <c r="AM893" s="37"/>
      <c r="AN893" s="37"/>
      <c r="AO893" s="37"/>
      <c r="AP893" s="37"/>
      <c r="AQ893" s="37"/>
      <c r="AR893" s="37"/>
      <c r="AS893" s="37"/>
      <c r="AT893" s="37"/>
      <c r="AU893" s="37"/>
      <c r="AV893" s="37"/>
      <c r="AW893" s="37"/>
      <c r="AX893" s="37"/>
      <c r="AY893" s="37"/>
      <c r="AZ893" s="37"/>
    </row>
    <row r="894"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  <c r="AG894" s="37"/>
      <c r="AH894" s="37"/>
      <c r="AI894" s="37"/>
      <c r="AJ894" s="37"/>
      <c r="AK894" s="37"/>
      <c r="AL894" s="37"/>
      <c r="AM894" s="37"/>
      <c r="AN894" s="37"/>
      <c r="AO894" s="37"/>
      <c r="AP894" s="37"/>
      <c r="AQ894" s="37"/>
      <c r="AR894" s="37"/>
      <c r="AS894" s="37"/>
      <c r="AT894" s="37"/>
      <c r="AU894" s="37"/>
      <c r="AV894" s="37"/>
      <c r="AW894" s="37"/>
      <c r="AX894" s="37"/>
      <c r="AY894" s="37"/>
      <c r="AZ894" s="37"/>
    </row>
    <row r="895"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  <c r="AG895" s="37"/>
      <c r="AH895" s="37"/>
      <c r="AI895" s="37"/>
      <c r="AJ895" s="37"/>
      <c r="AK895" s="37"/>
      <c r="AL895" s="37"/>
      <c r="AM895" s="37"/>
      <c r="AN895" s="37"/>
      <c r="AO895" s="37"/>
      <c r="AP895" s="37"/>
      <c r="AQ895" s="37"/>
      <c r="AR895" s="37"/>
      <c r="AS895" s="37"/>
      <c r="AT895" s="37"/>
      <c r="AU895" s="37"/>
      <c r="AV895" s="37"/>
      <c r="AW895" s="37"/>
      <c r="AX895" s="37"/>
      <c r="AY895" s="37"/>
      <c r="AZ895" s="37"/>
    </row>
    <row r="896"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  <c r="AG896" s="37"/>
      <c r="AH896" s="37"/>
      <c r="AI896" s="37"/>
      <c r="AJ896" s="37"/>
      <c r="AK896" s="37"/>
      <c r="AL896" s="37"/>
      <c r="AM896" s="37"/>
      <c r="AN896" s="37"/>
      <c r="AO896" s="37"/>
      <c r="AP896" s="37"/>
      <c r="AQ896" s="37"/>
      <c r="AR896" s="37"/>
      <c r="AS896" s="37"/>
      <c r="AT896" s="37"/>
      <c r="AU896" s="37"/>
      <c r="AV896" s="37"/>
      <c r="AW896" s="37"/>
      <c r="AX896" s="37"/>
      <c r="AY896" s="37"/>
      <c r="AZ896" s="37"/>
    </row>
    <row r="897"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  <c r="AG897" s="37"/>
      <c r="AH897" s="37"/>
      <c r="AI897" s="37"/>
      <c r="AJ897" s="37"/>
      <c r="AK897" s="37"/>
      <c r="AL897" s="37"/>
      <c r="AM897" s="37"/>
      <c r="AN897" s="37"/>
      <c r="AO897" s="37"/>
      <c r="AP897" s="37"/>
      <c r="AQ897" s="37"/>
      <c r="AR897" s="37"/>
      <c r="AS897" s="37"/>
      <c r="AT897" s="37"/>
      <c r="AU897" s="37"/>
      <c r="AV897" s="37"/>
      <c r="AW897" s="37"/>
      <c r="AX897" s="37"/>
      <c r="AY897" s="37"/>
      <c r="AZ897" s="37"/>
    </row>
    <row r="898"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  <c r="AG898" s="37"/>
      <c r="AH898" s="37"/>
      <c r="AI898" s="37"/>
      <c r="AJ898" s="37"/>
      <c r="AK898" s="37"/>
      <c r="AL898" s="37"/>
      <c r="AM898" s="37"/>
      <c r="AN898" s="37"/>
      <c r="AO898" s="37"/>
      <c r="AP898" s="37"/>
      <c r="AQ898" s="37"/>
      <c r="AR898" s="37"/>
      <c r="AS898" s="37"/>
      <c r="AT898" s="37"/>
      <c r="AU898" s="37"/>
      <c r="AV898" s="37"/>
      <c r="AW898" s="37"/>
      <c r="AX898" s="37"/>
      <c r="AY898" s="37"/>
      <c r="AZ898" s="37"/>
    </row>
    <row r="899"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  <c r="AG899" s="37"/>
      <c r="AH899" s="37"/>
      <c r="AI899" s="37"/>
      <c r="AJ899" s="37"/>
      <c r="AK899" s="37"/>
      <c r="AL899" s="37"/>
      <c r="AM899" s="37"/>
      <c r="AN899" s="37"/>
      <c r="AO899" s="37"/>
      <c r="AP899" s="37"/>
      <c r="AQ899" s="37"/>
      <c r="AR899" s="37"/>
      <c r="AS899" s="37"/>
      <c r="AT899" s="37"/>
      <c r="AU899" s="37"/>
      <c r="AV899" s="37"/>
      <c r="AW899" s="37"/>
      <c r="AX899" s="37"/>
      <c r="AY899" s="37"/>
      <c r="AZ899" s="37"/>
    </row>
    <row r="900"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  <c r="AG900" s="37"/>
      <c r="AH900" s="37"/>
      <c r="AI900" s="37"/>
      <c r="AJ900" s="37"/>
      <c r="AK900" s="37"/>
      <c r="AL900" s="37"/>
      <c r="AM900" s="37"/>
      <c r="AN900" s="37"/>
      <c r="AO900" s="37"/>
      <c r="AP900" s="37"/>
      <c r="AQ900" s="37"/>
      <c r="AR900" s="37"/>
      <c r="AS900" s="37"/>
      <c r="AT900" s="37"/>
      <c r="AU900" s="37"/>
      <c r="AV900" s="37"/>
      <c r="AW900" s="37"/>
      <c r="AX900" s="37"/>
      <c r="AY900" s="37"/>
      <c r="AZ900" s="37"/>
    </row>
    <row r="901"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  <c r="AG901" s="37"/>
      <c r="AH901" s="37"/>
      <c r="AI901" s="37"/>
      <c r="AJ901" s="37"/>
      <c r="AK901" s="37"/>
      <c r="AL901" s="37"/>
      <c r="AM901" s="37"/>
      <c r="AN901" s="37"/>
      <c r="AO901" s="37"/>
      <c r="AP901" s="37"/>
      <c r="AQ901" s="37"/>
      <c r="AR901" s="37"/>
      <c r="AS901" s="37"/>
      <c r="AT901" s="37"/>
      <c r="AU901" s="37"/>
      <c r="AV901" s="37"/>
      <c r="AW901" s="37"/>
      <c r="AX901" s="37"/>
      <c r="AY901" s="37"/>
      <c r="AZ901" s="37"/>
    </row>
    <row r="902"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  <c r="AG902" s="37"/>
      <c r="AH902" s="37"/>
      <c r="AI902" s="37"/>
      <c r="AJ902" s="37"/>
      <c r="AK902" s="37"/>
      <c r="AL902" s="37"/>
      <c r="AM902" s="37"/>
      <c r="AN902" s="37"/>
      <c r="AO902" s="37"/>
      <c r="AP902" s="37"/>
      <c r="AQ902" s="37"/>
      <c r="AR902" s="37"/>
      <c r="AS902" s="37"/>
      <c r="AT902" s="37"/>
      <c r="AU902" s="37"/>
      <c r="AV902" s="37"/>
      <c r="AW902" s="37"/>
      <c r="AX902" s="37"/>
      <c r="AY902" s="37"/>
      <c r="AZ902" s="37"/>
    </row>
    <row r="903"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  <c r="AG903" s="37"/>
      <c r="AH903" s="37"/>
      <c r="AI903" s="37"/>
      <c r="AJ903" s="37"/>
      <c r="AK903" s="37"/>
      <c r="AL903" s="37"/>
      <c r="AM903" s="37"/>
      <c r="AN903" s="37"/>
      <c r="AO903" s="37"/>
      <c r="AP903" s="37"/>
      <c r="AQ903" s="37"/>
      <c r="AR903" s="37"/>
      <c r="AS903" s="37"/>
      <c r="AT903" s="37"/>
      <c r="AU903" s="37"/>
      <c r="AV903" s="37"/>
      <c r="AW903" s="37"/>
      <c r="AX903" s="37"/>
      <c r="AY903" s="37"/>
      <c r="AZ903" s="37"/>
    </row>
    <row r="904"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  <c r="AG904" s="37"/>
      <c r="AH904" s="37"/>
      <c r="AI904" s="37"/>
      <c r="AJ904" s="37"/>
      <c r="AK904" s="37"/>
      <c r="AL904" s="37"/>
      <c r="AM904" s="37"/>
      <c r="AN904" s="37"/>
      <c r="AO904" s="37"/>
      <c r="AP904" s="37"/>
      <c r="AQ904" s="37"/>
      <c r="AR904" s="37"/>
      <c r="AS904" s="37"/>
      <c r="AT904" s="37"/>
      <c r="AU904" s="37"/>
      <c r="AV904" s="37"/>
      <c r="AW904" s="37"/>
      <c r="AX904" s="37"/>
      <c r="AY904" s="37"/>
      <c r="AZ904" s="37"/>
    </row>
    <row r="905"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  <c r="AG905" s="37"/>
      <c r="AH905" s="37"/>
      <c r="AI905" s="37"/>
      <c r="AJ905" s="37"/>
      <c r="AK905" s="37"/>
      <c r="AL905" s="37"/>
      <c r="AM905" s="37"/>
      <c r="AN905" s="37"/>
      <c r="AO905" s="37"/>
      <c r="AP905" s="37"/>
      <c r="AQ905" s="37"/>
      <c r="AR905" s="37"/>
      <c r="AS905" s="37"/>
      <c r="AT905" s="37"/>
      <c r="AU905" s="37"/>
      <c r="AV905" s="37"/>
      <c r="AW905" s="37"/>
      <c r="AX905" s="37"/>
      <c r="AY905" s="37"/>
      <c r="AZ905" s="37"/>
    </row>
    <row r="906"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  <c r="AG906" s="37"/>
      <c r="AH906" s="37"/>
      <c r="AI906" s="37"/>
      <c r="AJ906" s="37"/>
      <c r="AK906" s="37"/>
      <c r="AL906" s="37"/>
      <c r="AM906" s="37"/>
      <c r="AN906" s="37"/>
      <c r="AO906" s="37"/>
      <c r="AP906" s="37"/>
      <c r="AQ906" s="37"/>
      <c r="AR906" s="37"/>
      <c r="AS906" s="37"/>
      <c r="AT906" s="37"/>
      <c r="AU906" s="37"/>
      <c r="AV906" s="37"/>
      <c r="AW906" s="37"/>
      <c r="AX906" s="37"/>
      <c r="AY906" s="37"/>
      <c r="AZ906" s="37"/>
    </row>
    <row r="907"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  <c r="AG907" s="37"/>
      <c r="AH907" s="37"/>
      <c r="AI907" s="37"/>
      <c r="AJ907" s="37"/>
      <c r="AK907" s="37"/>
      <c r="AL907" s="37"/>
      <c r="AM907" s="37"/>
      <c r="AN907" s="37"/>
      <c r="AO907" s="37"/>
      <c r="AP907" s="37"/>
      <c r="AQ907" s="37"/>
      <c r="AR907" s="37"/>
      <c r="AS907" s="37"/>
      <c r="AT907" s="37"/>
      <c r="AU907" s="37"/>
      <c r="AV907" s="37"/>
      <c r="AW907" s="37"/>
      <c r="AX907" s="37"/>
      <c r="AY907" s="37"/>
      <c r="AZ907" s="37"/>
    </row>
    <row r="908"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  <c r="AG908" s="37"/>
      <c r="AH908" s="37"/>
      <c r="AI908" s="37"/>
      <c r="AJ908" s="37"/>
      <c r="AK908" s="37"/>
      <c r="AL908" s="37"/>
      <c r="AM908" s="37"/>
      <c r="AN908" s="37"/>
      <c r="AO908" s="37"/>
      <c r="AP908" s="37"/>
      <c r="AQ908" s="37"/>
      <c r="AR908" s="37"/>
      <c r="AS908" s="37"/>
      <c r="AT908" s="37"/>
      <c r="AU908" s="37"/>
      <c r="AV908" s="37"/>
      <c r="AW908" s="37"/>
      <c r="AX908" s="37"/>
      <c r="AY908" s="37"/>
      <c r="AZ908" s="37"/>
    </row>
    <row r="909"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  <c r="AG909" s="37"/>
      <c r="AH909" s="37"/>
      <c r="AI909" s="37"/>
      <c r="AJ909" s="37"/>
      <c r="AK909" s="37"/>
      <c r="AL909" s="37"/>
      <c r="AM909" s="37"/>
      <c r="AN909" s="37"/>
      <c r="AO909" s="37"/>
      <c r="AP909" s="37"/>
      <c r="AQ909" s="37"/>
      <c r="AR909" s="37"/>
      <c r="AS909" s="37"/>
      <c r="AT909" s="37"/>
      <c r="AU909" s="37"/>
      <c r="AV909" s="37"/>
      <c r="AW909" s="37"/>
      <c r="AX909" s="37"/>
      <c r="AY909" s="37"/>
      <c r="AZ909" s="37"/>
    </row>
    <row r="910"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  <c r="AG910" s="37"/>
      <c r="AH910" s="37"/>
      <c r="AI910" s="37"/>
      <c r="AJ910" s="37"/>
      <c r="AK910" s="37"/>
      <c r="AL910" s="37"/>
      <c r="AM910" s="37"/>
      <c r="AN910" s="37"/>
      <c r="AO910" s="37"/>
      <c r="AP910" s="37"/>
      <c r="AQ910" s="37"/>
      <c r="AR910" s="37"/>
      <c r="AS910" s="37"/>
      <c r="AT910" s="37"/>
      <c r="AU910" s="37"/>
      <c r="AV910" s="37"/>
      <c r="AW910" s="37"/>
      <c r="AX910" s="37"/>
      <c r="AY910" s="37"/>
      <c r="AZ910" s="37"/>
    </row>
    <row r="911"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  <c r="AG911" s="37"/>
      <c r="AH911" s="37"/>
      <c r="AI911" s="37"/>
      <c r="AJ911" s="37"/>
      <c r="AK911" s="37"/>
      <c r="AL911" s="37"/>
      <c r="AM911" s="37"/>
      <c r="AN911" s="37"/>
      <c r="AO911" s="37"/>
      <c r="AP911" s="37"/>
      <c r="AQ911" s="37"/>
      <c r="AR911" s="37"/>
      <c r="AS911" s="37"/>
      <c r="AT911" s="37"/>
      <c r="AU911" s="37"/>
      <c r="AV911" s="37"/>
      <c r="AW911" s="37"/>
      <c r="AX911" s="37"/>
      <c r="AY911" s="37"/>
      <c r="AZ911" s="37"/>
    </row>
    <row r="912"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  <c r="AG912" s="37"/>
      <c r="AH912" s="37"/>
      <c r="AI912" s="37"/>
      <c r="AJ912" s="37"/>
      <c r="AK912" s="37"/>
      <c r="AL912" s="37"/>
      <c r="AM912" s="37"/>
      <c r="AN912" s="37"/>
      <c r="AO912" s="37"/>
      <c r="AP912" s="37"/>
      <c r="AQ912" s="37"/>
      <c r="AR912" s="37"/>
      <c r="AS912" s="37"/>
      <c r="AT912" s="37"/>
      <c r="AU912" s="37"/>
      <c r="AV912" s="37"/>
      <c r="AW912" s="37"/>
      <c r="AX912" s="37"/>
      <c r="AY912" s="37"/>
      <c r="AZ912" s="37"/>
    </row>
    <row r="913"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  <c r="AG913" s="37"/>
      <c r="AH913" s="37"/>
      <c r="AI913" s="37"/>
      <c r="AJ913" s="37"/>
      <c r="AK913" s="37"/>
      <c r="AL913" s="37"/>
      <c r="AM913" s="37"/>
      <c r="AN913" s="37"/>
      <c r="AO913" s="37"/>
      <c r="AP913" s="37"/>
      <c r="AQ913" s="37"/>
      <c r="AR913" s="37"/>
      <c r="AS913" s="37"/>
      <c r="AT913" s="37"/>
      <c r="AU913" s="37"/>
      <c r="AV913" s="37"/>
      <c r="AW913" s="37"/>
      <c r="AX913" s="37"/>
      <c r="AY913" s="37"/>
      <c r="AZ913" s="37"/>
    </row>
    <row r="914"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  <c r="AG914" s="37"/>
      <c r="AH914" s="37"/>
      <c r="AI914" s="37"/>
      <c r="AJ914" s="37"/>
      <c r="AK914" s="37"/>
      <c r="AL914" s="37"/>
      <c r="AM914" s="37"/>
      <c r="AN914" s="37"/>
      <c r="AO914" s="37"/>
      <c r="AP914" s="37"/>
      <c r="AQ914" s="37"/>
      <c r="AR914" s="37"/>
      <c r="AS914" s="37"/>
      <c r="AT914" s="37"/>
      <c r="AU914" s="37"/>
      <c r="AV914" s="37"/>
      <c r="AW914" s="37"/>
      <c r="AX914" s="37"/>
      <c r="AY914" s="37"/>
      <c r="AZ914" s="37"/>
    </row>
    <row r="915"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  <c r="AG915" s="37"/>
      <c r="AH915" s="37"/>
      <c r="AI915" s="37"/>
      <c r="AJ915" s="37"/>
      <c r="AK915" s="37"/>
      <c r="AL915" s="37"/>
      <c r="AM915" s="37"/>
      <c r="AN915" s="37"/>
      <c r="AO915" s="37"/>
      <c r="AP915" s="37"/>
      <c r="AQ915" s="37"/>
      <c r="AR915" s="37"/>
      <c r="AS915" s="37"/>
      <c r="AT915" s="37"/>
      <c r="AU915" s="37"/>
      <c r="AV915" s="37"/>
      <c r="AW915" s="37"/>
      <c r="AX915" s="37"/>
      <c r="AY915" s="37"/>
      <c r="AZ915" s="37"/>
    </row>
    <row r="916"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  <c r="AG916" s="37"/>
      <c r="AH916" s="37"/>
      <c r="AI916" s="37"/>
      <c r="AJ916" s="37"/>
      <c r="AK916" s="37"/>
      <c r="AL916" s="37"/>
      <c r="AM916" s="37"/>
      <c r="AN916" s="37"/>
      <c r="AO916" s="37"/>
      <c r="AP916" s="37"/>
      <c r="AQ916" s="37"/>
      <c r="AR916" s="37"/>
      <c r="AS916" s="37"/>
      <c r="AT916" s="37"/>
      <c r="AU916" s="37"/>
      <c r="AV916" s="37"/>
      <c r="AW916" s="37"/>
      <c r="AX916" s="37"/>
      <c r="AY916" s="37"/>
      <c r="AZ916" s="37"/>
    </row>
    <row r="917"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37"/>
      <c r="AG917" s="37"/>
      <c r="AH917" s="37"/>
      <c r="AI917" s="37"/>
      <c r="AJ917" s="37"/>
      <c r="AK917" s="37"/>
      <c r="AL917" s="37"/>
      <c r="AM917" s="37"/>
      <c r="AN917" s="37"/>
      <c r="AO917" s="37"/>
      <c r="AP917" s="37"/>
      <c r="AQ917" s="37"/>
      <c r="AR917" s="37"/>
      <c r="AS917" s="37"/>
      <c r="AT917" s="37"/>
      <c r="AU917" s="37"/>
      <c r="AV917" s="37"/>
      <c r="AW917" s="37"/>
      <c r="AX917" s="37"/>
      <c r="AY917" s="37"/>
      <c r="AZ917" s="37"/>
    </row>
    <row r="918"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  <c r="AG918" s="37"/>
      <c r="AH918" s="37"/>
      <c r="AI918" s="37"/>
      <c r="AJ918" s="37"/>
      <c r="AK918" s="37"/>
      <c r="AL918" s="37"/>
      <c r="AM918" s="37"/>
      <c r="AN918" s="37"/>
      <c r="AO918" s="37"/>
      <c r="AP918" s="37"/>
      <c r="AQ918" s="37"/>
      <c r="AR918" s="37"/>
      <c r="AS918" s="37"/>
      <c r="AT918" s="37"/>
      <c r="AU918" s="37"/>
      <c r="AV918" s="37"/>
      <c r="AW918" s="37"/>
      <c r="AX918" s="37"/>
      <c r="AY918" s="37"/>
      <c r="AZ918" s="37"/>
    </row>
    <row r="919"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  <c r="AG919" s="37"/>
      <c r="AH919" s="37"/>
      <c r="AI919" s="37"/>
      <c r="AJ919" s="37"/>
      <c r="AK919" s="37"/>
      <c r="AL919" s="37"/>
      <c r="AM919" s="37"/>
      <c r="AN919" s="37"/>
      <c r="AO919" s="37"/>
      <c r="AP919" s="37"/>
      <c r="AQ919" s="37"/>
      <c r="AR919" s="37"/>
      <c r="AS919" s="37"/>
      <c r="AT919" s="37"/>
      <c r="AU919" s="37"/>
      <c r="AV919" s="37"/>
      <c r="AW919" s="37"/>
      <c r="AX919" s="37"/>
      <c r="AY919" s="37"/>
      <c r="AZ919" s="37"/>
    </row>
    <row r="920"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  <c r="AG920" s="37"/>
      <c r="AH920" s="37"/>
      <c r="AI920" s="37"/>
      <c r="AJ920" s="37"/>
      <c r="AK920" s="37"/>
      <c r="AL920" s="37"/>
      <c r="AM920" s="37"/>
      <c r="AN920" s="37"/>
      <c r="AO920" s="37"/>
      <c r="AP920" s="37"/>
      <c r="AQ920" s="37"/>
      <c r="AR920" s="37"/>
      <c r="AS920" s="37"/>
      <c r="AT920" s="37"/>
      <c r="AU920" s="37"/>
      <c r="AV920" s="37"/>
      <c r="AW920" s="37"/>
      <c r="AX920" s="37"/>
      <c r="AY920" s="37"/>
      <c r="AZ920" s="37"/>
    </row>
    <row r="921"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  <c r="AH921" s="37"/>
      <c r="AI921" s="37"/>
      <c r="AJ921" s="37"/>
      <c r="AK921" s="37"/>
      <c r="AL921" s="37"/>
      <c r="AM921" s="37"/>
      <c r="AN921" s="37"/>
      <c r="AO921" s="37"/>
      <c r="AP921" s="37"/>
      <c r="AQ921" s="37"/>
      <c r="AR921" s="37"/>
      <c r="AS921" s="37"/>
      <c r="AT921" s="37"/>
      <c r="AU921" s="37"/>
      <c r="AV921" s="37"/>
      <c r="AW921" s="37"/>
      <c r="AX921" s="37"/>
      <c r="AY921" s="37"/>
      <c r="AZ921" s="37"/>
    </row>
    <row r="922"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  <c r="AG922" s="37"/>
      <c r="AH922" s="37"/>
      <c r="AI922" s="37"/>
      <c r="AJ922" s="37"/>
      <c r="AK922" s="37"/>
      <c r="AL922" s="37"/>
      <c r="AM922" s="37"/>
      <c r="AN922" s="37"/>
      <c r="AO922" s="37"/>
      <c r="AP922" s="37"/>
      <c r="AQ922" s="37"/>
      <c r="AR922" s="37"/>
      <c r="AS922" s="37"/>
      <c r="AT922" s="37"/>
      <c r="AU922" s="37"/>
      <c r="AV922" s="37"/>
      <c r="AW922" s="37"/>
      <c r="AX922" s="37"/>
      <c r="AY922" s="37"/>
      <c r="AZ922" s="37"/>
    </row>
    <row r="923"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  <c r="AG923" s="37"/>
      <c r="AH923" s="37"/>
      <c r="AI923" s="37"/>
      <c r="AJ923" s="37"/>
      <c r="AK923" s="37"/>
      <c r="AL923" s="37"/>
      <c r="AM923" s="37"/>
      <c r="AN923" s="37"/>
      <c r="AO923" s="37"/>
      <c r="AP923" s="37"/>
      <c r="AQ923" s="37"/>
      <c r="AR923" s="37"/>
      <c r="AS923" s="37"/>
      <c r="AT923" s="37"/>
      <c r="AU923" s="37"/>
      <c r="AV923" s="37"/>
      <c r="AW923" s="37"/>
      <c r="AX923" s="37"/>
      <c r="AY923" s="37"/>
      <c r="AZ923" s="37"/>
    </row>
    <row r="924"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  <c r="AG924" s="37"/>
      <c r="AH924" s="37"/>
      <c r="AI924" s="37"/>
      <c r="AJ924" s="37"/>
      <c r="AK924" s="37"/>
      <c r="AL924" s="37"/>
      <c r="AM924" s="37"/>
      <c r="AN924" s="37"/>
      <c r="AO924" s="37"/>
      <c r="AP924" s="37"/>
      <c r="AQ924" s="37"/>
      <c r="AR924" s="37"/>
      <c r="AS924" s="37"/>
      <c r="AT924" s="37"/>
      <c r="AU924" s="37"/>
      <c r="AV924" s="37"/>
      <c r="AW924" s="37"/>
      <c r="AX924" s="37"/>
      <c r="AY924" s="37"/>
      <c r="AZ924" s="37"/>
    </row>
    <row r="925"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  <c r="AG925" s="37"/>
      <c r="AH925" s="37"/>
      <c r="AI925" s="37"/>
      <c r="AJ925" s="37"/>
      <c r="AK925" s="37"/>
      <c r="AL925" s="37"/>
      <c r="AM925" s="37"/>
      <c r="AN925" s="37"/>
      <c r="AO925" s="37"/>
      <c r="AP925" s="37"/>
      <c r="AQ925" s="37"/>
      <c r="AR925" s="37"/>
      <c r="AS925" s="37"/>
      <c r="AT925" s="37"/>
      <c r="AU925" s="37"/>
      <c r="AV925" s="37"/>
      <c r="AW925" s="37"/>
      <c r="AX925" s="37"/>
      <c r="AY925" s="37"/>
      <c r="AZ925" s="37"/>
    </row>
    <row r="926"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  <c r="AG926" s="37"/>
      <c r="AH926" s="37"/>
      <c r="AI926" s="37"/>
      <c r="AJ926" s="37"/>
      <c r="AK926" s="37"/>
      <c r="AL926" s="37"/>
      <c r="AM926" s="37"/>
      <c r="AN926" s="37"/>
      <c r="AO926" s="37"/>
      <c r="AP926" s="37"/>
      <c r="AQ926" s="37"/>
      <c r="AR926" s="37"/>
      <c r="AS926" s="37"/>
      <c r="AT926" s="37"/>
      <c r="AU926" s="37"/>
      <c r="AV926" s="37"/>
      <c r="AW926" s="37"/>
      <c r="AX926" s="37"/>
      <c r="AY926" s="37"/>
      <c r="AZ926" s="37"/>
    </row>
    <row r="927"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  <c r="AG927" s="37"/>
      <c r="AH927" s="37"/>
      <c r="AI927" s="37"/>
      <c r="AJ927" s="37"/>
      <c r="AK927" s="37"/>
      <c r="AL927" s="37"/>
      <c r="AM927" s="37"/>
      <c r="AN927" s="37"/>
      <c r="AO927" s="37"/>
      <c r="AP927" s="37"/>
      <c r="AQ927" s="37"/>
      <c r="AR927" s="37"/>
      <c r="AS927" s="37"/>
      <c r="AT927" s="37"/>
      <c r="AU927" s="37"/>
      <c r="AV927" s="37"/>
      <c r="AW927" s="37"/>
      <c r="AX927" s="37"/>
      <c r="AY927" s="37"/>
      <c r="AZ927" s="37"/>
    </row>
    <row r="928"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  <c r="AG928" s="37"/>
      <c r="AH928" s="37"/>
      <c r="AI928" s="37"/>
      <c r="AJ928" s="37"/>
      <c r="AK928" s="37"/>
      <c r="AL928" s="37"/>
      <c r="AM928" s="37"/>
      <c r="AN928" s="37"/>
      <c r="AO928" s="37"/>
      <c r="AP928" s="37"/>
      <c r="AQ928" s="37"/>
      <c r="AR928" s="37"/>
      <c r="AS928" s="37"/>
      <c r="AT928" s="37"/>
      <c r="AU928" s="37"/>
      <c r="AV928" s="37"/>
      <c r="AW928" s="37"/>
      <c r="AX928" s="37"/>
      <c r="AY928" s="37"/>
      <c r="AZ928" s="37"/>
    </row>
    <row r="929"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37"/>
      <c r="AG929" s="37"/>
      <c r="AH929" s="37"/>
      <c r="AI929" s="37"/>
      <c r="AJ929" s="37"/>
      <c r="AK929" s="37"/>
      <c r="AL929" s="37"/>
      <c r="AM929" s="37"/>
      <c r="AN929" s="37"/>
      <c r="AO929" s="37"/>
      <c r="AP929" s="37"/>
      <c r="AQ929" s="37"/>
      <c r="AR929" s="37"/>
      <c r="AS929" s="37"/>
      <c r="AT929" s="37"/>
      <c r="AU929" s="37"/>
      <c r="AV929" s="37"/>
      <c r="AW929" s="37"/>
      <c r="AX929" s="37"/>
      <c r="AY929" s="37"/>
      <c r="AZ929" s="37"/>
    </row>
    <row r="930"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  <c r="AG930" s="37"/>
      <c r="AH930" s="37"/>
      <c r="AI930" s="37"/>
      <c r="AJ930" s="37"/>
      <c r="AK930" s="37"/>
      <c r="AL930" s="37"/>
      <c r="AM930" s="37"/>
      <c r="AN930" s="37"/>
      <c r="AO930" s="37"/>
      <c r="AP930" s="37"/>
      <c r="AQ930" s="37"/>
      <c r="AR930" s="37"/>
      <c r="AS930" s="37"/>
      <c r="AT930" s="37"/>
      <c r="AU930" s="37"/>
      <c r="AV930" s="37"/>
      <c r="AW930" s="37"/>
      <c r="AX930" s="37"/>
      <c r="AY930" s="37"/>
      <c r="AZ930" s="37"/>
    </row>
    <row r="931"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  <c r="AG931" s="37"/>
      <c r="AH931" s="37"/>
      <c r="AI931" s="37"/>
      <c r="AJ931" s="37"/>
      <c r="AK931" s="37"/>
      <c r="AL931" s="37"/>
      <c r="AM931" s="37"/>
      <c r="AN931" s="37"/>
      <c r="AO931" s="37"/>
      <c r="AP931" s="37"/>
      <c r="AQ931" s="37"/>
      <c r="AR931" s="37"/>
      <c r="AS931" s="37"/>
      <c r="AT931" s="37"/>
      <c r="AU931" s="37"/>
      <c r="AV931" s="37"/>
      <c r="AW931" s="37"/>
      <c r="AX931" s="37"/>
      <c r="AY931" s="37"/>
      <c r="AZ931" s="37"/>
    </row>
    <row r="932"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  <c r="AG932" s="37"/>
      <c r="AH932" s="37"/>
      <c r="AI932" s="37"/>
      <c r="AJ932" s="37"/>
      <c r="AK932" s="37"/>
      <c r="AL932" s="37"/>
      <c r="AM932" s="37"/>
      <c r="AN932" s="37"/>
      <c r="AO932" s="37"/>
      <c r="AP932" s="37"/>
      <c r="AQ932" s="37"/>
      <c r="AR932" s="37"/>
      <c r="AS932" s="37"/>
      <c r="AT932" s="37"/>
      <c r="AU932" s="37"/>
      <c r="AV932" s="37"/>
      <c r="AW932" s="37"/>
      <c r="AX932" s="37"/>
      <c r="AY932" s="37"/>
      <c r="AZ932" s="37"/>
    </row>
    <row r="933"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  <c r="AG933" s="37"/>
      <c r="AH933" s="37"/>
      <c r="AI933" s="37"/>
      <c r="AJ933" s="37"/>
      <c r="AK933" s="37"/>
      <c r="AL933" s="37"/>
      <c r="AM933" s="37"/>
      <c r="AN933" s="37"/>
      <c r="AO933" s="37"/>
      <c r="AP933" s="37"/>
      <c r="AQ933" s="37"/>
      <c r="AR933" s="37"/>
      <c r="AS933" s="37"/>
      <c r="AT933" s="37"/>
      <c r="AU933" s="37"/>
      <c r="AV933" s="37"/>
      <c r="AW933" s="37"/>
      <c r="AX933" s="37"/>
      <c r="AY933" s="37"/>
      <c r="AZ933" s="37"/>
    </row>
    <row r="934"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  <c r="AG934" s="37"/>
      <c r="AH934" s="37"/>
      <c r="AI934" s="37"/>
      <c r="AJ934" s="37"/>
      <c r="AK934" s="37"/>
      <c r="AL934" s="37"/>
      <c r="AM934" s="37"/>
      <c r="AN934" s="37"/>
      <c r="AO934" s="37"/>
      <c r="AP934" s="37"/>
      <c r="AQ934" s="37"/>
      <c r="AR934" s="37"/>
      <c r="AS934" s="37"/>
      <c r="AT934" s="37"/>
      <c r="AU934" s="37"/>
      <c r="AV934" s="37"/>
      <c r="AW934" s="37"/>
      <c r="AX934" s="37"/>
      <c r="AY934" s="37"/>
      <c r="AZ934" s="37"/>
    </row>
    <row r="935"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37"/>
      <c r="AG935" s="37"/>
      <c r="AH935" s="37"/>
      <c r="AI935" s="37"/>
      <c r="AJ935" s="37"/>
      <c r="AK935" s="37"/>
      <c r="AL935" s="37"/>
      <c r="AM935" s="37"/>
      <c r="AN935" s="37"/>
      <c r="AO935" s="37"/>
      <c r="AP935" s="37"/>
      <c r="AQ935" s="37"/>
      <c r="AR935" s="37"/>
      <c r="AS935" s="37"/>
      <c r="AT935" s="37"/>
      <c r="AU935" s="37"/>
      <c r="AV935" s="37"/>
      <c r="AW935" s="37"/>
      <c r="AX935" s="37"/>
      <c r="AY935" s="37"/>
      <c r="AZ935" s="37"/>
    </row>
    <row r="936"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  <c r="AG936" s="37"/>
      <c r="AH936" s="37"/>
      <c r="AI936" s="37"/>
      <c r="AJ936" s="37"/>
      <c r="AK936" s="37"/>
      <c r="AL936" s="37"/>
      <c r="AM936" s="37"/>
      <c r="AN936" s="37"/>
      <c r="AO936" s="37"/>
      <c r="AP936" s="37"/>
      <c r="AQ936" s="37"/>
      <c r="AR936" s="37"/>
      <c r="AS936" s="37"/>
      <c r="AT936" s="37"/>
      <c r="AU936" s="37"/>
      <c r="AV936" s="37"/>
      <c r="AW936" s="37"/>
      <c r="AX936" s="37"/>
      <c r="AY936" s="37"/>
      <c r="AZ936" s="37"/>
    </row>
    <row r="937"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  <c r="AG937" s="37"/>
      <c r="AH937" s="37"/>
      <c r="AI937" s="37"/>
      <c r="AJ937" s="37"/>
      <c r="AK937" s="37"/>
      <c r="AL937" s="37"/>
      <c r="AM937" s="37"/>
      <c r="AN937" s="37"/>
      <c r="AO937" s="37"/>
      <c r="AP937" s="37"/>
      <c r="AQ937" s="37"/>
      <c r="AR937" s="37"/>
      <c r="AS937" s="37"/>
      <c r="AT937" s="37"/>
      <c r="AU937" s="37"/>
      <c r="AV937" s="37"/>
      <c r="AW937" s="37"/>
      <c r="AX937" s="37"/>
      <c r="AY937" s="37"/>
      <c r="AZ937" s="37"/>
    </row>
    <row r="938"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  <c r="AG938" s="37"/>
      <c r="AH938" s="37"/>
      <c r="AI938" s="37"/>
      <c r="AJ938" s="37"/>
      <c r="AK938" s="37"/>
      <c r="AL938" s="37"/>
      <c r="AM938" s="37"/>
      <c r="AN938" s="37"/>
      <c r="AO938" s="37"/>
      <c r="AP938" s="37"/>
      <c r="AQ938" s="37"/>
      <c r="AR938" s="37"/>
      <c r="AS938" s="37"/>
      <c r="AT938" s="37"/>
      <c r="AU938" s="37"/>
      <c r="AV938" s="37"/>
      <c r="AW938" s="37"/>
      <c r="AX938" s="37"/>
      <c r="AY938" s="37"/>
      <c r="AZ938" s="37"/>
    </row>
    <row r="939"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  <c r="AG939" s="37"/>
      <c r="AH939" s="37"/>
      <c r="AI939" s="37"/>
      <c r="AJ939" s="37"/>
      <c r="AK939" s="37"/>
      <c r="AL939" s="37"/>
      <c r="AM939" s="37"/>
      <c r="AN939" s="37"/>
      <c r="AO939" s="37"/>
      <c r="AP939" s="37"/>
      <c r="AQ939" s="37"/>
      <c r="AR939" s="37"/>
      <c r="AS939" s="37"/>
      <c r="AT939" s="37"/>
      <c r="AU939" s="37"/>
      <c r="AV939" s="37"/>
      <c r="AW939" s="37"/>
      <c r="AX939" s="37"/>
      <c r="AY939" s="37"/>
      <c r="AZ939" s="37"/>
    </row>
    <row r="940"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  <c r="AG940" s="37"/>
      <c r="AH940" s="37"/>
      <c r="AI940" s="37"/>
      <c r="AJ940" s="37"/>
      <c r="AK940" s="37"/>
      <c r="AL940" s="37"/>
      <c r="AM940" s="37"/>
      <c r="AN940" s="37"/>
      <c r="AO940" s="37"/>
      <c r="AP940" s="37"/>
      <c r="AQ940" s="37"/>
      <c r="AR940" s="37"/>
      <c r="AS940" s="37"/>
      <c r="AT940" s="37"/>
      <c r="AU940" s="37"/>
      <c r="AV940" s="37"/>
      <c r="AW940" s="37"/>
      <c r="AX940" s="37"/>
      <c r="AY940" s="37"/>
      <c r="AZ940" s="37"/>
    </row>
    <row r="941"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  <c r="AG941" s="37"/>
      <c r="AH941" s="37"/>
      <c r="AI941" s="37"/>
      <c r="AJ941" s="37"/>
      <c r="AK941" s="37"/>
      <c r="AL941" s="37"/>
      <c r="AM941" s="37"/>
      <c r="AN941" s="37"/>
      <c r="AO941" s="37"/>
      <c r="AP941" s="37"/>
      <c r="AQ941" s="37"/>
      <c r="AR941" s="37"/>
      <c r="AS941" s="37"/>
      <c r="AT941" s="37"/>
      <c r="AU941" s="37"/>
      <c r="AV941" s="37"/>
      <c r="AW941" s="37"/>
      <c r="AX941" s="37"/>
      <c r="AY941" s="37"/>
      <c r="AZ941" s="37"/>
    </row>
    <row r="942"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  <c r="AG942" s="37"/>
      <c r="AH942" s="37"/>
      <c r="AI942" s="37"/>
      <c r="AJ942" s="37"/>
      <c r="AK942" s="37"/>
      <c r="AL942" s="37"/>
      <c r="AM942" s="37"/>
      <c r="AN942" s="37"/>
      <c r="AO942" s="37"/>
      <c r="AP942" s="37"/>
      <c r="AQ942" s="37"/>
      <c r="AR942" s="37"/>
      <c r="AS942" s="37"/>
      <c r="AT942" s="37"/>
      <c r="AU942" s="37"/>
      <c r="AV942" s="37"/>
      <c r="AW942" s="37"/>
      <c r="AX942" s="37"/>
      <c r="AY942" s="37"/>
      <c r="AZ942" s="37"/>
    </row>
    <row r="943"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  <c r="AG943" s="37"/>
      <c r="AH943" s="37"/>
      <c r="AI943" s="37"/>
      <c r="AJ943" s="37"/>
      <c r="AK943" s="37"/>
      <c r="AL943" s="37"/>
      <c r="AM943" s="37"/>
      <c r="AN943" s="37"/>
      <c r="AO943" s="37"/>
      <c r="AP943" s="37"/>
      <c r="AQ943" s="37"/>
      <c r="AR943" s="37"/>
      <c r="AS943" s="37"/>
      <c r="AT943" s="37"/>
      <c r="AU943" s="37"/>
      <c r="AV943" s="37"/>
      <c r="AW943" s="37"/>
      <c r="AX943" s="37"/>
      <c r="AY943" s="37"/>
      <c r="AZ943" s="37"/>
    </row>
    <row r="944"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  <c r="AG944" s="37"/>
      <c r="AH944" s="37"/>
      <c r="AI944" s="37"/>
      <c r="AJ944" s="37"/>
      <c r="AK944" s="37"/>
      <c r="AL944" s="37"/>
      <c r="AM944" s="37"/>
      <c r="AN944" s="37"/>
      <c r="AO944" s="37"/>
      <c r="AP944" s="37"/>
      <c r="AQ944" s="37"/>
      <c r="AR944" s="37"/>
      <c r="AS944" s="37"/>
      <c r="AT944" s="37"/>
      <c r="AU944" s="37"/>
      <c r="AV944" s="37"/>
      <c r="AW944" s="37"/>
      <c r="AX944" s="37"/>
      <c r="AY944" s="37"/>
      <c r="AZ944" s="37"/>
    </row>
    <row r="945"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  <c r="AG945" s="37"/>
      <c r="AH945" s="37"/>
      <c r="AI945" s="37"/>
      <c r="AJ945" s="37"/>
      <c r="AK945" s="37"/>
      <c r="AL945" s="37"/>
      <c r="AM945" s="37"/>
      <c r="AN945" s="37"/>
      <c r="AO945" s="37"/>
      <c r="AP945" s="37"/>
      <c r="AQ945" s="37"/>
      <c r="AR945" s="37"/>
      <c r="AS945" s="37"/>
      <c r="AT945" s="37"/>
      <c r="AU945" s="37"/>
      <c r="AV945" s="37"/>
      <c r="AW945" s="37"/>
      <c r="AX945" s="37"/>
      <c r="AY945" s="37"/>
      <c r="AZ945" s="37"/>
    </row>
    <row r="946"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  <c r="AG946" s="37"/>
      <c r="AH946" s="37"/>
      <c r="AI946" s="37"/>
      <c r="AJ946" s="37"/>
      <c r="AK946" s="37"/>
      <c r="AL946" s="37"/>
      <c r="AM946" s="37"/>
      <c r="AN946" s="37"/>
      <c r="AO946" s="37"/>
      <c r="AP946" s="37"/>
      <c r="AQ946" s="37"/>
      <c r="AR946" s="37"/>
      <c r="AS946" s="37"/>
      <c r="AT946" s="37"/>
      <c r="AU946" s="37"/>
      <c r="AV946" s="37"/>
      <c r="AW946" s="37"/>
      <c r="AX946" s="37"/>
      <c r="AY946" s="37"/>
      <c r="AZ946" s="37"/>
    </row>
    <row r="947"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  <c r="AG947" s="37"/>
      <c r="AH947" s="37"/>
      <c r="AI947" s="37"/>
      <c r="AJ947" s="37"/>
      <c r="AK947" s="37"/>
      <c r="AL947" s="37"/>
      <c r="AM947" s="37"/>
      <c r="AN947" s="37"/>
      <c r="AO947" s="37"/>
      <c r="AP947" s="37"/>
      <c r="AQ947" s="37"/>
      <c r="AR947" s="37"/>
      <c r="AS947" s="37"/>
      <c r="AT947" s="37"/>
      <c r="AU947" s="37"/>
      <c r="AV947" s="37"/>
      <c r="AW947" s="37"/>
      <c r="AX947" s="37"/>
      <c r="AY947" s="37"/>
      <c r="AZ947" s="37"/>
    </row>
    <row r="948"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  <c r="AG948" s="37"/>
      <c r="AH948" s="37"/>
      <c r="AI948" s="37"/>
      <c r="AJ948" s="37"/>
      <c r="AK948" s="37"/>
      <c r="AL948" s="37"/>
      <c r="AM948" s="37"/>
      <c r="AN948" s="37"/>
      <c r="AO948" s="37"/>
      <c r="AP948" s="37"/>
      <c r="AQ948" s="37"/>
      <c r="AR948" s="37"/>
      <c r="AS948" s="37"/>
      <c r="AT948" s="37"/>
      <c r="AU948" s="37"/>
      <c r="AV948" s="37"/>
      <c r="AW948" s="37"/>
      <c r="AX948" s="37"/>
      <c r="AY948" s="37"/>
      <c r="AZ948" s="37"/>
    </row>
    <row r="949"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  <c r="AG949" s="37"/>
      <c r="AH949" s="37"/>
      <c r="AI949" s="37"/>
      <c r="AJ949" s="37"/>
      <c r="AK949" s="37"/>
      <c r="AL949" s="37"/>
      <c r="AM949" s="37"/>
      <c r="AN949" s="37"/>
      <c r="AO949" s="37"/>
      <c r="AP949" s="37"/>
      <c r="AQ949" s="37"/>
      <c r="AR949" s="37"/>
      <c r="AS949" s="37"/>
      <c r="AT949" s="37"/>
      <c r="AU949" s="37"/>
      <c r="AV949" s="37"/>
      <c r="AW949" s="37"/>
      <c r="AX949" s="37"/>
      <c r="AY949" s="37"/>
      <c r="AZ949" s="37"/>
    </row>
    <row r="950"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  <c r="AG950" s="37"/>
      <c r="AH950" s="37"/>
      <c r="AI950" s="37"/>
      <c r="AJ950" s="37"/>
      <c r="AK950" s="37"/>
      <c r="AL950" s="37"/>
      <c r="AM950" s="37"/>
      <c r="AN950" s="37"/>
      <c r="AO950" s="37"/>
      <c r="AP950" s="37"/>
      <c r="AQ950" s="37"/>
      <c r="AR950" s="37"/>
      <c r="AS950" s="37"/>
      <c r="AT950" s="37"/>
      <c r="AU950" s="37"/>
      <c r="AV950" s="37"/>
      <c r="AW950" s="37"/>
      <c r="AX950" s="37"/>
      <c r="AY950" s="37"/>
      <c r="AZ950" s="37"/>
    </row>
    <row r="951"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  <c r="AG951" s="37"/>
      <c r="AH951" s="37"/>
      <c r="AI951" s="37"/>
      <c r="AJ951" s="37"/>
      <c r="AK951" s="37"/>
      <c r="AL951" s="37"/>
      <c r="AM951" s="37"/>
      <c r="AN951" s="37"/>
      <c r="AO951" s="37"/>
      <c r="AP951" s="37"/>
      <c r="AQ951" s="37"/>
      <c r="AR951" s="37"/>
      <c r="AS951" s="37"/>
      <c r="AT951" s="37"/>
      <c r="AU951" s="37"/>
      <c r="AV951" s="37"/>
      <c r="AW951" s="37"/>
      <c r="AX951" s="37"/>
      <c r="AY951" s="37"/>
      <c r="AZ951" s="37"/>
    </row>
    <row r="952"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  <c r="AG952" s="37"/>
      <c r="AH952" s="37"/>
      <c r="AI952" s="37"/>
      <c r="AJ952" s="37"/>
      <c r="AK952" s="37"/>
      <c r="AL952" s="37"/>
      <c r="AM952" s="37"/>
      <c r="AN952" s="37"/>
      <c r="AO952" s="37"/>
      <c r="AP952" s="37"/>
      <c r="AQ952" s="37"/>
      <c r="AR952" s="37"/>
      <c r="AS952" s="37"/>
      <c r="AT952" s="37"/>
      <c r="AU952" s="37"/>
      <c r="AV952" s="37"/>
      <c r="AW952" s="37"/>
      <c r="AX952" s="37"/>
      <c r="AY952" s="37"/>
      <c r="AZ952" s="37"/>
    </row>
    <row r="953"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  <c r="AG953" s="37"/>
      <c r="AH953" s="37"/>
      <c r="AI953" s="37"/>
      <c r="AJ953" s="37"/>
      <c r="AK953" s="37"/>
      <c r="AL953" s="37"/>
      <c r="AM953" s="37"/>
      <c r="AN953" s="37"/>
      <c r="AO953" s="37"/>
      <c r="AP953" s="37"/>
      <c r="AQ953" s="37"/>
      <c r="AR953" s="37"/>
      <c r="AS953" s="37"/>
      <c r="AT953" s="37"/>
      <c r="AU953" s="37"/>
      <c r="AV953" s="37"/>
      <c r="AW953" s="37"/>
      <c r="AX953" s="37"/>
      <c r="AY953" s="37"/>
      <c r="AZ953" s="37"/>
    </row>
    <row r="954"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  <c r="AG954" s="37"/>
      <c r="AH954" s="37"/>
      <c r="AI954" s="37"/>
      <c r="AJ954" s="37"/>
      <c r="AK954" s="37"/>
      <c r="AL954" s="37"/>
      <c r="AM954" s="37"/>
      <c r="AN954" s="37"/>
      <c r="AO954" s="37"/>
      <c r="AP954" s="37"/>
      <c r="AQ954" s="37"/>
      <c r="AR954" s="37"/>
      <c r="AS954" s="37"/>
      <c r="AT954" s="37"/>
      <c r="AU954" s="37"/>
      <c r="AV954" s="37"/>
      <c r="AW954" s="37"/>
      <c r="AX954" s="37"/>
      <c r="AY954" s="37"/>
      <c r="AZ954" s="37"/>
    </row>
    <row r="955"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  <c r="AG955" s="37"/>
      <c r="AH955" s="37"/>
      <c r="AI955" s="37"/>
      <c r="AJ955" s="37"/>
      <c r="AK955" s="37"/>
      <c r="AL955" s="37"/>
      <c r="AM955" s="37"/>
      <c r="AN955" s="37"/>
      <c r="AO955" s="37"/>
      <c r="AP955" s="37"/>
      <c r="AQ955" s="37"/>
      <c r="AR955" s="37"/>
      <c r="AS955" s="37"/>
      <c r="AT955" s="37"/>
      <c r="AU955" s="37"/>
      <c r="AV955" s="37"/>
      <c r="AW955" s="37"/>
      <c r="AX955" s="37"/>
      <c r="AY955" s="37"/>
      <c r="AZ955" s="37"/>
    </row>
    <row r="956"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  <c r="AG956" s="37"/>
      <c r="AH956" s="37"/>
      <c r="AI956" s="37"/>
      <c r="AJ956" s="37"/>
      <c r="AK956" s="37"/>
      <c r="AL956" s="37"/>
      <c r="AM956" s="37"/>
      <c r="AN956" s="37"/>
      <c r="AO956" s="37"/>
      <c r="AP956" s="37"/>
      <c r="AQ956" s="37"/>
      <c r="AR956" s="37"/>
      <c r="AS956" s="37"/>
      <c r="AT956" s="37"/>
      <c r="AU956" s="37"/>
      <c r="AV956" s="37"/>
      <c r="AW956" s="37"/>
      <c r="AX956" s="37"/>
      <c r="AY956" s="37"/>
      <c r="AZ956" s="37"/>
    </row>
    <row r="957"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  <c r="AG957" s="37"/>
      <c r="AH957" s="37"/>
      <c r="AI957" s="37"/>
      <c r="AJ957" s="37"/>
      <c r="AK957" s="37"/>
      <c r="AL957" s="37"/>
      <c r="AM957" s="37"/>
      <c r="AN957" s="37"/>
      <c r="AO957" s="37"/>
      <c r="AP957" s="37"/>
      <c r="AQ957" s="37"/>
      <c r="AR957" s="37"/>
      <c r="AS957" s="37"/>
      <c r="AT957" s="37"/>
      <c r="AU957" s="37"/>
      <c r="AV957" s="37"/>
      <c r="AW957" s="37"/>
      <c r="AX957" s="37"/>
      <c r="AY957" s="37"/>
      <c r="AZ957" s="37"/>
    </row>
    <row r="958"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  <c r="AG958" s="37"/>
      <c r="AH958" s="37"/>
      <c r="AI958" s="37"/>
      <c r="AJ958" s="37"/>
      <c r="AK958" s="37"/>
      <c r="AL958" s="37"/>
      <c r="AM958" s="37"/>
      <c r="AN958" s="37"/>
      <c r="AO958" s="37"/>
      <c r="AP958" s="37"/>
      <c r="AQ958" s="37"/>
      <c r="AR958" s="37"/>
      <c r="AS958" s="37"/>
      <c r="AT958" s="37"/>
      <c r="AU958" s="37"/>
      <c r="AV958" s="37"/>
      <c r="AW958" s="37"/>
      <c r="AX958" s="37"/>
      <c r="AY958" s="37"/>
      <c r="AZ958" s="37"/>
    </row>
    <row r="959"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  <c r="AG959" s="37"/>
      <c r="AH959" s="37"/>
      <c r="AI959" s="37"/>
      <c r="AJ959" s="37"/>
      <c r="AK959" s="37"/>
      <c r="AL959" s="37"/>
      <c r="AM959" s="37"/>
      <c r="AN959" s="37"/>
      <c r="AO959" s="37"/>
      <c r="AP959" s="37"/>
      <c r="AQ959" s="37"/>
      <c r="AR959" s="37"/>
      <c r="AS959" s="37"/>
      <c r="AT959" s="37"/>
      <c r="AU959" s="37"/>
      <c r="AV959" s="37"/>
      <c r="AW959" s="37"/>
      <c r="AX959" s="37"/>
      <c r="AY959" s="37"/>
      <c r="AZ959" s="37"/>
    </row>
    <row r="960"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  <c r="AG960" s="37"/>
      <c r="AH960" s="37"/>
      <c r="AI960" s="37"/>
      <c r="AJ960" s="37"/>
      <c r="AK960" s="37"/>
      <c r="AL960" s="37"/>
      <c r="AM960" s="37"/>
      <c r="AN960" s="37"/>
      <c r="AO960" s="37"/>
      <c r="AP960" s="37"/>
      <c r="AQ960" s="37"/>
      <c r="AR960" s="37"/>
      <c r="AS960" s="37"/>
      <c r="AT960" s="37"/>
      <c r="AU960" s="37"/>
      <c r="AV960" s="37"/>
      <c r="AW960" s="37"/>
      <c r="AX960" s="37"/>
      <c r="AY960" s="37"/>
      <c r="AZ960" s="37"/>
    </row>
    <row r="961"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  <c r="AG961" s="37"/>
      <c r="AH961" s="37"/>
      <c r="AI961" s="37"/>
      <c r="AJ961" s="37"/>
      <c r="AK961" s="37"/>
      <c r="AL961" s="37"/>
      <c r="AM961" s="37"/>
      <c r="AN961" s="37"/>
      <c r="AO961" s="37"/>
      <c r="AP961" s="37"/>
      <c r="AQ961" s="37"/>
      <c r="AR961" s="37"/>
      <c r="AS961" s="37"/>
      <c r="AT961" s="37"/>
      <c r="AU961" s="37"/>
      <c r="AV961" s="37"/>
      <c r="AW961" s="37"/>
      <c r="AX961" s="37"/>
      <c r="AY961" s="37"/>
      <c r="AZ961" s="37"/>
    </row>
    <row r="962"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  <c r="AG962" s="37"/>
      <c r="AH962" s="37"/>
      <c r="AI962" s="37"/>
      <c r="AJ962" s="37"/>
      <c r="AK962" s="37"/>
      <c r="AL962" s="37"/>
      <c r="AM962" s="37"/>
      <c r="AN962" s="37"/>
      <c r="AO962" s="37"/>
      <c r="AP962" s="37"/>
      <c r="AQ962" s="37"/>
      <c r="AR962" s="37"/>
      <c r="AS962" s="37"/>
      <c r="AT962" s="37"/>
      <c r="AU962" s="37"/>
      <c r="AV962" s="37"/>
      <c r="AW962" s="37"/>
      <c r="AX962" s="37"/>
      <c r="AY962" s="37"/>
      <c r="AZ962" s="37"/>
    </row>
    <row r="963"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37"/>
      <c r="AG963" s="37"/>
      <c r="AH963" s="37"/>
      <c r="AI963" s="37"/>
      <c r="AJ963" s="37"/>
      <c r="AK963" s="37"/>
      <c r="AL963" s="37"/>
      <c r="AM963" s="37"/>
      <c r="AN963" s="37"/>
      <c r="AO963" s="37"/>
      <c r="AP963" s="37"/>
      <c r="AQ963" s="37"/>
      <c r="AR963" s="37"/>
      <c r="AS963" s="37"/>
      <c r="AT963" s="37"/>
      <c r="AU963" s="37"/>
      <c r="AV963" s="37"/>
      <c r="AW963" s="37"/>
      <c r="AX963" s="37"/>
      <c r="AY963" s="37"/>
      <c r="AZ963" s="37"/>
    </row>
    <row r="964"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37"/>
      <c r="AG964" s="37"/>
      <c r="AH964" s="37"/>
      <c r="AI964" s="37"/>
      <c r="AJ964" s="37"/>
      <c r="AK964" s="37"/>
      <c r="AL964" s="37"/>
      <c r="AM964" s="37"/>
      <c r="AN964" s="37"/>
      <c r="AO964" s="37"/>
      <c r="AP964" s="37"/>
      <c r="AQ964" s="37"/>
      <c r="AR964" s="37"/>
      <c r="AS964" s="37"/>
      <c r="AT964" s="37"/>
      <c r="AU964" s="37"/>
      <c r="AV964" s="37"/>
      <c r="AW964" s="37"/>
      <c r="AX964" s="37"/>
      <c r="AY964" s="37"/>
      <c r="AZ964" s="37"/>
    </row>
    <row r="965"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  <c r="AG965" s="37"/>
      <c r="AH965" s="37"/>
      <c r="AI965" s="37"/>
      <c r="AJ965" s="37"/>
      <c r="AK965" s="37"/>
      <c r="AL965" s="37"/>
      <c r="AM965" s="37"/>
      <c r="AN965" s="37"/>
      <c r="AO965" s="37"/>
      <c r="AP965" s="37"/>
      <c r="AQ965" s="37"/>
      <c r="AR965" s="37"/>
      <c r="AS965" s="37"/>
      <c r="AT965" s="37"/>
      <c r="AU965" s="37"/>
      <c r="AV965" s="37"/>
      <c r="AW965" s="37"/>
      <c r="AX965" s="37"/>
      <c r="AY965" s="37"/>
      <c r="AZ965" s="37"/>
    </row>
    <row r="966"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  <c r="AG966" s="37"/>
      <c r="AH966" s="37"/>
      <c r="AI966" s="37"/>
      <c r="AJ966" s="37"/>
      <c r="AK966" s="37"/>
      <c r="AL966" s="37"/>
      <c r="AM966" s="37"/>
      <c r="AN966" s="37"/>
      <c r="AO966" s="37"/>
      <c r="AP966" s="37"/>
      <c r="AQ966" s="37"/>
      <c r="AR966" s="37"/>
      <c r="AS966" s="37"/>
      <c r="AT966" s="37"/>
      <c r="AU966" s="37"/>
      <c r="AV966" s="37"/>
      <c r="AW966" s="37"/>
      <c r="AX966" s="37"/>
      <c r="AY966" s="37"/>
      <c r="AZ966" s="37"/>
    </row>
    <row r="967"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  <c r="AG967" s="37"/>
      <c r="AH967" s="37"/>
      <c r="AI967" s="37"/>
      <c r="AJ967" s="37"/>
      <c r="AK967" s="37"/>
      <c r="AL967" s="37"/>
      <c r="AM967" s="37"/>
      <c r="AN967" s="37"/>
      <c r="AO967" s="37"/>
      <c r="AP967" s="37"/>
      <c r="AQ967" s="37"/>
      <c r="AR967" s="37"/>
      <c r="AS967" s="37"/>
      <c r="AT967" s="37"/>
      <c r="AU967" s="37"/>
      <c r="AV967" s="37"/>
      <c r="AW967" s="37"/>
      <c r="AX967" s="37"/>
      <c r="AY967" s="37"/>
      <c r="AZ967" s="37"/>
    </row>
    <row r="968"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  <c r="AG968" s="37"/>
      <c r="AH968" s="37"/>
      <c r="AI968" s="37"/>
      <c r="AJ968" s="37"/>
      <c r="AK968" s="37"/>
      <c r="AL968" s="37"/>
      <c r="AM968" s="37"/>
      <c r="AN968" s="37"/>
      <c r="AO968" s="37"/>
      <c r="AP968" s="37"/>
      <c r="AQ968" s="37"/>
      <c r="AR968" s="37"/>
      <c r="AS968" s="37"/>
      <c r="AT968" s="37"/>
      <c r="AU968" s="37"/>
      <c r="AV968" s="37"/>
      <c r="AW968" s="37"/>
      <c r="AX968" s="37"/>
      <c r="AY968" s="37"/>
      <c r="AZ968" s="37"/>
    </row>
    <row r="969"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  <c r="AG969" s="37"/>
      <c r="AH969" s="37"/>
      <c r="AI969" s="37"/>
      <c r="AJ969" s="37"/>
      <c r="AK969" s="37"/>
      <c r="AL969" s="37"/>
      <c r="AM969" s="37"/>
      <c r="AN969" s="37"/>
      <c r="AO969" s="37"/>
      <c r="AP969" s="37"/>
      <c r="AQ969" s="37"/>
      <c r="AR969" s="37"/>
      <c r="AS969" s="37"/>
      <c r="AT969" s="37"/>
      <c r="AU969" s="37"/>
      <c r="AV969" s="37"/>
      <c r="AW969" s="37"/>
      <c r="AX969" s="37"/>
      <c r="AY969" s="37"/>
      <c r="AZ969" s="37"/>
    </row>
    <row r="970"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  <c r="AG970" s="37"/>
      <c r="AH970" s="37"/>
      <c r="AI970" s="37"/>
      <c r="AJ970" s="37"/>
      <c r="AK970" s="37"/>
      <c r="AL970" s="37"/>
      <c r="AM970" s="37"/>
      <c r="AN970" s="37"/>
      <c r="AO970" s="37"/>
      <c r="AP970" s="37"/>
      <c r="AQ970" s="37"/>
      <c r="AR970" s="37"/>
      <c r="AS970" s="37"/>
      <c r="AT970" s="37"/>
      <c r="AU970" s="37"/>
      <c r="AV970" s="37"/>
      <c r="AW970" s="37"/>
      <c r="AX970" s="37"/>
      <c r="AY970" s="37"/>
      <c r="AZ970" s="37"/>
    </row>
    <row r="971"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  <c r="AG971" s="37"/>
      <c r="AH971" s="37"/>
      <c r="AI971" s="37"/>
      <c r="AJ971" s="37"/>
      <c r="AK971" s="37"/>
      <c r="AL971" s="37"/>
      <c r="AM971" s="37"/>
      <c r="AN971" s="37"/>
      <c r="AO971" s="37"/>
      <c r="AP971" s="37"/>
      <c r="AQ971" s="37"/>
      <c r="AR971" s="37"/>
      <c r="AS971" s="37"/>
      <c r="AT971" s="37"/>
      <c r="AU971" s="37"/>
      <c r="AV971" s="37"/>
      <c r="AW971" s="37"/>
      <c r="AX971" s="37"/>
      <c r="AY971" s="37"/>
      <c r="AZ971" s="37"/>
    </row>
    <row r="972"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  <c r="AG972" s="37"/>
      <c r="AH972" s="37"/>
      <c r="AI972" s="37"/>
      <c r="AJ972" s="37"/>
      <c r="AK972" s="37"/>
      <c r="AL972" s="37"/>
      <c r="AM972" s="37"/>
      <c r="AN972" s="37"/>
      <c r="AO972" s="37"/>
      <c r="AP972" s="37"/>
      <c r="AQ972" s="37"/>
      <c r="AR972" s="37"/>
      <c r="AS972" s="37"/>
      <c r="AT972" s="37"/>
      <c r="AU972" s="37"/>
      <c r="AV972" s="37"/>
      <c r="AW972" s="37"/>
      <c r="AX972" s="37"/>
      <c r="AY972" s="37"/>
      <c r="AZ972" s="37"/>
    </row>
    <row r="973"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  <c r="AG973" s="37"/>
      <c r="AH973" s="37"/>
      <c r="AI973" s="37"/>
      <c r="AJ973" s="37"/>
      <c r="AK973" s="37"/>
      <c r="AL973" s="37"/>
      <c r="AM973" s="37"/>
      <c r="AN973" s="37"/>
      <c r="AO973" s="37"/>
      <c r="AP973" s="37"/>
      <c r="AQ973" s="37"/>
      <c r="AR973" s="37"/>
      <c r="AS973" s="37"/>
      <c r="AT973" s="37"/>
      <c r="AU973" s="37"/>
      <c r="AV973" s="37"/>
      <c r="AW973" s="37"/>
      <c r="AX973" s="37"/>
      <c r="AY973" s="37"/>
      <c r="AZ973" s="37"/>
    </row>
    <row r="974"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  <c r="AG974" s="37"/>
      <c r="AH974" s="37"/>
      <c r="AI974" s="37"/>
      <c r="AJ974" s="37"/>
      <c r="AK974" s="37"/>
      <c r="AL974" s="37"/>
      <c r="AM974" s="37"/>
      <c r="AN974" s="37"/>
      <c r="AO974" s="37"/>
      <c r="AP974" s="37"/>
      <c r="AQ974" s="37"/>
      <c r="AR974" s="37"/>
      <c r="AS974" s="37"/>
      <c r="AT974" s="37"/>
      <c r="AU974" s="37"/>
      <c r="AV974" s="37"/>
      <c r="AW974" s="37"/>
      <c r="AX974" s="37"/>
      <c r="AY974" s="37"/>
      <c r="AZ974" s="37"/>
    </row>
    <row r="975"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  <c r="AG975" s="37"/>
      <c r="AH975" s="37"/>
      <c r="AI975" s="37"/>
      <c r="AJ975" s="37"/>
      <c r="AK975" s="37"/>
      <c r="AL975" s="37"/>
      <c r="AM975" s="37"/>
      <c r="AN975" s="37"/>
      <c r="AO975" s="37"/>
      <c r="AP975" s="37"/>
      <c r="AQ975" s="37"/>
      <c r="AR975" s="37"/>
      <c r="AS975" s="37"/>
      <c r="AT975" s="37"/>
      <c r="AU975" s="37"/>
      <c r="AV975" s="37"/>
      <c r="AW975" s="37"/>
      <c r="AX975" s="37"/>
      <c r="AY975" s="37"/>
      <c r="AZ975" s="37"/>
    </row>
    <row r="976"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  <c r="AG976" s="37"/>
      <c r="AH976" s="37"/>
      <c r="AI976" s="37"/>
      <c r="AJ976" s="37"/>
      <c r="AK976" s="37"/>
      <c r="AL976" s="37"/>
      <c r="AM976" s="37"/>
      <c r="AN976" s="37"/>
      <c r="AO976" s="37"/>
      <c r="AP976" s="37"/>
      <c r="AQ976" s="37"/>
      <c r="AR976" s="37"/>
      <c r="AS976" s="37"/>
      <c r="AT976" s="37"/>
      <c r="AU976" s="37"/>
      <c r="AV976" s="37"/>
      <c r="AW976" s="37"/>
      <c r="AX976" s="37"/>
      <c r="AY976" s="37"/>
      <c r="AZ976" s="37"/>
    </row>
    <row r="977"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  <c r="AG977" s="37"/>
      <c r="AH977" s="37"/>
      <c r="AI977" s="37"/>
      <c r="AJ977" s="37"/>
      <c r="AK977" s="37"/>
      <c r="AL977" s="37"/>
      <c r="AM977" s="37"/>
      <c r="AN977" s="37"/>
      <c r="AO977" s="37"/>
      <c r="AP977" s="37"/>
      <c r="AQ977" s="37"/>
      <c r="AR977" s="37"/>
      <c r="AS977" s="37"/>
      <c r="AT977" s="37"/>
      <c r="AU977" s="37"/>
      <c r="AV977" s="37"/>
      <c r="AW977" s="37"/>
      <c r="AX977" s="37"/>
      <c r="AY977" s="37"/>
      <c r="AZ977" s="37"/>
    </row>
    <row r="978"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  <c r="AG978" s="37"/>
      <c r="AH978" s="37"/>
      <c r="AI978" s="37"/>
      <c r="AJ978" s="37"/>
      <c r="AK978" s="37"/>
      <c r="AL978" s="37"/>
      <c r="AM978" s="37"/>
      <c r="AN978" s="37"/>
      <c r="AO978" s="37"/>
      <c r="AP978" s="37"/>
      <c r="AQ978" s="37"/>
      <c r="AR978" s="37"/>
      <c r="AS978" s="37"/>
      <c r="AT978" s="37"/>
      <c r="AU978" s="37"/>
      <c r="AV978" s="37"/>
      <c r="AW978" s="37"/>
      <c r="AX978" s="37"/>
      <c r="AY978" s="37"/>
      <c r="AZ978" s="37"/>
    </row>
    <row r="979"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  <c r="AG979" s="37"/>
      <c r="AH979" s="37"/>
      <c r="AI979" s="37"/>
      <c r="AJ979" s="37"/>
      <c r="AK979" s="37"/>
      <c r="AL979" s="37"/>
      <c r="AM979" s="37"/>
      <c r="AN979" s="37"/>
      <c r="AO979" s="37"/>
      <c r="AP979" s="37"/>
      <c r="AQ979" s="37"/>
      <c r="AR979" s="37"/>
      <c r="AS979" s="37"/>
      <c r="AT979" s="37"/>
      <c r="AU979" s="37"/>
      <c r="AV979" s="37"/>
      <c r="AW979" s="37"/>
      <c r="AX979" s="37"/>
      <c r="AY979" s="37"/>
      <c r="AZ979" s="37"/>
    </row>
    <row r="980"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  <c r="AG980" s="37"/>
      <c r="AH980" s="37"/>
      <c r="AI980" s="37"/>
      <c r="AJ980" s="37"/>
      <c r="AK980" s="37"/>
      <c r="AL980" s="37"/>
      <c r="AM980" s="37"/>
      <c r="AN980" s="37"/>
      <c r="AO980" s="37"/>
      <c r="AP980" s="37"/>
      <c r="AQ980" s="37"/>
      <c r="AR980" s="37"/>
      <c r="AS980" s="37"/>
      <c r="AT980" s="37"/>
      <c r="AU980" s="37"/>
      <c r="AV980" s="37"/>
      <c r="AW980" s="37"/>
      <c r="AX980" s="37"/>
      <c r="AY980" s="37"/>
      <c r="AZ980" s="37"/>
    </row>
    <row r="981"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  <c r="AG981" s="37"/>
      <c r="AH981" s="37"/>
      <c r="AI981" s="37"/>
      <c r="AJ981" s="37"/>
      <c r="AK981" s="37"/>
      <c r="AL981" s="37"/>
      <c r="AM981" s="37"/>
      <c r="AN981" s="37"/>
      <c r="AO981" s="37"/>
      <c r="AP981" s="37"/>
      <c r="AQ981" s="37"/>
      <c r="AR981" s="37"/>
      <c r="AS981" s="37"/>
      <c r="AT981" s="37"/>
      <c r="AU981" s="37"/>
      <c r="AV981" s="37"/>
      <c r="AW981" s="37"/>
      <c r="AX981" s="37"/>
      <c r="AY981" s="37"/>
      <c r="AZ981" s="37"/>
    </row>
    <row r="982"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37"/>
      <c r="AG982" s="37"/>
      <c r="AH982" s="37"/>
      <c r="AI982" s="37"/>
      <c r="AJ982" s="37"/>
      <c r="AK982" s="37"/>
      <c r="AL982" s="37"/>
      <c r="AM982" s="37"/>
      <c r="AN982" s="37"/>
      <c r="AO982" s="37"/>
      <c r="AP982" s="37"/>
      <c r="AQ982" s="37"/>
      <c r="AR982" s="37"/>
      <c r="AS982" s="37"/>
      <c r="AT982" s="37"/>
      <c r="AU982" s="37"/>
      <c r="AV982" s="37"/>
      <c r="AW982" s="37"/>
      <c r="AX982" s="37"/>
      <c r="AY982" s="37"/>
      <c r="AZ982" s="37"/>
    </row>
    <row r="983"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  <c r="AG983" s="37"/>
      <c r="AH983" s="37"/>
      <c r="AI983" s="37"/>
      <c r="AJ983" s="37"/>
      <c r="AK983" s="37"/>
      <c r="AL983" s="37"/>
      <c r="AM983" s="37"/>
      <c r="AN983" s="37"/>
      <c r="AO983" s="37"/>
      <c r="AP983" s="37"/>
      <c r="AQ983" s="37"/>
      <c r="AR983" s="37"/>
      <c r="AS983" s="37"/>
      <c r="AT983" s="37"/>
      <c r="AU983" s="37"/>
      <c r="AV983" s="37"/>
      <c r="AW983" s="37"/>
      <c r="AX983" s="37"/>
      <c r="AY983" s="37"/>
      <c r="AZ983" s="37"/>
    </row>
    <row r="984"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  <c r="AF984" s="37"/>
      <c r="AG984" s="37"/>
      <c r="AH984" s="37"/>
      <c r="AI984" s="37"/>
      <c r="AJ984" s="37"/>
      <c r="AK984" s="37"/>
      <c r="AL984" s="37"/>
      <c r="AM984" s="37"/>
      <c r="AN984" s="37"/>
      <c r="AO984" s="37"/>
      <c r="AP984" s="37"/>
      <c r="AQ984" s="37"/>
      <c r="AR984" s="37"/>
      <c r="AS984" s="37"/>
      <c r="AT984" s="37"/>
      <c r="AU984" s="37"/>
      <c r="AV984" s="37"/>
      <c r="AW984" s="37"/>
      <c r="AX984" s="37"/>
      <c r="AY984" s="37"/>
      <c r="AZ984" s="37"/>
    </row>
    <row r="985"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  <c r="AF985" s="37"/>
      <c r="AG985" s="37"/>
      <c r="AH985" s="37"/>
      <c r="AI985" s="37"/>
      <c r="AJ985" s="37"/>
      <c r="AK985" s="37"/>
      <c r="AL985" s="37"/>
      <c r="AM985" s="37"/>
      <c r="AN985" s="37"/>
      <c r="AO985" s="37"/>
      <c r="AP985" s="37"/>
      <c r="AQ985" s="37"/>
      <c r="AR985" s="37"/>
      <c r="AS985" s="37"/>
      <c r="AT985" s="37"/>
      <c r="AU985" s="37"/>
      <c r="AV985" s="37"/>
      <c r="AW985" s="37"/>
      <c r="AX985" s="37"/>
      <c r="AY985" s="37"/>
      <c r="AZ985" s="37"/>
    </row>
    <row r="986"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  <c r="AF986" s="37"/>
      <c r="AG986" s="37"/>
      <c r="AH986" s="37"/>
      <c r="AI986" s="37"/>
      <c r="AJ986" s="37"/>
      <c r="AK986" s="37"/>
      <c r="AL986" s="37"/>
      <c r="AM986" s="37"/>
      <c r="AN986" s="37"/>
      <c r="AO986" s="37"/>
      <c r="AP986" s="37"/>
      <c r="AQ986" s="37"/>
      <c r="AR986" s="37"/>
      <c r="AS986" s="37"/>
      <c r="AT986" s="37"/>
      <c r="AU986" s="37"/>
      <c r="AV986" s="37"/>
      <c r="AW986" s="37"/>
      <c r="AX986" s="37"/>
      <c r="AY986" s="37"/>
      <c r="AZ986" s="37"/>
    </row>
    <row r="987"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  <c r="AF987" s="37"/>
      <c r="AG987" s="37"/>
      <c r="AH987" s="37"/>
      <c r="AI987" s="37"/>
      <c r="AJ987" s="37"/>
      <c r="AK987" s="37"/>
      <c r="AL987" s="37"/>
      <c r="AM987" s="37"/>
      <c r="AN987" s="37"/>
      <c r="AO987" s="37"/>
      <c r="AP987" s="37"/>
      <c r="AQ987" s="37"/>
      <c r="AR987" s="37"/>
      <c r="AS987" s="37"/>
      <c r="AT987" s="37"/>
      <c r="AU987" s="37"/>
      <c r="AV987" s="37"/>
      <c r="AW987" s="37"/>
      <c r="AX987" s="37"/>
      <c r="AY987" s="37"/>
      <c r="AZ987" s="37"/>
    </row>
    <row r="988"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  <c r="AF988" s="37"/>
      <c r="AG988" s="37"/>
      <c r="AH988" s="37"/>
      <c r="AI988" s="37"/>
      <c r="AJ988" s="37"/>
      <c r="AK988" s="37"/>
      <c r="AL988" s="37"/>
      <c r="AM988" s="37"/>
      <c r="AN988" s="37"/>
      <c r="AO988" s="37"/>
      <c r="AP988" s="37"/>
      <c r="AQ988" s="37"/>
      <c r="AR988" s="37"/>
      <c r="AS988" s="37"/>
      <c r="AT988" s="37"/>
      <c r="AU988" s="37"/>
      <c r="AV988" s="37"/>
      <c r="AW988" s="37"/>
      <c r="AX988" s="37"/>
      <c r="AY988" s="37"/>
      <c r="AZ988" s="37"/>
    </row>
    <row r="989"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  <c r="AF989" s="37"/>
      <c r="AG989" s="37"/>
      <c r="AH989" s="37"/>
      <c r="AI989" s="37"/>
      <c r="AJ989" s="37"/>
      <c r="AK989" s="37"/>
      <c r="AL989" s="37"/>
      <c r="AM989" s="37"/>
      <c r="AN989" s="37"/>
      <c r="AO989" s="37"/>
      <c r="AP989" s="37"/>
      <c r="AQ989" s="37"/>
      <c r="AR989" s="37"/>
      <c r="AS989" s="37"/>
      <c r="AT989" s="37"/>
      <c r="AU989" s="37"/>
      <c r="AV989" s="37"/>
      <c r="AW989" s="37"/>
      <c r="AX989" s="37"/>
      <c r="AY989" s="37"/>
      <c r="AZ989" s="37"/>
    </row>
    <row r="990"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  <c r="AF990" s="37"/>
      <c r="AG990" s="37"/>
      <c r="AH990" s="37"/>
      <c r="AI990" s="37"/>
      <c r="AJ990" s="37"/>
      <c r="AK990" s="37"/>
      <c r="AL990" s="37"/>
      <c r="AM990" s="37"/>
      <c r="AN990" s="37"/>
      <c r="AO990" s="37"/>
      <c r="AP990" s="37"/>
      <c r="AQ990" s="37"/>
      <c r="AR990" s="37"/>
      <c r="AS990" s="37"/>
      <c r="AT990" s="37"/>
      <c r="AU990" s="37"/>
      <c r="AV990" s="37"/>
      <c r="AW990" s="37"/>
      <c r="AX990" s="37"/>
      <c r="AY990" s="37"/>
      <c r="AZ990" s="37"/>
    </row>
    <row r="991"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7"/>
      <c r="AF991" s="37"/>
      <c r="AG991" s="37"/>
      <c r="AH991" s="37"/>
      <c r="AI991" s="37"/>
      <c r="AJ991" s="37"/>
      <c r="AK991" s="37"/>
      <c r="AL991" s="37"/>
      <c r="AM991" s="37"/>
      <c r="AN991" s="37"/>
      <c r="AO991" s="37"/>
      <c r="AP991" s="37"/>
      <c r="AQ991" s="37"/>
      <c r="AR991" s="37"/>
      <c r="AS991" s="37"/>
      <c r="AT991" s="37"/>
      <c r="AU991" s="37"/>
      <c r="AV991" s="37"/>
      <c r="AW991" s="37"/>
      <c r="AX991" s="37"/>
      <c r="AY991" s="37"/>
      <c r="AZ991" s="37"/>
    </row>
    <row r="992"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  <c r="AF992" s="37"/>
      <c r="AG992" s="37"/>
      <c r="AH992" s="37"/>
      <c r="AI992" s="37"/>
      <c r="AJ992" s="37"/>
      <c r="AK992" s="37"/>
      <c r="AL992" s="37"/>
      <c r="AM992" s="37"/>
      <c r="AN992" s="37"/>
      <c r="AO992" s="37"/>
      <c r="AP992" s="37"/>
      <c r="AQ992" s="37"/>
      <c r="AR992" s="37"/>
      <c r="AS992" s="37"/>
      <c r="AT992" s="37"/>
      <c r="AU992" s="37"/>
      <c r="AV992" s="37"/>
      <c r="AW992" s="37"/>
      <c r="AX992" s="37"/>
      <c r="AY992" s="37"/>
      <c r="AZ992" s="37"/>
    </row>
    <row r="993"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  <c r="AD993" s="37"/>
      <c r="AE993" s="37"/>
      <c r="AF993" s="37"/>
      <c r="AG993" s="37"/>
      <c r="AH993" s="37"/>
      <c r="AI993" s="37"/>
      <c r="AJ993" s="37"/>
      <c r="AK993" s="37"/>
      <c r="AL993" s="37"/>
      <c r="AM993" s="37"/>
      <c r="AN993" s="37"/>
      <c r="AO993" s="37"/>
      <c r="AP993" s="37"/>
      <c r="AQ993" s="37"/>
      <c r="AR993" s="37"/>
      <c r="AS993" s="37"/>
      <c r="AT993" s="37"/>
      <c r="AU993" s="37"/>
      <c r="AV993" s="37"/>
      <c r="AW993" s="37"/>
      <c r="AX993" s="37"/>
      <c r="AY993" s="37"/>
      <c r="AZ993" s="37"/>
    </row>
    <row r="994"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  <c r="AE994" s="37"/>
      <c r="AF994" s="37"/>
      <c r="AG994" s="37"/>
      <c r="AH994" s="37"/>
      <c r="AI994" s="37"/>
      <c r="AJ994" s="37"/>
      <c r="AK994" s="37"/>
      <c r="AL994" s="37"/>
      <c r="AM994" s="37"/>
      <c r="AN994" s="37"/>
      <c r="AO994" s="37"/>
      <c r="AP994" s="37"/>
      <c r="AQ994" s="37"/>
      <c r="AR994" s="37"/>
      <c r="AS994" s="37"/>
      <c r="AT994" s="37"/>
      <c r="AU994" s="37"/>
      <c r="AV994" s="37"/>
      <c r="AW994" s="37"/>
      <c r="AX994" s="37"/>
      <c r="AY994" s="37"/>
      <c r="AZ994" s="37"/>
    </row>
    <row r="995"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  <c r="AE995" s="37"/>
      <c r="AF995" s="37"/>
      <c r="AG995" s="37"/>
      <c r="AH995" s="37"/>
      <c r="AI995" s="37"/>
      <c r="AJ995" s="37"/>
      <c r="AK995" s="37"/>
      <c r="AL995" s="37"/>
      <c r="AM995" s="37"/>
      <c r="AN995" s="37"/>
      <c r="AO995" s="37"/>
      <c r="AP995" s="37"/>
      <c r="AQ995" s="37"/>
      <c r="AR995" s="37"/>
      <c r="AS995" s="37"/>
      <c r="AT995" s="37"/>
      <c r="AU995" s="37"/>
      <c r="AV995" s="37"/>
      <c r="AW995" s="37"/>
      <c r="AX995" s="37"/>
      <c r="AY995" s="37"/>
      <c r="AZ995" s="37"/>
    </row>
    <row r="996"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  <c r="AE996" s="37"/>
      <c r="AF996" s="37"/>
      <c r="AG996" s="37"/>
      <c r="AH996" s="37"/>
      <c r="AI996" s="37"/>
      <c r="AJ996" s="37"/>
      <c r="AK996" s="37"/>
      <c r="AL996" s="37"/>
      <c r="AM996" s="37"/>
      <c r="AN996" s="37"/>
      <c r="AO996" s="37"/>
      <c r="AP996" s="37"/>
      <c r="AQ996" s="37"/>
      <c r="AR996" s="37"/>
      <c r="AS996" s="37"/>
      <c r="AT996" s="37"/>
      <c r="AU996" s="37"/>
      <c r="AV996" s="37"/>
      <c r="AW996" s="37"/>
      <c r="AX996" s="37"/>
      <c r="AY996" s="37"/>
      <c r="AZ996" s="37"/>
    </row>
    <row r="997"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  <c r="AD997" s="37"/>
      <c r="AE997" s="37"/>
      <c r="AF997" s="37"/>
      <c r="AG997" s="37"/>
      <c r="AH997" s="37"/>
      <c r="AI997" s="37"/>
      <c r="AJ997" s="37"/>
      <c r="AK997" s="37"/>
      <c r="AL997" s="37"/>
      <c r="AM997" s="37"/>
      <c r="AN997" s="37"/>
      <c r="AO997" s="37"/>
      <c r="AP997" s="37"/>
      <c r="AQ997" s="37"/>
      <c r="AR997" s="37"/>
      <c r="AS997" s="37"/>
      <c r="AT997" s="37"/>
      <c r="AU997" s="37"/>
      <c r="AV997" s="37"/>
      <c r="AW997" s="37"/>
      <c r="AX997" s="37"/>
      <c r="AY997" s="37"/>
      <c r="AZ997" s="37"/>
    </row>
    <row r="998"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  <c r="AE998" s="37"/>
      <c r="AF998" s="37"/>
      <c r="AG998" s="37"/>
      <c r="AH998" s="37"/>
      <c r="AI998" s="37"/>
      <c r="AJ998" s="37"/>
      <c r="AK998" s="37"/>
      <c r="AL998" s="37"/>
      <c r="AM998" s="37"/>
      <c r="AN998" s="37"/>
      <c r="AO998" s="37"/>
      <c r="AP998" s="37"/>
      <c r="AQ998" s="37"/>
      <c r="AR998" s="37"/>
      <c r="AS998" s="37"/>
      <c r="AT998" s="37"/>
      <c r="AU998" s="37"/>
      <c r="AV998" s="37"/>
      <c r="AW998" s="37"/>
      <c r="AX998" s="37"/>
      <c r="AY998" s="37"/>
      <c r="AZ998" s="37"/>
    </row>
    <row r="999"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  <c r="AD999" s="37"/>
      <c r="AE999" s="37"/>
      <c r="AF999" s="37"/>
      <c r="AG999" s="37"/>
      <c r="AH999" s="37"/>
      <c r="AI999" s="37"/>
      <c r="AJ999" s="37"/>
      <c r="AK999" s="37"/>
      <c r="AL999" s="37"/>
      <c r="AM999" s="37"/>
      <c r="AN999" s="37"/>
      <c r="AO999" s="37"/>
      <c r="AP999" s="37"/>
      <c r="AQ999" s="37"/>
      <c r="AR999" s="37"/>
      <c r="AS999" s="37"/>
      <c r="AT999" s="37"/>
      <c r="AU999" s="37"/>
      <c r="AV999" s="37"/>
      <c r="AW999" s="37"/>
      <c r="AX999" s="37"/>
      <c r="AY999" s="37"/>
      <c r="AZ999" s="37"/>
    </row>
    <row r="1000"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  <c r="AC1000" s="37"/>
      <c r="AD1000" s="37"/>
      <c r="AE1000" s="37"/>
      <c r="AF1000" s="37"/>
      <c r="AG1000" s="37"/>
      <c r="AH1000" s="37"/>
      <c r="AI1000" s="37"/>
      <c r="AJ1000" s="37"/>
      <c r="AK1000" s="37"/>
      <c r="AL1000" s="37"/>
      <c r="AM1000" s="37"/>
      <c r="AN1000" s="37"/>
      <c r="AO1000" s="37"/>
      <c r="AP1000" s="37"/>
      <c r="AQ1000" s="37"/>
      <c r="AR1000" s="37"/>
      <c r="AS1000" s="37"/>
      <c r="AT1000" s="37"/>
      <c r="AU1000" s="37"/>
      <c r="AV1000" s="37"/>
      <c r="AW1000" s="37"/>
      <c r="AX1000" s="37"/>
      <c r="AY1000" s="37"/>
      <c r="AZ1000" s="37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0"/>
  </cols>
  <sheetData>
    <row r="1">
      <c r="A1" s="51"/>
      <c r="B1" s="37" t="str">
        <f>IFERROR(__xludf.DUMMYFUNCTION("IMPORTRANGE(""https://docs.google.com/spreadsheets/d/1D7zntyA3r2ZrAAhZiCjjSVrtI4-uCXkrglxCIHZP9AE/edit?gid=0#gid=0"",""重大資本支出分攤!A1:AY"")"),"")</f>
        <v/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9.38"/>
    <col customWidth="1" min="3" max="3" width="14.38"/>
    <col customWidth="1" min="4" max="4" width="13.0"/>
    <col customWidth="1" min="5" max="5" width="16.75"/>
    <col customWidth="1" min="6" max="6" width="14.63"/>
    <col customWidth="1" min="7" max="7" width="17.25"/>
    <col customWidth="1" min="8" max="8" width="12.63"/>
    <col customWidth="1" min="9" max="9" width="23.13"/>
    <col customWidth="1" min="10" max="10" width="9.38"/>
    <col customWidth="1" min="11" max="12" width="44.0"/>
    <col customWidth="1" min="13" max="13" width="30.5"/>
  </cols>
  <sheetData>
    <row r="1">
      <c r="A1" s="37" t="str">
        <f>IFERROR(__xludf.DUMMYFUNCTION("IMPORTRANGE(""https://docs.google.com/spreadsheets/d/1-YuSlnwICv7dSIIRxQFJU2gwgM9OHTbandHa0RE3CW8/edit?gid=1671067433#gid=1671067433"",""預算欄位參數表!A1:Z100"")"),"子公司")</f>
        <v>子公司</v>
      </c>
      <c r="B1" s="37" t="str">
        <f>IFERROR(__xludf.DUMMYFUNCTION("""COMPUTED_VALUE"""),"事業單位")</f>
        <v>事業單位</v>
      </c>
      <c r="C1" s="37" t="str">
        <f>IFERROR(__xludf.DUMMYFUNCTION("""COMPUTED_VALUE"""),"Si 編號")</f>
        <v>Si 編號</v>
      </c>
      <c r="D1" s="37" t="str">
        <f>IFERROR(__xludf.DUMMYFUNCTION("""COMPUTED_VALUE"""),"TA 編號")</f>
        <v>TA 編號</v>
      </c>
      <c r="E1" s="37" t="str">
        <f>IFERROR(__xludf.DUMMYFUNCTION("""COMPUTED_VALUE"""),"TA 編號（維運/集團）")</f>
        <v>TA 編號（維運/集團）</v>
      </c>
      <c r="F1" s="37" t="str">
        <f>IFERROR(__xludf.DUMMYFUNCTION("""COMPUTED_VALUE"""),"價值鏈任務代號")</f>
        <v>價值鏈任務代號</v>
      </c>
      <c r="G1" s="37" t="str">
        <f>IFERROR(__xludf.DUMMYFUNCTION("""COMPUTED_VALUE"""),"費用類型")</f>
        <v>費用類型</v>
      </c>
      <c r="H1" s="37" t="str">
        <f>IFERROR(__xludf.DUMMYFUNCTION("""COMPUTED_VALUE"""),"專案費用單位")</f>
        <v>專案費用單位</v>
      </c>
      <c r="I1" s="37" t="str">
        <f>IFERROR(__xludf.DUMMYFUNCTION("""COMPUTED_VALUE"""),"維運費用單位")</f>
        <v>維運費用單位</v>
      </c>
      <c r="J1" s="37" t="str">
        <f>IFERROR(__xludf.DUMMYFUNCTION("""COMPUTED_VALUE"""),"集團共同攤分單位")</f>
        <v>集團共同攤分單位</v>
      </c>
      <c r="K1" s="37" t="str">
        <f>IFERROR(__xludf.DUMMYFUNCTION("""COMPUTED_VALUE"""),"職等")</f>
        <v>職等</v>
      </c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37" t="str">
        <f>IFERROR(__xludf.DUMMYFUNCTION("""COMPUTED_VALUE"""),"TW")</f>
        <v>TW</v>
      </c>
      <c r="B2" s="37" t="str">
        <f>IFERROR(__xludf.DUMMYFUNCTION("""COMPUTED_VALUE"""),"OMO")</f>
        <v>OMO</v>
      </c>
      <c r="C2" s="37" t="str">
        <f>IFERROR(__xludf.DUMMYFUNCTION("""COMPUTED_VALUE"""),"OrderingSi1")</f>
        <v>OrderingSi1</v>
      </c>
      <c r="D2" s="37" t="str">
        <f>IFERROR(__xludf.DUMMYFUNCTION("""COMPUTED_VALUE"""),"Ordering26TA1")</f>
        <v>Ordering26TA1</v>
      </c>
      <c r="E2" s="37" t="str">
        <f>IFERROR(__xludf.DUMMYFUNCTION("""COMPUTED_VALUE"""),"Baseline")</f>
        <v>Baseline</v>
      </c>
      <c r="F2" s="37" t="str">
        <f>IFERROR(__xludf.DUMMYFUNCTION("""COMPUTED_VALUE"""),"VC08P2")</f>
        <v>VC08P2</v>
      </c>
      <c r="G2" s="37" t="str">
        <f>IFERROR(__xludf.DUMMYFUNCTION("""COMPUTED_VALUE"""),"人事費用")</f>
        <v>人事費用</v>
      </c>
      <c r="H2" s="37" t="str">
        <f>IFERROR(__xludf.DUMMYFUNCTION("""COMPUTED_VALUE"""),"執行長室 : 稽核部")</f>
        <v>執行長室 : 稽核部</v>
      </c>
      <c r="I2" s="37" t="str">
        <f>IFERROR(__xludf.DUMMYFUNCTION("""COMPUTED_VALUE"""),"執行長室 : 行銷營運中心 : 銷售營運部 : 客戶導入團隊")</f>
        <v>執行長室 : 行銷營運中心 : 銷售營運部 : 客戶導入團隊</v>
      </c>
      <c r="J2" s="37" t="str">
        <f>IFERROR(__xludf.DUMMYFUNCTION("""COMPUTED_VALUE"""),"執行長室 : 研發中心 : 研發中心")</f>
        <v>執行長室 : 研發中心 : 研發中心</v>
      </c>
      <c r="K2" s="37" t="str">
        <f>IFERROR(__xludf.DUMMYFUNCTION("""COMPUTED_VALUE"""),"IC4")</f>
        <v>IC4</v>
      </c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A3" s="37" t="str">
        <f>IFERROR(__xludf.DUMMYFUNCTION("""COMPUTED_VALUE"""),"QLR")</f>
        <v>QLR</v>
      </c>
      <c r="B3" s="37" t="str">
        <f>IFERROR(__xludf.DUMMYFUNCTION("""COMPUTED_VALUE"""),"POS")</f>
        <v>POS</v>
      </c>
      <c r="C3" s="37" t="str">
        <f>IFERROR(__xludf.DUMMYFUNCTION("""COMPUTED_VALUE"""),"ReservationSi1")</f>
        <v>ReservationSi1</v>
      </c>
      <c r="D3" s="37" t="str">
        <f>IFERROR(__xludf.DUMMYFUNCTION("""COMPUTED_VALUE"""),"Ordering26TA2")</f>
        <v>Ordering26TA2</v>
      </c>
      <c r="E3" s="37" t="str">
        <f>IFERROR(__xludf.DUMMYFUNCTION("""COMPUTED_VALUE"""),"Corporation")</f>
        <v>Corporation</v>
      </c>
      <c r="F3" s="37" t="str">
        <f>IFERROR(__xludf.DUMMYFUNCTION("""COMPUTED_VALUE"""),"VC08P1")</f>
        <v>VC08P1</v>
      </c>
      <c r="G3" s="37" t="str">
        <f>IFERROR(__xludf.DUMMYFUNCTION("""COMPUTED_VALUE"""),"非人事費用")</f>
        <v>非人事費用</v>
      </c>
      <c r="H3" s="37" t="str">
        <f>IFERROR(__xludf.DUMMYFUNCTION("""COMPUTED_VALUE"""),"執行長室")</f>
        <v>執行長室</v>
      </c>
      <c r="I3" s="37" t="str">
        <f>IFERROR(__xludf.DUMMYFUNCTION("""COMPUTED_VALUE"""),"執行長室 : 客戶價值中心 : 客戶關係管理部")</f>
        <v>執行長室 : 客戶價值中心 : 客戶關係管理部</v>
      </c>
      <c r="J3" s="37" t="str">
        <f>IFERROR(__xludf.DUMMYFUNCTION("""COMPUTED_VALUE"""),"執行長室 : 財務中心 : 財務中心")</f>
        <v>執行長室 : 財務中心 : 財務中心</v>
      </c>
      <c r="K3" s="37" t="str">
        <f>IFERROR(__xludf.DUMMYFUNCTION("""COMPUTED_VALUE"""),"IC5")</f>
        <v>IC5</v>
      </c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37" t="str">
        <f>IFERROR(__xludf.DUMMYFUNCTION("""COMPUTED_VALUE"""),"SG")</f>
        <v>SG</v>
      </c>
      <c r="B4" s="37" t="str">
        <f>IFERROR(__xludf.DUMMYFUNCTION("""COMPUTED_VALUE"""),"2C")</f>
        <v>2C</v>
      </c>
      <c r="C4" s="37" t="str">
        <f>IFERROR(__xludf.DUMMYFUNCTION("""COMPUTED_VALUE"""),"SMBSi1")</f>
        <v>SMBSi1</v>
      </c>
      <c r="D4" s="37" t="str">
        <f>IFERROR(__xludf.DUMMYFUNCTION("""COMPUTED_VALUE"""),"Ordering26TA3")</f>
        <v>Ordering26TA3</v>
      </c>
      <c r="E4" s="37"/>
      <c r="F4" s="37" t="str">
        <f>IFERROR(__xludf.DUMMYFUNCTION("""COMPUTED_VALUE"""),"VC05P1")</f>
        <v>VC05P1</v>
      </c>
      <c r="G4" s="37"/>
      <c r="H4" s="37" t="str">
        <f>IFERROR(__xludf.DUMMYFUNCTION("""COMPUTED_VALUE"""),"執行長室 : 研發中心 : 研發中心")</f>
        <v>執行長室 : 研發中心 : 研發中心</v>
      </c>
      <c r="I4" s="37" t="str">
        <f>IFERROR(__xludf.DUMMYFUNCTION("""COMPUTED_VALUE"""),"執行長室 : 客戶價值中心 : 客戶關係管理部 : TSE 團隊")</f>
        <v>執行長室 : 客戶價值中心 : 客戶關係管理部 : TSE 團隊</v>
      </c>
      <c r="J4" s="37" t="str">
        <f>IFERROR(__xludf.DUMMYFUNCTION("""COMPUTED_VALUE"""),"執行長室 : 管理中心 : 管理中心")</f>
        <v>執行長室 : 管理中心 : 管理中心</v>
      </c>
      <c r="K4" s="37" t="str">
        <f>IFERROR(__xludf.DUMMYFUNCTION("""COMPUTED_VALUE"""),"IC6")</f>
        <v>IC6</v>
      </c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37" t="str">
        <f>IFERROR(__xludf.DUMMYFUNCTION("""COMPUTED_VALUE"""),"HK")</f>
        <v>HK</v>
      </c>
      <c r="B5" s="38" t="str">
        <f>IFERROR(__xludf.DUMMYFUNCTION("""COMPUTED_VALUE"""),"Corporation")</f>
        <v>Corporation</v>
      </c>
      <c r="C5" s="37" t="str">
        <f>IFERROR(__xludf.DUMMYFUNCTION("""COMPUTED_VALUE"""),"ENTSi1")</f>
        <v>ENTSi1</v>
      </c>
      <c r="D5" s="37" t="str">
        <f>IFERROR(__xludf.DUMMYFUNCTION("""COMPUTED_VALUE"""),"Ordering26TA4")</f>
        <v>Ordering26TA4</v>
      </c>
      <c r="E5" s="37"/>
      <c r="F5" s="37" t="str">
        <f>IFERROR(__xludf.DUMMYFUNCTION("""COMPUTED_VALUE"""),"VC05P2")</f>
        <v>VC05P2</v>
      </c>
      <c r="G5" s="37"/>
      <c r="H5" s="37" t="str">
        <f>IFERROR(__xludf.DUMMYFUNCTION("""COMPUTED_VALUE"""),"執行長室 : 研發中心 : 軟體工程部")</f>
        <v>執行長室 : 研發中心 : 軟體工程部</v>
      </c>
      <c r="I5" s="37" t="str">
        <f>IFERROR(__xludf.DUMMYFUNCTION("""COMPUTED_VALUE"""),"執行長室 : 客戶價值中心 : 客戶關係管理部 : 客服團隊")</f>
        <v>執行長室 : 客戶價值中心 : 客戶關係管理部 : 客服團隊</v>
      </c>
      <c r="J5" s="37" t="str">
        <f>IFERROR(__xludf.DUMMYFUNCTION("""COMPUTED_VALUE"""),"執行長室 : 管理中心 : 行政總務部")</f>
        <v>執行長室 : 管理中心 : 行政總務部</v>
      </c>
      <c r="K5" s="37" t="str">
        <f>IFERROR(__xludf.DUMMYFUNCTION("""COMPUTED_VALUE"""),"IC7")</f>
        <v>IC7</v>
      </c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37"/>
      <c r="B6" s="37"/>
      <c r="C6" s="37" t="str">
        <f>IFERROR(__xludf.DUMMYFUNCTION("""COMPUTED_VALUE"""),"ENTSi2")</f>
        <v>ENTSi2</v>
      </c>
      <c r="D6" s="37" t="str">
        <f>IFERROR(__xludf.DUMMYFUNCTION("""COMPUTED_VALUE"""),"Reservation26TA1")</f>
        <v>Reservation26TA1</v>
      </c>
      <c r="E6" s="37"/>
      <c r="F6" s="37" t="str">
        <f>IFERROR(__xludf.DUMMYFUNCTION("""COMPUTED_VALUE"""),"VC05P8")</f>
        <v>VC05P8</v>
      </c>
      <c r="G6" s="37"/>
      <c r="H6" s="37" t="str">
        <f>IFERROR(__xludf.DUMMYFUNCTION("""COMPUTED_VALUE"""),"執行長室 : 研發中心 : 軟體工程部 : 前端團隊")</f>
        <v>執行長室 : 研發中心 : 軟體工程部 : 前端團隊</v>
      </c>
      <c r="I6" s="37" t="str">
        <f>IFERROR(__xludf.DUMMYFUNCTION("""COMPUTED_VALUE"""),"執行長室 : 客戶價值中心 : 客戶關係管理部 : 客戶經理團隊	")</f>
        <v>執行長室 : 客戶價值中心 : 客戶關係管理部 : 客戶經理團隊	</v>
      </c>
      <c r="J6" s="37" t="str">
        <f>IFERROR(__xludf.DUMMYFUNCTION("""COMPUTED_VALUE"""),"執行長室 : 管理中心 : 人資部")</f>
        <v>執行長室 : 管理中心 : 人資部</v>
      </c>
      <c r="K6" s="37" t="str">
        <f>IFERROR(__xludf.DUMMYFUNCTION("""COMPUTED_VALUE"""),"M5")</f>
        <v>M5</v>
      </c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A7" s="37"/>
      <c r="B7" s="37"/>
      <c r="C7" s="37" t="str">
        <f>IFERROR(__xludf.DUMMYFUNCTION("""COMPUTED_VALUE"""),"QLRSi1")</f>
        <v>QLRSi1</v>
      </c>
      <c r="D7" s="37" t="str">
        <f>IFERROR(__xludf.DUMMYFUNCTION("""COMPUTED_VALUE"""),"Reservation26TA2")</f>
        <v>Reservation26TA2</v>
      </c>
      <c r="E7" s="37"/>
      <c r="F7" s="37" t="str">
        <f>IFERROR(__xludf.DUMMYFUNCTION("""COMPUTED_VALUE"""),"VC05P7")</f>
        <v>VC05P7</v>
      </c>
      <c r="G7" s="37"/>
      <c r="H7" s="37" t="str">
        <f>IFERROR(__xludf.DUMMYFUNCTION("""COMPUTED_VALUE"""),"執行長室 : 研發中心 : 軟體工程部 : 後端團隊")</f>
        <v>執行長室 : 研發中心 : 軟體工程部 : 後端團隊</v>
      </c>
      <c r="I7" s="37"/>
      <c r="J7" s="37" t="str">
        <f>IFERROR(__xludf.DUMMYFUNCTION("""COMPUTED_VALUE"""),"執行長室 : 管理中心 : 法務部")</f>
        <v>執行長室 : 管理中心 : 法務部</v>
      </c>
      <c r="K7" s="37" t="str">
        <f>IFERROR(__xludf.DUMMYFUNCTION("""COMPUTED_VALUE"""),"M6")</f>
        <v>M6</v>
      </c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A8" s="37"/>
      <c r="B8" s="37"/>
      <c r="C8" s="37" t="str">
        <f>IFERROR(__xludf.DUMMYFUNCTION("""COMPUTED_VALUE"""),"QLRSi2")</f>
        <v>QLRSi2</v>
      </c>
      <c r="D8" s="37" t="str">
        <f>IFERROR(__xludf.DUMMYFUNCTION("""COMPUTED_VALUE"""),"Reservation26TA3")</f>
        <v>Reservation26TA3</v>
      </c>
      <c r="E8" s="37"/>
      <c r="F8" s="37" t="str">
        <f>IFERROR(__xludf.DUMMYFUNCTION("""COMPUTED_VALUE"""),"VC05P6")</f>
        <v>VC05P6</v>
      </c>
      <c r="G8" s="37"/>
      <c r="H8" s="37" t="str">
        <f>IFERROR(__xludf.DUMMYFUNCTION("""COMPUTED_VALUE"""),"執行長室 : 研發中心 : 軟體工程部 : iOS 團隊")</f>
        <v>執行長室 : 研發中心 : 軟體工程部 : iOS 團隊</v>
      </c>
      <c r="I8" s="37"/>
      <c r="J8" s="37" t="str">
        <f>IFERROR(__xludf.DUMMYFUNCTION("""COMPUTED_VALUE"""),"執行長室 : 管理中心 : 資訊部")</f>
        <v>執行長室 : 管理中心 : 資訊部</v>
      </c>
      <c r="K8" s="37" t="str">
        <f>IFERROR(__xludf.DUMMYFUNCTION("""COMPUTED_VALUE"""),"M7")</f>
        <v>M7</v>
      </c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A9" s="37"/>
      <c r="B9" s="37"/>
      <c r="C9" s="37" t="str">
        <f>IFERROR(__xludf.DUMMYFUNCTION("""COMPUTED_VALUE"""),"QLRSi3")</f>
        <v>QLRSi3</v>
      </c>
      <c r="D9" s="37" t="str">
        <f>IFERROR(__xludf.DUMMYFUNCTION("""COMPUTED_VALUE"""),"SMB26TA1")</f>
        <v>SMB26TA1</v>
      </c>
      <c r="E9" s="37"/>
      <c r="F9" s="37" t="str">
        <f>IFERROR(__xludf.DUMMYFUNCTION("""COMPUTED_VALUE"""),"VC05P5")</f>
        <v>VC05P5</v>
      </c>
      <c r="G9" s="37"/>
      <c r="H9" s="37" t="str">
        <f>IFERROR(__xludf.DUMMYFUNCTION("""COMPUTED_VALUE"""),"執行長室 : 研發中心 : 軟體工程部 : QE 團隊")</f>
        <v>執行長室 : 研發中心 : 軟體工程部 : QE 團隊</v>
      </c>
      <c r="I9" s="37"/>
      <c r="J9" s="37" t="str">
        <f>IFERROR(__xludf.DUMMYFUNCTION("""COMPUTED_VALUE"""),"執行長室 : 管理中心 : 採購部")</f>
        <v>執行長室 : 管理中心 : 採購部</v>
      </c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37"/>
      <c r="B10" s="37"/>
      <c r="C10" s="37" t="str">
        <f>IFERROR(__xludf.DUMMYFUNCTION("""COMPUTED_VALUE"""),"2CSi1")</f>
        <v>2CSi1</v>
      </c>
      <c r="D10" s="37" t="str">
        <f>IFERROR(__xludf.DUMMYFUNCTION("""COMPUTED_VALUE"""),"ENT26TA1")</f>
        <v>ENT26TA1</v>
      </c>
      <c r="E10" s="37"/>
      <c r="F10" s="37" t="str">
        <f>IFERROR(__xludf.DUMMYFUNCTION("""COMPUTED_VALUE"""),"VC05P4")</f>
        <v>VC05P4</v>
      </c>
      <c r="G10" s="37"/>
      <c r="H10" s="37" t="str">
        <f>IFERROR(__xludf.DUMMYFUNCTION("""COMPUTED_VALUE"""),"執行長室 : 研發中心 : 產品設計部")</f>
        <v>執行長室 : 研發中心 : 產品設計部</v>
      </c>
      <c r="I10" s="37"/>
      <c r="J10" s="37" t="str">
        <f>IFERROR(__xludf.DUMMYFUNCTION("""COMPUTED_VALUE"""),"執行長室 : 策略資料中心 : 策略資料中心")</f>
        <v>執行長室 : 策略資料中心 : 策略資料中心</v>
      </c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37"/>
      <c r="B11" s="37"/>
      <c r="C11" s="37" t="str">
        <f>IFERROR(__xludf.DUMMYFUNCTION("""COMPUTED_VALUE"""),"Maintenance")</f>
        <v>Maintenance</v>
      </c>
      <c r="D11" s="37" t="str">
        <f>IFERROR(__xludf.DUMMYFUNCTION("""COMPUTED_VALUE"""),"ENT26TA2")</f>
        <v>ENT26TA2</v>
      </c>
      <c r="E11" s="37"/>
      <c r="F11" s="37" t="str">
        <f>IFERROR(__xludf.DUMMYFUNCTION("""COMPUTED_VALUE"""),"VC05P3")</f>
        <v>VC05P3</v>
      </c>
      <c r="G11" s="37"/>
      <c r="H11" s="37" t="str">
        <f>IFERROR(__xludf.DUMMYFUNCTION("""COMPUTED_VALUE"""),"執行長室 : 研發中心 : 產品設計部 : 產品設計師團隊")</f>
        <v>執行長室 : 研發中心 : 產品設計部 : 產品設計師團隊</v>
      </c>
      <c r="I11" s="37"/>
      <c r="J11" s="37" t="str">
        <f>IFERROR(__xludf.DUMMYFUNCTION("""COMPUTED_VALUE"""),"執行長室 : 策略資料中心 : 策略規劃部")</f>
        <v>執行長室 : 策略資料中心 : 策略規劃部</v>
      </c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37"/>
      <c r="B12" s="37"/>
      <c r="C12" s="37" t="str">
        <f>IFERROR(__xludf.DUMMYFUNCTION("""COMPUTED_VALUE"""),"Corporation")</f>
        <v>Corporation</v>
      </c>
      <c r="D12" s="37" t="str">
        <f>IFERROR(__xludf.DUMMYFUNCTION("""COMPUTED_VALUE"""),"QLR26TA1")</f>
        <v>QLR26TA1</v>
      </c>
      <c r="E12" s="37"/>
      <c r="F12" s="37" t="str">
        <f>IFERROR(__xludf.DUMMYFUNCTION("""COMPUTED_VALUE"""),"VC02P2")</f>
        <v>VC02P2</v>
      </c>
      <c r="G12" s="37"/>
      <c r="H12" s="37" t="str">
        <f>IFERROR(__xludf.DUMMYFUNCTION("""COMPUTED_VALUE"""),"執行長室 : 研發中心 : 產品設計部 : 產品經理團隊")</f>
        <v>執行長室 : 研發中心 : 產品設計部 : 產品經理團隊</v>
      </c>
      <c r="I12" s="37"/>
      <c r="J12" s="37" t="str">
        <f>IFERROR(__xludf.DUMMYFUNCTION("""COMPUTED_VALUE"""),"執行長室 : 策略資料中心 : 數據管理部")</f>
        <v>執行長室 : 策略資料中心 : 數據管理部</v>
      </c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37"/>
      <c r="B13" s="37"/>
      <c r="C13" s="37"/>
      <c r="D13" s="37" t="str">
        <f>IFERROR(__xludf.DUMMYFUNCTION("""COMPUTED_VALUE"""),"QLR26TA2")</f>
        <v>QLR26TA2</v>
      </c>
      <c r="E13" s="37"/>
      <c r="F13" s="37" t="str">
        <f>IFERROR(__xludf.DUMMYFUNCTION("""COMPUTED_VALUE"""),"VC02P1")</f>
        <v>VC02P1</v>
      </c>
      <c r="G13" s="37"/>
      <c r="H13" s="37" t="str">
        <f>IFERROR(__xludf.DUMMYFUNCTION("""COMPUTED_VALUE"""),"執行長室 : 研發中心 : 產品設計部 : 數據分析團隊")</f>
        <v>執行長室 : 研發中心 : 產品設計部 : 數據分析團隊</v>
      </c>
      <c r="I13" s="37"/>
      <c r="J13" s="37" t="str">
        <f>IFERROR(__xludf.DUMMYFUNCTION("""COMPUTED_VALUE"""),"執行長室 : 行銷營運中心 : 行銷營運中心")</f>
        <v>執行長室 : 行銷營運中心 : 行銷營運中心</v>
      </c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A14" s="37"/>
      <c r="B14" s="37"/>
      <c r="C14" s="37"/>
      <c r="D14" s="37" t="str">
        <f>IFERROR(__xludf.DUMMYFUNCTION("""COMPUTED_VALUE"""),"QLR26TA3")</f>
        <v>QLR26TA3</v>
      </c>
      <c r="E14" s="37"/>
      <c r="F14" s="37"/>
      <c r="G14" s="37"/>
      <c r="H14" s="37" t="str">
        <f>IFERROR(__xludf.DUMMYFUNCTION("""COMPUTED_VALUE"""),"執行長室 : 財務中心 : 財務中心")</f>
        <v>執行長室 : 財務中心 : 財務中心</v>
      </c>
      <c r="I14" s="37"/>
      <c r="J14" s="37" t="str">
        <f>IFERROR(__xludf.DUMMYFUNCTION("""COMPUTED_VALUE"""),"執行長室 : 客戶價值中心 : 客戶價值中心")</f>
        <v>執行長室 : 客戶價值中心 : 客戶價值中心</v>
      </c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37"/>
      <c r="B15" s="37"/>
      <c r="C15" s="37"/>
      <c r="D15" s="37" t="str">
        <f>IFERROR(__xludf.DUMMYFUNCTION("""COMPUTED_VALUE"""),"2C26TA1")</f>
        <v>2C26TA1</v>
      </c>
      <c r="E15" s="37"/>
      <c r="F15" s="37"/>
      <c r="G15" s="37"/>
      <c r="H15" s="37" t="str">
        <f>IFERROR(__xludf.DUMMYFUNCTION("""COMPUTED_VALUE"""),"執行長室 : 管理中心 : 管理中心")</f>
        <v>執行長室 : 管理中心 : 管理中心</v>
      </c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A16" s="37"/>
      <c r="B16" s="37"/>
      <c r="C16" s="37"/>
      <c r="D16" s="37" t="str">
        <f>IFERROR(__xludf.DUMMYFUNCTION("""COMPUTED_VALUE"""),"Corporation")</f>
        <v>Corporation</v>
      </c>
      <c r="E16" s="37"/>
      <c r="F16" s="37"/>
      <c r="G16" s="37"/>
      <c r="H16" s="37" t="str">
        <f>IFERROR(__xludf.DUMMYFUNCTION("""COMPUTED_VALUE"""),"執行長室 : 管理中心 : 行政總務部")</f>
        <v>執行長室 : 管理中心 : 行政總務部</v>
      </c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37"/>
      <c r="B17" s="37"/>
      <c r="C17" s="37"/>
      <c r="D17" s="37"/>
      <c r="E17" s="37"/>
      <c r="F17" s="37"/>
      <c r="G17" s="37"/>
      <c r="H17" s="37" t="str">
        <f>IFERROR(__xludf.DUMMYFUNCTION("""COMPUTED_VALUE"""),"執行長室 : 管理中心 : 人資部")</f>
        <v>執行長室 : 管理中心 : 人資部</v>
      </c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A18" s="37"/>
      <c r="B18" s="37"/>
      <c r="C18" s="37"/>
      <c r="D18" s="37"/>
      <c r="E18" s="37"/>
      <c r="F18" s="37"/>
      <c r="G18" s="37"/>
      <c r="H18" s="37" t="str">
        <f>IFERROR(__xludf.DUMMYFUNCTION("""COMPUTED_VALUE"""),"執行長室 : 管理中心 : 法務部")</f>
        <v>執行長室 : 管理中心 : 法務部</v>
      </c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A19" s="37"/>
      <c r="B19" s="37"/>
      <c r="C19" s="37"/>
      <c r="D19" s="37"/>
      <c r="E19" s="37"/>
      <c r="F19" s="37"/>
      <c r="G19" s="37"/>
      <c r="H19" s="37" t="str">
        <f>IFERROR(__xludf.DUMMYFUNCTION("""COMPUTED_VALUE"""),"執行長室 : 管理中心 : 資訊部")</f>
        <v>執行長室 : 管理中心 : 資訊部</v>
      </c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A20" s="37"/>
      <c r="B20" s="37"/>
      <c r="C20" s="37"/>
      <c r="D20" s="37"/>
      <c r="E20" s="37"/>
      <c r="F20" s="37"/>
      <c r="G20" s="37"/>
      <c r="H20" s="37" t="str">
        <f>IFERROR(__xludf.DUMMYFUNCTION("""COMPUTED_VALUE"""),"執行長室 : 管理中心 : 採購部")</f>
        <v>執行長室 : 管理中心 : 採購部</v>
      </c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37"/>
      <c r="B21" s="37"/>
      <c r="C21" s="37"/>
      <c r="D21" s="37"/>
      <c r="E21" s="37"/>
      <c r="F21" s="37"/>
      <c r="G21" s="37"/>
      <c r="H21" s="37" t="str">
        <f>IFERROR(__xludf.DUMMYFUNCTION("""COMPUTED_VALUE"""),"執行長室 : 策略資料中心 : 策略資料中心")</f>
        <v>執行長室 : 策略資料中心 : 策略資料中心</v>
      </c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37"/>
      <c r="B22" s="37"/>
      <c r="C22" s="37"/>
      <c r="D22" s="37"/>
      <c r="E22" s="37"/>
      <c r="F22" s="37"/>
      <c r="G22" s="37"/>
      <c r="H22" s="37" t="str">
        <f>IFERROR(__xludf.DUMMYFUNCTION("""COMPUTED_VALUE"""),"執行長室 : 策略資料中心 : 策略規劃部")</f>
        <v>執行長室 : 策略資料中心 : 策略規劃部</v>
      </c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37"/>
      <c r="B23" s="37"/>
      <c r="C23" s="37"/>
      <c r="D23" s="37"/>
      <c r="E23" s="37"/>
      <c r="F23" s="37"/>
      <c r="G23" s="37"/>
      <c r="H23" s="37" t="str">
        <f>IFERROR(__xludf.DUMMYFUNCTION("""COMPUTED_VALUE"""),"執行長室 : 策略資料中心 : 數據管理部")</f>
        <v>執行長室 : 策略資料中心 : 數據管理部</v>
      </c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A24" s="37"/>
      <c r="B24" s="37"/>
      <c r="C24" s="37"/>
      <c r="D24" s="37"/>
      <c r="E24" s="37"/>
      <c r="F24" s="37"/>
      <c r="G24" s="37"/>
      <c r="H24" s="37" t="str">
        <f>IFERROR(__xludf.DUMMYFUNCTION("""COMPUTED_VALUE"""),"執行長室 : 行銷營運中心 : 行銷營運中心")</f>
        <v>執行長室 : 行銷營運中心 : 行銷營運中心</v>
      </c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37"/>
      <c r="B25" s="37"/>
      <c r="C25" s="37"/>
      <c r="D25" s="37"/>
      <c r="E25" s="37"/>
      <c r="F25" s="37"/>
      <c r="G25" s="37"/>
      <c r="H25" s="37" t="str">
        <f>IFERROR(__xludf.DUMMYFUNCTION("""COMPUTED_VALUE"""),"執行長室 : 行銷營運中心 : 專案銷售部")</f>
        <v>執行長室 : 行銷營運中心 : 專案銷售部</v>
      </c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37"/>
      <c r="B26" s="37"/>
      <c r="C26" s="37"/>
      <c r="D26" s="37"/>
      <c r="E26" s="37"/>
      <c r="F26" s="37"/>
      <c r="G26" s="37"/>
      <c r="H26" s="37" t="str">
        <f>IFERROR(__xludf.DUMMYFUNCTION("""COMPUTED_VALUE"""),"執行長室 : 行銷營運中心 : 產品行銷部")</f>
        <v>執行長室 : 行銷營運中心 : 產品行銷部</v>
      </c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A27" s="37"/>
      <c r="B27" s="37"/>
      <c r="C27" s="37"/>
      <c r="D27" s="37"/>
      <c r="E27" s="37"/>
      <c r="F27" s="37"/>
      <c r="G27" s="37"/>
      <c r="H27" s="37" t="str">
        <f>IFERROR(__xludf.DUMMYFUNCTION("""COMPUTED_VALUE"""),"執行長室 : 行銷營運中心 : 產品行銷部 : 產品行銷團隊")</f>
        <v>執行長室 : 行銷營運中心 : 產品行銷部 : 產品行銷團隊</v>
      </c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37"/>
      <c r="B28" s="37"/>
      <c r="C28" s="37"/>
      <c r="D28" s="37"/>
      <c r="E28" s="37"/>
      <c r="F28" s="37"/>
      <c r="G28" s="37"/>
      <c r="H28" s="37" t="str">
        <f>IFERROR(__xludf.DUMMYFUNCTION("""COMPUTED_VALUE"""),"執行長室 : 行銷營運中心 : 產品行銷部 : 設計管理團隊")</f>
        <v>執行長室 : 行銷營運中心 : 產品行銷部 : 設計管理團隊</v>
      </c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A29" s="37"/>
      <c r="B29" s="37"/>
      <c r="C29" s="37"/>
      <c r="D29" s="37"/>
      <c r="E29" s="37"/>
      <c r="F29" s="37"/>
      <c r="G29" s="37"/>
      <c r="H29" s="37" t="str">
        <f>IFERROR(__xludf.DUMMYFUNCTION("""COMPUTED_VALUE"""),"執行長室 : 行銷營運中心 : 社群關係部")</f>
        <v>執行長室 : 行銷營運中心 : 社群關係部</v>
      </c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37"/>
      <c r="B30" s="37"/>
      <c r="C30" s="37"/>
      <c r="D30" s="37"/>
      <c r="E30" s="37"/>
      <c r="F30" s="37"/>
      <c r="G30" s="37"/>
      <c r="H30" s="37" t="str">
        <f>IFERROR(__xludf.DUMMYFUNCTION("""COMPUTED_VALUE"""),"執行長室 : 行銷營運中心 : 社群關係部 : 餐廳社群團隊")</f>
        <v>執行長室 : 行銷營運中心 : 社群關係部 : 餐廳社群團隊</v>
      </c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A31" s="37"/>
      <c r="B31" s="37"/>
      <c r="C31" s="37"/>
      <c r="D31" s="37"/>
      <c r="E31" s="37"/>
      <c r="F31" s="37"/>
      <c r="G31" s="37"/>
      <c r="H31" s="37" t="str">
        <f>IFERROR(__xludf.DUMMYFUNCTION("""COMPUTED_VALUE"""),"執行長室 : 行銷營運中心 : 社群關係部 : 餐廳社群團隊")</f>
        <v>執行長室 : 行銷營運中心 : 社群關係部 : 餐廳社群團隊</v>
      </c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37"/>
      <c r="B32" s="37"/>
      <c r="C32" s="37"/>
      <c r="D32" s="37"/>
      <c r="E32" s="37"/>
      <c r="F32" s="37"/>
      <c r="G32" s="37"/>
      <c r="H32" s="37" t="str">
        <f>IFERROR(__xludf.DUMMYFUNCTION("""COMPUTED_VALUE"""),"執行長室 : 行銷營運中心 : 銷售營運部")</f>
        <v>執行長室 : 行銷營運中心 : 銷售營運部</v>
      </c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A33" s="37"/>
      <c r="B33" s="37"/>
      <c r="C33" s="37"/>
      <c r="D33" s="37"/>
      <c r="E33" s="37"/>
      <c r="F33" s="37"/>
      <c r="G33" s="37"/>
      <c r="H33" s="37" t="str">
        <f>IFERROR(__xludf.DUMMYFUNCTION("""COMPUTED_VALUE"""),"執行長室 : 行銷營運中心 : 銷售營運部 : 成交營運團隊")</f>
        <v>執行長室 : 行銷營運中心 : 銷售營運部 : 成交營運團隊</v>
      </c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37"/>
      <c r="B34" s="37"/>
      <c r="C34" s="37"/>
      <c r="D34" s="37"/>
      <c r="E34" s="37"/>
      <c r="F34" s="37"/>
      <c r="G34" s="37"/>
      <c r="H34" s="37" t="str">
        <f>IFERROR(__xludf.DUMMYFUNCTION("""COMPUTED_VALUE"""),"執行長室 : 行銷營運中心 : 銷售營運部 : 銷售顧問團隊")</f>
        <v>執行長室 : 行銷營運中心 : 銷售營運部 : 銷售顧問團隊</v>
      </c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37"/>
      <c r="B35" s="37"/>
      <c r="C35" s="37"/>
      <c r="D35" s="37"/>
      <c r="E35" s="37"/>
      <c r="F35" s="37"/>
      <c r="G35" s="37"/>
      <c r="H35" s="37" t="str">
        <f>IFERROR(__xludf.DUMMYFUNCTION("""COMPUTED_VALUE"""),"執行長室 : 行銷營運中心 : 銷售營運部 : 客戶導入團隊")</f>
        <v>執行長室 : 行銷營運中心 : 銷售營運部 : 客戶導入團隊</v>
      </c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37"/>
      <c r="B36" s="37"/>
      <c r="C36" s="37"/>
      <c r="D36" s="37"/>
      <c r="E36" s="37"/>
      <c r="F36" s="37"/>
      <c r="G36" s="37"/>
      <c r="H36" s="37" t="str">
        <f>IFERROR(__xludf.DUMMYFUNCTION("""COMPUTED_VALUE"""),"執行長室 : 行銷營運中心 : 銷售營運部 : 線上開發團隊")</f>
        <v>執行長室 : 行銷營運中心 : 銷售營運部 : 線上開發團隊</v>
      </c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37"/>
      <c r="B37" s="37"/>
      <c r="C37" s="37"/>
      <c r="D37" s="37"/>
      <c r="E37" s="37"/>
      <c r="F37" s="37"/>
      <c r="G37" s="37"/>
      <c r="H37" s="37" t="str">
        <f>IFERROR(__xludf.DUMMYFUNCTION("""COMPUTED_VALUE"""),"執行長室 : 行銷營運中心 : 銷售營運部 : 銷售訓練團隊")</f>
        <v>執行長室 : 行銷營運中心 : 銷售營運部 : 銷售訓練團隊</v>
      </c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37"/>
      <c r="B38" s="37"/>
      <c r="C38" s="37"/>
      <c r="D38" s="37"/>
      <c r="E38" s="37"/>
      <c r="F38" s="37"/>
      <c r="G38" s="37"/>
      <c r="H38" s="37" t="str">
        <f>IFERROR(__xludf.DUMMYFUNCTION("""COMPUTED_VALUE"""),"執行長室 : 客戶價值中心 : 客戶價值中心")</f>
        <v>執行長室 : 客戶價值中心 : 客戶價值中心</v>
      </c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37"/>
      <c r="B39" s="37"/>
      <c r="C39" s="37"/>
      <c r="D39" s="37"/>
      <c r="E39" s="37"/>
      <c r="F39" s="37"/>
      <c r="G39" s="37"/>
      <c r="H39" s="37" t="str">
        <f>IFERROR(__xludf.DUMMYFUNCTION("""COMPUTED_VALUE"""),"執行長室 : 客戶價值中心 : 客戶關係管理部")</f>
        <v>執行長室 : 客戶價值中心 : 客戶關係管理部</v>
      </c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37"/>
      <c r="B40" s="37"/>
      <c r="C40" s="37"/>
      <c r="D40" s="37"/>
      <c r="E40" s="37"/>
      <c r="F40" s="37"/>
      <c r="G40" s="37"/>
      <c r="H40" s="37" t="str">
        <f>IFERROR(__xludf.DUMMYFUNCTION("""COMPUTED_VALUE"""),"執行長室 : 客戶價值中心 : 客戶關係管理部 : TSE 團隊")</f>
        <v>執行長室 : 客戶價值中心 : 客戶關係管理部 : TSE 團隊</v>
      </c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37"/>
      <c r="B41" s="37"/>
      <c r="C41" s="37"/>
      <c r="D41" s="37"/>
      <c r="E41" s="37"/>
      <c r="F41" s="37"/>
      <c r="G41" s="37"/>
      <c r="H41" s="37" t="str">
        <f>IFERROR(__xludf.DUMMYFUNCTION("""COMPUTED_VALUE"""),"執行長室 : 客戶價值中心 : 客戶關係管理部 : 客服團隊")</f>
        <v>執行長室 : 客戶價值中心 : 客戶關係管理部 : 客服團隊</v>
      </c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37"/>
      <c r="B42" s="37"/>
      <c r="C42" s="37"/>
      <c r="D42" s="37"/>
      <c r="E42" s="37"/>
      <c r="F42" s="37"/>
      <c r="G42" s="37"/>
      <c r="H42" s="37" t="str">
        <f>IFERROR(__xludf.DUMMYFUNCTION("""COMPUTED_VALUE"""),"執行長室 : 客戶價值中心 : 客戶關係管理部 : 客戶經理團隊	")</f>
        <v>執行長室 : 客戶價值中心 : 客戶關係管理部 : 客戶經理團隊	</v>
      </c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A43" s="37"/>
      <c r="B43" s="37"/>
      <c r="C43" s="37"/>
      <c r="D43" s="37"/>
      <c r="E43" s="37"/>
      <c r="F43" s="37"/>
      <c r="G43" s="37"/>
      <c r="H43" s="37" t="str">
        <f>IFERROR(__xludf.DUMMYFUNCTION("""COMPUTED_VALUE"""),"執行長室 : 客戶價值中心 : 客戶成功管理部")</f>
        <v>執行長室 : 客戶價值中心 : 客戶成功管理部</v>
      </c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37"/>
      <c r="B44" s="37"/>
      <c r="C44" s="37"/>
      <c r="D44" s="37"/>
      <c r="E44" s="37"/>
      <c r="F44" s="37"/>
      <c r="G44" s="37"/>
      <c r="H44" s="37" t="str">
        <f>IFERROR(__xludf.DUMMYFUNCTION("""COMPUTED_VALUE"""),"執行長室 : 客戶價值中心 : 客戶成功管理部 : 產品教育團隊")</f>
        <v>執行長室 : 客戶價值中心 : 客戶成功管理部 : 產品教育團隊</v>
      </c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37"/>
      <c r="B45" s="37"/>
      <c r="C45" s="37"/>
      <c r="D45" s="37"/>
      <c r="E45" s="37"/>
      <c r="F45" s="37"/>
      <c r="G45" s="37"/>
      <c r="H45" s="37" t="str">
        <f>IFERROR(__xludf.DUMMYFUNCTION("""COMPUTED_VALUE"""),"執行長室 : 客戶價值中心 : 客戶成功管理部 : 客戶成功團隊")</f>
        <v>執行長室 : 客戶價值中心 : 客戶成功管理部 : 客戶成功團隊</v>
      </c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37"/>
      <c r="B46" s="37"/>
      <c r="C46" s="37"/>
      <c r="D46" s="37"/>
      <c r="E46" s="37"/>
      <c r="F46" s="37"/>
      <c r="G46" s="37"/>
      <c r="H46" s="37" t="str">
        <f>IFERROR(__xludf.DUMMYFUNCTION("""COMPUTED_VALUE"""),"執行長室 : 行銷營運中心 : 行銷營運中心")</f>
        <v>執行長室 : 行銷營運中心 : 行銷營運中心</v>
      </c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37"/>
      <c r="B47" s="37"/>
      <c r="C47" s="37"/>
      <c r="D47" s="37"/>
      <c r="E47" s="37"/>
      <c r="F47" s="37"/>
      <c r="G47" s="37"/>
      <c r="H47" s="37" t="str">
        <f>IFERROR(__xludf.DUMMYFUNCTION("""COMPUTED_VALUE"""),"執行長室 : 行銷營運中心 : 產品行銷部")</f>
        <v>執行長室 : 行銷營運中心 : 產品行銷部</v>
      </c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37"/>
      <c r="B48" s="37"/>
      <c r="C48" s="37"/>
      <c r="D48" s="37"/>
      <c r="E48" s="37"/>
      <c r="F48" s="37"/>
      <c r="G48" s="37"/>
      <c r="H48" s="37" t="str">
        <f>IFERROR(__xludf.DUMMYFUNCTION("""COMPUTED_VALUE"""),"執行長室 : 行銷營運中心 : 產品行銷部 : 行銷團隊")</f>
        <v>執行長室 : 行銷營運中心 : 產品行銷部 : 行銷團隊</v>
      </c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37"/>
      <c r="B49" s="37"/>
      <c r="C49" s="37"/>
      <c r="D49" s="37"/>
      <c r="E49" s="37"/>
      <c r="F49" s="37"/>
      <c r="G49" s="37"/>
      <c r="H49" s="37" t="str">
        <f>IFERROR(__xludf.DUMMYFUNCTION("""COMPUTED_VALUE"""),"執行長室 : 行銷營運中心 : 產品行銷部 : 社群團隊")</f>
        <v>執行長室 : 行銷營運中心 : 產品行銷部 : 社群團隊</v>
      </c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37"/>
      <c r="B50" s="37"/>
      <c r="C50" s="37"/>
      <c r="D50" s="37"/>
      <c r="E50" s="37"/>
      <c r="F50" s="37"/>
      <c r="G50" s="37"/>
      <c r="H50" s="37" t="str">
        <f>IFERROR(__xludf.DUMMYFUNCTION("""COMPUTED_VALUE"""),"執行長室 : 行銷營運中心 : 銷售營運部")</f>
        <v>執行長室 : 行銷營運中心 : 銷售營運部</v>
      </c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37"/>
      <c r="B51" s="37"/>
      <c r="C51" s="37"/>
      <c r="D51" s="37"/>
      <c r="E51" s="37"/>
      <c r="F51" s="37"/>
      <c r="G51" s="37"/>
      <c r="H51" s="37" t="str">
        <f>IFERROR(__xludf.DUMMYFUNCTION("""COMPUTED_VALUE"""),"執行長室 : 行銷營運中心 : 銷售營運部 : 銷售開發團隊")</f>
        <v>執行長室 : 行銷營運中心 : 銷售營運部 : 銷售開發團隊</v>
      </c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37"/>
      <c r="B52" s="37"/>
      <c r="C52" s="37"/>
      <c r="D52" s="37"/>
      <c r="E52" s="37"/>
      <c r="F52" s="37"/>
      <c r="G52" s="37"/>
      <c r="H52" s="37" t="str">
        <f>IFERROR(__xludf.DUMMYFUNCTION("""COMPUTED_VALUE"""),"執行長室 : 行銷營運中心 : 銷售營運部 : 成交營運團隊")</f>
        <v>執行長室 : 行銷營運中心 : 銷售營運部 : 成交營運團隊</v>
      </c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37"/>
      <c r="B53" s="37"/>
      <c r="C53" s="37"/>
      <c r="D53" s="37"/>
      <c r="E53" s="37"/>
      <c r="F53" s="37"/>
      <c r="G53" s="37"/>
      <c r="H53" s="37" t="str">
        <f>IFERROR(__xludf.DUMMYFUNCTION("""COMPUTED_VALUE"""),"執行長室 : 管理中心 : 管理中心")</f>
        <v>執行長室 : 管理中心 : 管理中心</v>
      </c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37"/>
      <c r="B54" s="37"/>
      <c r="C54" s="37"/>
      <c r="D54" s="37"/>
      <c r="E54" s="37"/>
      <c r="F54" s="37"/>
      <c r="G54" s="37"/>
      <c r="H54" s="37" t="str">
        <f>IFERROR(__xludf.DUMMYFUNCTION("""COMPUTED_VALUE"""),"執行長室 : 管理中心 : 財務部")</f>
        <v>執行長室 : 管理中心 : 財務部</v>
      </c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37"/>
      <c r="B55" s="37"/>
      <c r="C55" s="37"/>
      <c r="D55" s="37"/>
      <c r="E55" s="37"/>
      <c r="F55" s="37"/>
      <c r="G55" s="37"/>
      <c r="H55" s="37" t="str">
        <f>IFERROR(__xludf.DUMMYFUNCTION("""COMPUTED_VALUE"""),"執行長室 : 管理中心 : 人力資源部")</f>
        <v>執行長室 : 管理中心 : 人力資源部</v>
      </c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A56" s="37"/>
      <c r="B56" s="37"/>
      <c r="C56" s="37"/>
      <c r="D56" s="37"/>
      <c r="E56" s="37"/>
      <c r="F56" s="37"/>
      <c r="G56" s="37"/>
      <c r="H56" s="37" t="str">
        <f>IFERROR(__xludf.DUMMYFUNCTION("""COMPUTED_VALUE"""),"執行長室 : 管理中心 : 行政總務部")</f>
        <v>執行長室 : 管理中心 : 行政總務部</v>
      </c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37"/>
      <c r="B57" s="37"/>
      <c r="C57" s="37"/>
      <c r="D57" s="37"/>
      <c r="E57" s="37"/>
      <c r="F57" s="37"/>
      <c r="G57" s="37"/>
      <c r="H57" s="37" t="str">
        <f>IFERROR(__xludf.DUMMYFUNCTION("""COMPUTED_VALUE"""),"執行長室 : 管理中心 : 採購部")</f>
        <v>執行長室 : 管理中心 : 採購部</v>
      </c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37"/>
      <c r="B58" s="37"/>
      <c r="C58" s="37"/>
      <c r="D58" s="37"/>
      <c r="E58" s="37"/>
      <c r="F58" s="37"/>
      <c r="G58" s="37"/>
      <c r="H58" s="37" t="str">
        <f>IFERROR(__xludf.DUMMYFUNCTION("""COMPUTED_VALUE"""),"執行長室 : 研發中心 : 研發中心")</f>
        <v>執行長室 : 研發中心 : 研發中心</v>
      </c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37"/>
      <c r="B59" s="37"/>
      <c r="C59" s="37"/>
      <c r="D59" s="37"/>
      <c r="E59" s="37"/>
      <c r="F59" s="37"/>
      <c r="G59" s="37"/>
      <c r="H59" s="37" t="str">
        <f>IFERROR(__xludf.DUMMYFUNCTION("""COMPUTED_VALUE"""),"執行長室 : 研發中心 : 產品營運部 : 客服團隊")</f>
        <v>執行長室 : 研發中心 : 產品營運部 : 客服團隊</v>
      </c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37"/>
      <c r="B60" s="37"/>
      <c r="C60" s="37"/>
      <c r="D60" s="37"/>
      <c r="E60" s="37"/>
      <c r="F60" s="37"/>
      <c r="G60" s="37"/>
      <c r="H60" s="37" t="str">
        <f>IFERROR(__xludf.DUMMYFUNCTION("""COMPUTED_VALUE"""),"執行長室 : 研發中心 : 產品設計部")</f>
        <v>執行長室 : 研發中心 : 產品設計部</v>
      </c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37"/>
      <c r="B61" s="37"/>
      <c r="C61" s="37"/>
      <c r="D61" s="37"/>
      <c r="E61" s="37"/>
      <c r="F61" s="37"/>
      <c r="G61" s="37"/>
      <c r="H61" s="37" t="str">
        <f>IFERROR(__xludf.DUMMYFUNCTION("""COMPUTED_VALUE"""),"執行長室 : 研發中心 : 軟體工程部")</f>
        <v>執行長室 : 研發中心 : 軟體工程部</v>
      </c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</sheetData>
  <drawing r:id="rId1"/>
</worksheet>
</file>