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_事業營收目標、資源上限、CEO 商業指標預估" sheetId="1" r:id="rId4"/>
    <sheet state="visible" name="1.1_BU 策略目標(Si)+達營收淨利的商業目標" sheetId="2" r:id="rId5"/>
    <sheet state="visible" name="1.2_CEO 目標反推 Funnel 結果" sheetId="3" r:id="rId6"/>
    <sheet state="visible" name="1.3.1_事業損益依 Momentum 估算" sheetId="4" r:id="rId7"/>
    <sheet state="visible" name="1.3.2_事業 Momentum 損益估算" sheetId="5" r:id="rId8"/>
    <sheet state="visible" name="1.4_ 事業 Funnel 現況" sheetId="6" r:id="rId9"/>
    <sheet state="visible" name="2.1_事業資源配置結構比較" sheetId="7" r:id="rId10"/>
    <sheet state="visible" name="2.2_年度事業損益（TA 組合後）" sheetId="8" r:id="rId11"/>
    <sheet state="visible" name="2.3_TA 任務對 Funnel 影響（BO 設定）" sheetId="9" r:id="rId12"/>
    <sheet state="visible" name="2.4_TA 專案選擇勾選_(加總 2.6)" sheetId="10" r:id="rId13"/>
    <sheet state="visible" name="2.5_TA 任務所需資源（人力）" sheetId="11" r:id="rId14"/>
    <sheet state="visible" name="2.6_TA 任務所需資源（匯總）" sheetId="12" r:id="rId15"/>
    <sheet state="visible" name="｜報表匯入區&gt;&gt;&gt;" sheetId="13" r:id="rId16"/>
    <sheet state="visible" name="QLR 研發中心" sheetId="14" r:id="rId17"/>
    <sheet state="visible" name="QLR 行銷營運中心" sheetId="15" r:id="rId18"/>
    <sheet state="visible" name="QLR 管理中心" sheetId="16" r:id="rId19"/>
    <sheet state="visible" name="iCHEF 管理中心" sheetId="17" r:id="rId20"/>
    <sheet state="visible" name="iCHEF 財務中心" sheetId="18" r:id="rId21"/>
    <sheet state="visible" name="iCHEF 策略資料中心" sheetId="19" r:id="rId22"/>
    <sheet state="visible" name="｜工作區&gt;&gt;&gt;" sheetId="20" r:id="rId23"/>
    <sheet state="visible" name="預算欄位參數表" sheetId="21" r:id="rId24"/>
    <sheet state="visible" name="共通費用參考資料" sheetId="22" r:id="rId25"/>
  </sheets>
  <definedNames/>
  <calcPr/>
</workbook>
</file>

<file path=xl/sharedStrings.xml><?xml version="1.0" encoding="utf-8"?>
<sst xmlns="http://schemas.openxmlformats.org/spreadsheetml/2006/main" count="1288" uniqueCount="226">
  <si>
    <t>BO 可調控程度</t>
  </si>
  <si>
    <t>費用內容</t>
  </si>
  <si>
    <t>可調各月數值/不可調年加總金額/不可調項目</t>
  </si>
  <si>
    <t>不可調</t>
  </si>
  <si>
    <t>可調各月數值/可調年加總金額/可刪改項目</t>
  </si>
  <si>
    <t>易，事業可自行調整多數項目</t>
  </si>
  <si>
    <t>可調各月數值/可調年加總/不可刪改項目</t>
  </si>
  <si>
    <t>難，需跨事業協調</t>
  </si>
  <si>
    <t>中等，事業可自行調整部分項目</t>
  </si>
  <si>
    <t>2025/1-2025/6</t>
  </si>
  <si>
    <t>2025 year</t>
  </si>
  <si>
    <t>2026 year</t>
  </si>
  <si>
    <t>項目</t>
  </si>
  <si>
    <t>類型</t>
  </si>
  <si>
    <t>子項目</t>
  </si>
  <si>
    <t>子項目說明</t>
  </si>
  <si>
    <t>數值計算說明</t>
  </si>
  <si>
    <t>Actual</t>
  </si>
  <si>
    <t>Subtotal</t>
  </si>
  <si>
    <t>Subtotal %</t>
  </si>
  <si>
    <t>Forcast</t>
  </si>
  <si>
    <t>Recurring Revenue</t>
  </si>
  <si>
    <t>加總</t>
  </si>
  <si>
    <t>QLR Pro 軟體收入</t>
  </si>
  <si>
    <t>Previous MRR - QLiEER</t>
  </si>
  <si>
    <t>單店 POS 前月經常性營收</t>
  </si>
  <si>
    <t>前月付費客戶數 x 平均客戶單價</t>
  </si>
  <si>
    <t>New MRR - QLiEER</t>
  </si>
  <si>
    <t>單店POS當月新增經常性營收</t>
  </si>
  <si>
    <t>當月新增客戶數 x 平均客戶單價</t>
  </si>
  <si>
    <t>Churn MRR - QLiEER</t>
  </si>
  <si>
    <t>單店POS當月流失經常性營收</t>
  </si>
  <si>
    <t>當月流失客戶數 x 平均客戶單價</t>
  </si>
  <si>
    <t>分潤收入</t>
  </si>
  <si>
    <t>Total Cost</t>
  </si>
  <si>
    <t>子項目加總</t>
  </si>
  <si>
    <t>Cost-AWS</t>
  </si>
  <si>
    <t>研發中心 AWS 成本</t>
  </si>
  <si>
    <t>AWS主機費用，經常性營收 x 費用率</t>
  </si>
  <si>
    <t>Cost-Maintenance</t>
  </si>
  <si>
    <t>Cost-Maintenance-CVM</t>
  </si>
  <si>
    <t>客戶價值中心 - 客服</t>
  </si>
  <si>
    <t>客服團隊，經常性營收 x 費用率</t>
  </si>
  <si>
    <t>Cost-Maintenance-RD</t>
  </si>
  <si>
    <t>研發中心 - 產品營運</t>
  </si>
  <si>
    <t>產品營運團隊，經常性營收 x 費用率</t>
  </si>
  <si>
    <t>Cost-Maintenance-MKT</t>
  </si>
  <si>
    <t>行銷營運中心 - 銷售營運部導入教練團隊</t>
  </si>
  <si>
    <t>導入團隊，經常性營收 x 費用率</t>
  </si>
  <si>
    <t>Cost-Biz Infra</t>
  </si>
  <si>
    <t>管理中心 - 資訊軟體攤分</t>
  </si>
  <si>
    <t>公司共用軟體，經常性營收 x 費用率</t>
  </si>
  <si>
    <t>Recurring margin</t>
  </si>
  <si>
    <t>Gross Margin</t>
  </si>
  <si>
    <t>Recurring margin%</t>
  </si>
  <si>
    <t>Gross Margin %</t>
  </si>
  <si>
    <t>Non recurring margin</t>
  </si>
  <si>
    <t>當月一次性服務收入毛利額</t>
  </si>
  <si>
    <t>Hardware margin</t>
  </si>
  <si>
    <t>當月硬體毛利額</t>
  </si>
  <si>
    <t>Fixed Overhead-RD</t>
  </si>
  <si>
    <t>研發中心費用</t>
  </si>
  <si>
    <t>研發團隊，經常性營收 x 費用率</t>
  </si>
  <si>
    <t>Fixed Overhead-Admin</t>
  </si>
  <si>
    <t>Fixed Overhead-Admin-MC</t>
  </si>
  <si>
    <t>管理中心費用</t>
  </si>
  <si>
    <t>管理團隊，經常性營收 x 費用率</t>
  </si>
  <si>
    <t>Fixed Overhead-Admin-FN</t>
  </si>
  <si>
    <t>財務中心費用</t>
  </si>
  <si>
    <t>財務團隊，經常性營收 x 費用率</t>
  </si>
  <si>
    <t>Fixed Overhead-Admin-STR</t>
  </si>
  <si>
    <t>策略資料中心費用</t>
  </si>
  <si>
    <t>策略團隊，經常性營收 x 費用率</t>
  </si>
  <si>
    <t>Fixed Overhead-Admin-CEO</t>
  </si>
  <si>
    <t>執行長室費用</t>
  </si>
  <si>
    <t>事業總經理辦公室，經常性營收 x 費用率</t>
  </si>
  <si>
    <t>Earning Before CAC</t>
  </si>
  <si>
    <t>Earning Before CAC %</t>
  </si>
  <si>
    <t>Acquisition Cost</t>
  </si>
  <si>
    <t>Acquisition cost</t>
  </si>
  <si>
    <t>新客戶取得成本</t>
  </si>
  <si>
    <t>當月新增客戶數 x 平均客戶取得成本</t>
  </si>
  <si>
    <t xml:space="preserve">Operating Margin	</t>
  </si>
  <si>
    <t>Operation Margin</t>
  </si>
  <si>
    <t>Operation Margin %</t>
  </si>
  <si>
    <t>Non Operating Income(Loss)</t>
  </si>
  <si>
    <t>業外收益/損失</t>
  </si>
  <si>
    <t>Net Income</t>
  </si>
  <si>
    <t>Net Income(Loss)</t>
  </si>
  <si>
    <t>Net Income %</t>
  </si>
  <si>
    <t>Net Income(Loss) %</t>
  </si>
  <si>
    <t>整體事業經營指標</t>
  </si>
  <si>
    <t>Total Customer</t>
  </si>
  <si>
    <t>指標</t>
  </si>
  <si>
    <t>Freemium Customer</t>
  </si>
  <si>
    <t>Total Paid Customer</t>
  </si>
  <si>
    <t>當月付費門市數</t>
  </si>
  <si>
    <t>子項目指標</t>
  </si>
  <si>
    <t>Paid Customer - Qlieer</t>
  </si>
  <si>
    <t>當月付費大店門市數</t>
  </si>
  <si>
    <t>Previous Paid Customer - Qlieer</t>
  </si>
  <si>
    <t>前月付費大店門市數</t>
  </si>
  <si>
    <t>New Customer - Qlieer</t>
  </si>
  <si>
    <t>當月新增付費大店門市數</t>
  </si>
  <si>
    <t>Churn Customer - Qlieer</t>
  </si>
  <si>
    <t>當月流失付費大店門市數</t>
  </si>
  <si>
    <t>avg. Churn Customer Rate - SMB</t>
  </si>
  <si>
    <t>付費大店流失率</t>
  </si>
  <si>
    <t>依門市數計算</t>
  </si>
  <si>
    <t>當月付費小店門市數</t>
  </si>
  <si>
    <t>前月付費小店門市數</t>
  </si>
  <si>
    <t>當月新增付費小店門市數</t>
  </si>
  <si>
    <t>當月流失付費小店門市數</t>
  </si>
  <si>
    <t>付費小店流失率</t>
  </si>
  <si>
    <t>ARPA</t>
  </si>
  <si>
    <t>Average Revenue per customer Account</t>
  </si>
  <si>
    <t>平均門市客單價</t>
  </si>
  <si>
    <t>Average Revenue per customer Account - Qlieer</t>
  </si>
  <si>
    <t>平均大店門市客單價</t>
  </si>
  <si>
    <t>平均小店門市客單價</t>
  </si>
  <si>
    <t>Profit Sharing</t>
  </si>
  <si>
    <t>Active Online Reservation - Store</t>
  </si>
  <si>
    <t>可分潤門市數</t>
  </si>
  <si>
    <t>Active Online Reservation - Large Store</t>
  </si>
  <si>
    <t>可分潤大店門市數</t>
  </si>
  <si>
    <t>Large Store Avg. GMV</t>
  </si>
  <si>
    <t>大店平均 GMV</t>
  </si>
  <si>
    <t>Profit Sharing Rate</t>
  </si>
  <si>
    <t>分潤率</t>
  </si>
  <si>
    <t>Profit Sharing Revenue - Large Store</t>
  </si>
  <si>
    <t>分潤金額</t>
  </si>
  <si>
    <t>Active Online Reservation - Mini Store</t>
  </si>
  <si>
    <t>可分潤小店門市數</t>
  </si>
  <si>
    <t>Mini Store Avg. GMV</t>
  </si>
  <si>
    <t>小店平均 GMV</t>
  </si>
  <si>
    <t>Profit Sharing Revenue - Mini Store</t>
  </si>
  <si>
    <t>Cost-AWS %</t>
  </si>
  <si>
    <t>AWS 成本率</t>
  </si>
  <si>
    <t>Cost-Maintenance %</t>
  </si>
  <si>
    <t>Cost-Maintenance-CVM %</t>
  </si>
  <si>
    <t>客戶價值中心營運成本率</t>
  </si>
  <si>
    <t>Cost-Maintenance-RD %</t>
  </si>
  <si>
    <t>產品營運團隊營運成本率</t>
  </si>
  <si>
    <t>Cost-Maintenance-MKT %</t>
  </si>
  <si>
    <t>行銷營運中心營運成本率</t>
  </si>
  <si>
    <t>Cost-Biz Infra %</t>
  </si>
  <si>
    <t>管理中心 - 資訊軟體攤分成本率</t>
  </si>
  <si>
    <t>Non recurring ARPA per New Customer</t>
  </si>
  <si>
    <t>平均當月新增客戶購買一次性服務單價</t>
  </si>
  <si>
    <t>Hardware SRPA per New Customer</t>
  </si>
  <si>
    <t>Hardware ARPA per New Customer</t>
  </si>
  <si>
    <t>平均當月新增客戶購買硬體毛利額</t>
  </si>
  <si>
    <t>Fixed Overhead-RD %</t>
  </si>
  <si>
    <t>研發中心費用率</t>
  </si>
  <si>
    <t>Fixed Overhead-Admin %</t>
  </si>
  <si>
    <t>Fixed Overhead-Admin-MC %</t>
  </si>
  <si>
    <t>管理中心費用率</t>
  </si>
  <si>
    <t>Fixed Overhead-Admin-FN %</t>
  </si>
  <si>
    <t>財務中心費用率</t>
  </si>
  <si>
    <t>Fixed Overhead-Admin-STR %</t>
  </si>
  <si>
    <t>策略資料中心費用率</t>
  </si>
  <si>
    <t>Fixed Overhead-Admin-CEO %</t>
  </si>
  <si>
    <t>執行長室費用率</t>
  </si>
  <si>
    <t>per Customer Acquisition Cost</t>
  </si>
  <si>
    <t xml:space="preserve">per Customer Acquisition Cost </t>
  </si>
  <si>
    <t>平均顧客取得成本</t>
  </si>
  <si>
    <t>平均付費大店門市取得成本</t>
  </si>
  <si>
    <t>平均付費小店門市取得成本</t>
  </si>
  <si>
    <t>線上預約開通門市數</t>
  </si>
  <si>
    <t>線上預約開通大店門市數</t>
  </si>
  <si>
    <t>線上預約開通小店門市數</t>
  </si>
  <si>
    <t>目標客群</t>
  </si>
  <si>
    <t>大店</t>
  </si>
  <si>
    <t>商機進線數</t>
  </si>
  <si>
    <t>進線 - 試用轉換率</t>
  </si>
  <si>
    <t>進線 - 成交轉換率</t>
  </si>
  <si>
    <t>成交數</t>
  </si>
  <si>
    <t>線上預約啟用數</t>
  </si>
  <si>
    <t>線上預約啟用率</t>
  </si>
  <si>
    <t>線上預約啟用/總大店付費家數</t>
  </si>
  <si>
    <t>線上預約 GMV/總 GMV</t>
  </si>
  <si>
    <t>小店</t>
  </si>
  <si>
    <t>CEO 目標</t>
  </si>
  <si>
    <t>BO 組合</t>
  </si>
  <si>
    <t>2026Y</t>
  </si>
  <si>
    <t>事業損益表</t>
  </si>
  <si>
    <t>＝Cost AWS+Cost Maintenance+Cost BizInfra</t>
  </si>
  <si>
    <t>範圍：各項軟體費用</t>
  </si>
  <si>
    <t>範圍：客戶價值中心、研發中心 PO、導入教練團隊</t>
  </si>
  <si>
    <t>範圍：管理中心資訊部</t>
  </si>
  <si>
    <t>＝Recurring Revenue+Total Cost</t>
  </si>
  <si>
    <t>＝Gross Margin/Recurring Revenue</t>
  </si>
  <si>
    <t>範圍：一次性收益，如安裝服務費、經銷服務收入</t>
  </si>
  <si>
    <t>範圍：硬體毛利</t>
  </si>
  <si>
    <t>範圍：研發中心</t>
  </si>
  <si>
    <t>範圍：管理中心、財務中心、策略資料中心、執行長室</t>
  </si>
  <si>
    <t>＝Gross Margin+Fixed OverheadRD+Fixed Overhead Admin+Non Recurring Margin+Hardware Margin</t>
  </si>
  <si>
    <t>範圍：行銷營運中心扣除導入教練</t>
  </si>
  <si>
    <t>＝Earning Before CAC+Acquisition Cost</t>
  </si>
  <si>
    <t>範圍：業外收入或業外損失</t>
  </si>
  <si>
    <t>＝Operation Margin+Non Operating Income(Loss)</t>
  </si>
  <si>
    <t>＝Net Income(Loss)/Recurring Revenue</t>
  </si>
  <si>
    <t>公式欄</t>
  </si>
  <si>
    <t>Budget</t>
  </si>
  <si>
    <t>QLR</t>
  </si>
  <si>
    <t>TA 專案預算規劃</t>
  </si>
  <si>
    <t>事業維運費用</t>
  </si>
  <si>
    <t>集團共用資源</t>
  </si>
  <si>
    <t>專案選擇勾選</t>
  </si>
  <si>
    <t>子公司</t>
  </si>
  <si>
    <t>事業單位</t>
  </si>
  <si>
    <t>Si 編號</t>
  </si>
  <si>
    <t>TA 編號</t>
  </si>
  <si>
    <t>價值鏈專案預算代號</t>
  </si>
  <si>
    <t>費用單位</t>
  </si>
  <si>
    <t>費用類型</t>
  </si>
  <si>
    <t>費用項目</t>
  </si>
  <si>
    <t>備註</t>
  </si>
  <si>
    <t>OMO</t>
  </si>
  <si>
    <t>QLRSi1</t>
  </si>
  <si>
    <t>QLR26TA1</t>
  </si>
  <si>
    <t>VC04P1</t>
  </si>
  <si>
    <t>執行長室 : 策略資料中心 : 策略資料中心</t>
  </si>
  <si>
    <t>人事費用</t>
  </si>
  <si>
    <t>非人事費用</t>
  </si>
  <si>
    <t>姓名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</si>
</sst>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/m"/>
    <numFmt numFmtId="165" formatCode="0.0%"/>
    <numFmt numFmtId="166" formatCode="&quot;NT$&quot;#,##0"/>
    <numFmt numFmtId="167" formatCode="#,##0;(#,##0)"/>
    <numFmt numFmtId="168" formatCode="[$NT$-404]#,##0"/>
    <numFmt numFmtId="169" formatCode="[$NT$-404]#,##0.00"/>
    <numFmt numFmtId="170" formatCode="yyyy/mm"/>
    <numFmt numFmtId="171" formatCode="#,##0.0"/>
  </numFmts>
  <fonts count="2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sz val="11.0"/>
      <color rgb="FFCCCCCC"/>
      <name val="Arial"/>
      <scheme val="minor"/>
    </font>
    <font>
      <sz val="11.0"/>
      <color rgb="FFB7B7B7"/>
      <name val="Arial"/>
      <scheme val="minor"/>
    </font>
    <font>
      <sz val="11.0"/>
      <color rgb="FFFF0000"/>
      <name val="Arial"/>
      <scheme val="minor"/>
    </font>
    <font>
      <sz val="11.0"/>
      <color rgb="FF999999"/>
      <name val="Arial"/>
      <scheme val="minor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2.0"/>
      <color theme="1"/>
      <name val="Aptos Narrow"/>
    </font>
    <font>
      <sz val="11.0"/>
      <color rgb="FFCCCCCC"/>
      <name val="Aptos Narrow"/>
    </font>
    <font>
      <sz val="11.0"/>
      <color rgb="FFCCCCCC"/>
      <name val="Arial"/>
    </font>
    <font>
      <sz val="11.0"/>
      <color rgb="FFB7B7B7"/>
      <name val="Aptos Narrow"/>
    </font>
    <font>
      <sz val="11.0"/>
      <color rgb="FFB7B7B7"/>
      <name val="Arial"/>
    </font>
    <font>
      <sz val="11.0"/>
      <color rgb="FF999999"/>
      <name val="Arial"/>
    </font>
    <font>
      <sz val="11.0"/>
      <color rgb="FFD9D9D9"/>
      <name val="Arial"/>
      <scheme val="minor"/>
    </font>
    <font>
      <sz val="11.0"/>
      <color rgb="FF000000"/>
      <name val="Arial"/>
      <scheme val="minor"/>
    </font>
    <font>
      <b/>
      <color theme="1"/>
      <name val="Arial"/>
    </font>
    <font>
      <b/>
      <sz val="15.0"/>
      <color theme="1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theme="1"/>
      <name val="IBM Plex Sans"/>
    </font>
    <font>
      <color theme="1"/>
      <name val="IBM Plex Sans"/>
    </font>
    <font>
      <color rgb="FF999999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shrinkToFit="0" wrapText="0"/>
    </xf>
    <xf borderId="0" fillId="0" fontId="2" numFmtId="4" xfId="0" applyAlignment="1" applyFont="1" applyNumberFormat="1">
      <alignment vertical="bottom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 shrinkToFit="0" wrapText="0"/>
    </xf>
    <xf borderId="0" fillId="0" fontId="2" numFmtId="4" xfId="0" applyAlignment="1" applyFont="1" applyNumberFormat="1">
      <alignment readingOrder="0" vertical="bottom"/>
    </xf>
    <xf borderId="0" fillId="0" fontId="1" numFmtId="10" xfId="0" applyAlignment="1" applyFont="1" applyNumberFormat="1">
      <alignment shrinkToFit="0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5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9" xfId="0" applyFont="1" applyNumberFormat="1"/>
    <xf borderId="0" fillId="0" fontId="1" numFmtId="166" xfId="0" applyFont="1" applyNumberFormat="1"/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vertical="bottom"/>
    </xf>
    <xf borderId="0" fillId="2" fontId="4" numFmtId="164" xfId="0" applyAlignment="1" applyFont="1" applyNumberFormat="1">
      <alignment horizontal="right" vertical="bottom"/>
    </xf>
    <xf borderId="0" fillId="3" fontId="5" numFmtId="164" xfId="0" applyAlignment="1" applyFill="1" applyFont="1" applyNumberForma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4" fontId="5" numFmtId="0" xfId="0" applyAlignment="1" applyFill="1" applyFont="1">
      <alignment vertical="bottom"/>
    </xf>
    <xf borderId="0" fillId="4" fontId="5" numFmtId="167" xfId="0" applyAlignment="1" applyFont="1" applyNumberFormat="1">
      <alignment vertical="bottom"/>
    </xf>
    <xf borderId="0" fillId="3" fontId="5" numFmtId="0" xfId="0" applyAlignment="1" applyFont="1">
      <alignment horizontal="center" vertical="bottom"/>
    </xf>
    <xf borderId="0" fillId="5" fontId="5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" xfId="0" applyFont="1" applyNumberFormat="1"/>
    <xf borderId="0" fillId="0" fontId="3" numFmtId="166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3" numFmtId="4" xfId="0" applyAlignment="1" applyFont="1" applyNumberFormat="1">
      <alignment readingOrder="0"/>
    </xf>
    <xf borderId="0" fillId="0" fontId="3" numFmtId="0" xfId="0" applyFont="1"/>
    <xf borderId="0" fillId="0" fontId="6" numFmtId="4" xfId="0" applyFont="1" applyNumberFormat="1"/>
    <xf borderId="0" fillId="0" fontId="3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 vertical="bottom"/>
    </xf>
    <xf borderId="0" fillId="0" fontId="7" numFmtId="4" xfId="0" applyFont="1" applyNumberFormat="1"/>
    <xf borderId="0" fillId="0" fontId="5" numFmtId="166" xfId="0" applyAlignment="1" applyFont="1" applyNumberFormat="1">
      <alignment horizontal="right" vertical="bottom"/>
    </xf>
    <xf borderId="0" fillId="0" fontId="3" numFmtId="10" xfId="0" applyFont="1" applyNumberFormat="1"/>
    <xf borderId="0" fillId="0" fontId="3" numFmtId="166" xfId="0" applyFont="1" applyNumberFormat="1"/>
    <xf borderId="0" fillId="4" fontId="3" numFmtId="4" xfId="0" applyFont="1" applyNumberFormat="1"/>
    <xf borderId="0" fillId="4" fontId="3" numFmtId="4" xfId="0" applyAlignment="1" applyFont="1" applyNumberFormat="1">
      <alignment horizontal="right"/>
    </xf>
    <xf borderId="0" fillId="0" fontId="8" numFmtId="4" xfId="0" applyAlignment="1" applyFont="1" applyNumberFormat="1">
      <alignment readingOrder="0"/>
    </xf>
    <xf borderId="0" fillId="0" fontId="3" numFmtId="168" xfId="0" applyAlignment="1" applyFont="1" applyNumberFormat="1">
      <alignment horizontal="right"/>
    </xf>
    <xf borderId="0" fillId="0" fontId="3" numFmtId="0" xfId="0" applyAlignment="1" applyFont="1">
      <alignment horizontal="right" vertical="bottom"/>
    </xf>
    <xf borderId="0" fillId="0" fontId="5" numFmtId="0" xfId="0" applyFont="1"/>
    <xf borderId="0" fillId="0" fontId="3" numFmtId="167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167" xfId="0" applyFont="1" applyNumberFormat="1"/>
    <xf borderId="0" fillId="0" fontId="3" numFmtId="165" xfId="0" applyAlignment="1" applyFont="1" applyNumberFormat="1">
      <alignment horizontal="right"/>
    </xf>
    <xf borderId="0" fillId="0" fontId="3" numFmtId="0" xfId="0" applyFont="1"/>
    <xf borderId="0" fillId="0" fontId="9" numFmtId="0" xfId="0" applyFont="1"/>
    <xf borderId="0" fillId="0" fontId="3" numFmtId="0" xfId="0" applyAlignment="1" applyFont="1">
      <alignment horizontal="right"/>
    </xf>
    <xf borderId="0" fillId="0" fontId="9" numFmtId="167" xfId="0" applyAlignment="1" applyFont="1" applyNumberFormat="1">
      <alignment horizontal="right"/>
    </xf>
    <xf borderId="0" fillId="0" fontId="3" numFmtId="9" xfId="0" applyAlignment="1" applyFont="1" applyNumberFormat="1">
      <alignment horizontal="right"/>
    </xf>
    <xf borderId="0" fillId="0" fontId="3" numFmtId="169" xfId="0" applyAlignment="1" applyFont="1" applyNumberFormat="1">
      <alignment horizontal="right"/>
    </xf>
    <xf borderId="0" fillId="2" fontId="10" numFmtId="170" xfId="0" applyAlignment="1" applyFont="1" applyNumberFormat="1">
      <alignment horizontal="right" vertical="bottom"/>
    </xf>
    <xf borderId="0" fillId="2" fontId="10" numFmtId="164" xfId="0" applyAlignment="1" applyFont="1" applyNumberFormat="1">
      <alignment horizontal="right" vertical="bottom"/>
    </xf>
    <xf borderId="0" fillId="3" fontId="11" numFmtId="0" xfId="0" applyAlignment="1" applyFont="1">
      <alignment horizontal="center" vertical="bottom"/>
    </xf>
    <xf borderId="0" fillId="4" fontId="12" numFmtId="167" xfId="0" applyAlignment="1" applyFont="1" applyNumberFormat="1">
      <alignment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0" fontId="13" numFmtId="168" xfId="0" applyAlignment="1" applyFont="1" applyNumberFormat="1">
      <alignment horizontal="right"/>
    </xf>
    <xf borderId="0" fillId="0" fontId="13" numFmtId="10" xfId="0" applyAlignment="1" applyFont="1" applyNumberFormat="1">
      <alignment horizontal="right"/>
    </xf>
    <xf borderId="0" fillId="0" fontId="12" numFmtId="168" xfId="0" applyAlignment="1" applyFont="1" applyNumberFormat="1">
      <alignment horizontal="right"/>
    </xf>
    <xf borderId="0" fillId="0" fontId="14" numFmtId="0" xfId="0" applyFont="1"/>
    <xf borderId="0" fillId="0" fontId="15" numFmtId="168" xfId="0" applyAlignment="1" applyFont="1" applyNumberFormat="1">
      <alignment horizontal="right"/>
    </xf>
    <xf borderId="0" fillId="0" fontId="14" numFmtId="168" xfId="0" applyFont="1" applyNumberFormat="1"/>
    <xf borderId="0" fillId="0" fontId="16" numFmtId="168" xfId="0" applyAlignment="1" applyFont="1" applyNumberFormat="1">
      <alignment horizontal="right"/>
    </xf>
    <xf borderId="0" fillId="0" fontId="13" numFmtId="168" xfId="0" applyAlignment="1" applyFont="1" applyNumberFormat="1">
      <alignment horizontal="right" readingOrder="0"/>
    </xf>
    <xf borderId="0" fillId="0" fontId="17" numFmtId="168" xfId="0" applyAlignment="1" applyFont="1" applyNumberFormat="1">
      <alignment horizontal="right"/>
    </xf>
    <xf borderId="0" fillId="0" fontId="18" numFmtId="168" xfId="0" applyAlignment="1" applyFont="1" applyNumberFormat="1">
      <alignment horizontal="right" vertical="bottom"/>
    </xf>
    <xf borderId="0" fillId="0" fontId="14" numFmtId="167" xfId="0" applyFont="1" applyNumberFormat="1"/>
    <xf borderId="0" fillId="0" fontId="13" numFmtId="167" xfId="0" applyAlignment="1" applyFont="1" applyNumberFormat="1">
      <alignment horizontal="right"/>
    </xf>
    <xf borderId="0" fillId="0" fontId="12" numFmtId="167" xfId="0" applyAlignment="1" applyFont="1" applyNumberFormat="1">
      <alignment horizontal="right"/>
    </xf>
    <xf borderId="0" fillId="0" fontId="19" numFmtId="167" xfId="0" applyAlignment="1" applyFont="1" applyNumberFormat="1">
      <alignment horizontal="right"/>
    </xf>
    <xf borderId="0" fillId="0" fontId="14" numFmtId="10" xfId="0" applyFont="1" applyNumberFormat="1"/>
    <xf borderId="0" fillId="0" fontId="12" numFmtId="10" xfId="0" applyAlignment="1" applyFont="1" applyNumberFormat="1">
      <alignment horizontal="right"/>
    </xf>
    <xf borderId="0" fillId="0" fontId="13" numFmtId="169" xfId="0" applyAlignment="1" applyFont="1" applyNumberFormat="1">
      <alignment horizontal="right"/>
    </xf>
    <xf borderId="0" fillId="0" fontId="12" numFmtId="169" xfId="0" applyAlignment="1" applyFont="1" applyNumberFormat="1">
      <alignment horizontal="right"/>
    </xf>
    <xf borderId="0" fillId="2" fontId="14" numFmtId="164" xfId="0" applyAlignment="1" applyFont="1" applyNumberFormat="1">
      <alignment vertical="bottom"/>
    </xf>
    <xf borderId="0" fillId="4" fontId="11" numFmtId="0" xfId="0" applyAlignment="1" applyFont="1">
      <alignment vertical="bottom"/>
    </xf>
    <xf borderId="0" fillId="2" fontId="4" numFmtId="170" xfId="0" applyAlignment="1" applyFont="1" applyNumberFormat="1">
      <alignment horizontal="right" vertical="bottom"/>
    </xf>
    <xf borderId="0" fillId="4" fontId="5" numFmtId="0" xfId="0" applyAlignment="1" applyFont="1">
      <alignment readingOrder="0" vertical="bottom"/>
    </xf>
    <xf borderId="0" fillId="4" fontId="3" numFmtId="167" xfId="0" applyAlignment="1" applyFont="1" applyNumberFormat="1">
      <alignment vertical="bottom"/>
    </xf>
    <xf borderId="0" fillId="0" fontId="3" numFmtId="168" xfId="0" applyAlignment="1" applyFont="1" applyNumberFormat="1">
      <alignment horizontal="right"/>
    </xf>
    <xf borderId="0" fillId="0" fontId="6" numFmtId="0" xfId="0" applyFont="1"/>
    <xf borderId="0" fillId="0" fontId="6" numFmtId="168" xfId="0" applyAlignment="1" applyFont="1" applyNumberFormat="1">
      <alignment horizontal="right"/>
    </xf>
    <xf borderId="0" fillId="0" fontId="3" numFmtId="168" xfId="0" applyFont="1" applyNumberFormat="1"/>
    <xf borderId="0" fillId="0" fontId="3" numFmtId="168" xfId="0" applyAlignment="1" applyFont="1" applyNumberFormat="1">
      <alignment horizontal="right" readingOrder="0"/>
    </xf>
    <xf borderId="0" fillId="0" fontId="20" numFmtId="0" xfId="0" applyFont="1"/>
    <xf borderId="0" fillId="0" fontId="7" numFmtId="0" xfId="0" applyFont="1"/>
    <xf borderId="0" fillId="0" fontId="7" numFmtId="168" xfId="0" applyAlignment="1" applyFont="1" applyNumberFormat="1">
      <alignment horizontal="right"/>
    </xf>
    <xf borderId="0" fillId="0" fontId="7" numFmtId="168" xfId="0" applyAlignment="1" applyFont="1" applyNumberFormat="1">
      <alignment horizontal="right" vertical="bottom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21" numFmtId="0" xfId="0" applyFont="1"/>
    <xf borderId="0" fillId="0" fontId="22" numFmtId="0" xfId="0" applyAlignment="1" applyFont="1">
      <alignment readingOrder="0" vertical="bottom"/>
    </xf>
    <xf borderId="0" fillId="4" fontId="2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" numFmtId="167" xfId="0" applyAlignment="1" applyFont="1" applyNumberFormat="1">
      <alignment horizontal="right" vertical="bottom"/>
    </xf>
    <xf borderId="0" fillId="6" fontId="22" numFmtId="0" xfId="0" applyAlignment="1" applyFill="1" applyFont="1">
      <alignment vertical="bottom"/>
    </xf>
    <xf borderId="0" fillId="6" fontId="22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2" numFmtId="10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0" fillId="7" fontId="24" numFmtId="167" xfId="0" applyAlignment="1" applyFill="1" applyFont="1" applyNumberFormat="1">
      <alignment readingOrder="0"/>
    </xf>
    <xf borderId="0" fillId="5" fontId="5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5" numFmtId="0" xfId="0" applyAlignment="1" applyFont="1">
      <alignment readingOrder="0"/>
    </xf>
    <xf borderId="0" fillId="0" fontId="25" numFmtId="164" xfId="0" applyFont="1" applyNumberFormat="1"/>
    <xf borderId="0" fillId="0" fontId="25" numFmtId="0" xfId="0" applyFont="1"/>
    <xf borderId="0" fillId="0" fontId="26" numFmtId="0" xfId="0" applyAlignment="1" applyFont="1">
      <alignment readingOrder="0"/>
    </xf>
    <xf borderId="0" fillId="0" fontId="27" numFmtId="0" xfId="0" applyFont="1"/>
    <xf borderId="0" fillId="0" fontId="2" numFmtId="0" xfId="0" applyFont="1"/>
    <xf borderId="0" fillId="0" fontId="27" numFmtId="3" xfId="0" applyFont="1" applyNumberFormat="1"/>
    <xf borderId="0" fillId="0" fontId="27" numFmtId="0" xfId="0" applyAlignment="1" applyFont="1">
      <alignment readingOrder="0"/>
    </xf>
    <xf borderId="0" fillId="0" fontId="26" numFmtId="0" xfId="0" applyFont="1"/>
    <xf borderId="0" fillId="0" fontId="2" numFmtId="171" xfId="0" applyFont="1" applyNumberForma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vertical="bottom"/>
    </xf>
    <xf borderId="0" fillId="0" fontId="1" numFmtId="49" xfId="0" applyFont="1" applyNumberFormat="1"/>
    <xf borderId="0" fillId="0" fontId="1" numFmtId="168" xfId="0" applyFont="1" applyNumberFormat="1"/>
    <xf borderId="0" fillId="0" fontId="1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2.63" defaultRowHeight="15.75"/>
  <cols>
    <col customWidth="1" min="1" max="1" width="30.38"/>
    <col customWidth="1" min="3" max="3" width="22.38"/>
    <col customWidth="1" min="6" max="6" width="21.88"/>
    <col customWidth="1" min="16" max="16" width="13.38"/>
  </cols>
  <sheetData>
    <row r="1">
      <c r="A1" s="1" t="str">
        <f>IFERROR(__xludf.DUMMYFUNCTION("IMPORTRANGE(""https://docs.google.com/spreadsheets/d/1aBMA0b4hjIYN2ODIzXhjzM73VTLad4yK91Er6IXfNJo/edit?gid=1720498529#gid=1720498529"",""事業財務預測-QLiEER!A1:E"")"),"")</f>
        <v/>
      </c>
      <c r="B1" s="1"/>
      <c r="C1" s="1"/>
      <c r="D1" s="1"/>
      <c r="E1" s="1"/>
      <c r="H1" s="2">
        <f>IFERROR(__xludf.DUMMYFUNCTION("IMPORTRANGE(""https://docs.google.com/spreadsheets/d/1aBMA0b4hjIYN2ODIzXhjzM73VTLad4yK91Er6IXfNJo/edit?gid=1720498529#gid=1720498529"",""事業財務預測-QLiEER!F1:AI"")"),45658.0)</f>
        <v>45658</v>
      </c>
      <c r="I1" s="2">
        <f>IFERROR(__xludf.DUMMYFUNCTION("""COMPUTED_VALUE"""),45689.0)</f>
        <v>45689</v>
      </c>
      <c r="J1" s="2">
        <f>IFERROR(__xludf.DUMMYFUNCTION("""COMPUTED_VALUE"""),45717.0)</f>
        <v>45717</v>
      </c>
      <c r="K1" s="2">
        <f>IFERROR(__xludf.DUMMYFUNCTION("""COMPUTED_VALUE"""),45748.0)</f>
        <v>45748</v>
      </c>
      <c r="L1" s="2">
        <f>IFERROR(__xludf.DUMMYFUNCTION("""COMPUTED_VALUE"""),45778.0)</f>
        <v>45778</v>
      </c>
      <c r="M1" s="2">
        <f>IFERROR(__xludf.DUMMYFUNCTION("""COMPUTED_VALUE"""),45809.0)</f>
        <v>45809</v>
      </c>
      <c r="N1" s="3" t="str">
        <f>IFERROR(__xludf.DUMMYFUNCTION("""COMPUTED_VALUE"""),"2025/1-2025/6")</f>
        <v>2025/1-2025/6</v>
      </c>
      <c r="O1" s="3" t="str">
        <f>IFERROR(__xludf.DUMMYFUNCTION("""COMPUTED_VALUE"""),"2025/1-2025/6")</f>
        <v>2025/1-2025/6</v>
      </c>
      <c r="P1" s="2">
        <f>IFERROR(__xludf.DUMMYFUNCTION("""COMPUTED_VALUE"""),45839.0)</f>
        <v>45839</v>
      </c>
      <c r="Q1" s="2">
        <f>IFERROR(__xludf.DUMMYFUNCTION("""COMPUTED_VALUE"""),45870.0)</f>
        <v>45870</v>
      </c>
      <c r="R1" s="2">
        <f>IFERROR(__xludf.DUMMYFUNCTION("""COMPUTED_VALUE"""),45901.0)</f>
        <v>45901</v>
      </c>
      <c r="S1" s="2">
        <f>IFERROR(__xludf.DUMMYFUNCTION("""COMPUTED_VALUE"""),45931.0)</f>
        <v>45931</v>
      </c>
      <c r="T1" s="2">
        <f>IFERROR(__xludf.DUMMYFUNCTION("""COMPUTED_VALUE"""),45962.0)</f>
        <v>45962</v>
      </c>
      <c r="U1" s="2">
        <f>IFERROR(__xludf.DUMMYFUNCTION("""COMPUTED_VALUE"""),45992.0)</f>
        <v>45992</v>
      </c>
      <c r="V1" s="3" t="str">
        <f>IFERROR(__xludf.DUMMYFUNCTION("""COMPUTED_VALUE"""),"2025 year")</f>
        <v>2025 year</v>
      </c>
      <c r="W1" s="3" t="str">
        <f>IFERROR(__xludf.DUMMYFUNCTION("""COMPUTED_VALUE"""),"2025 year")</f>
        <v>2025 year</v>
      </c>
      <c r="X1" s="2">
        <f>IFERROR(__xludf.DUMMYFUNCTION("""COMPUTED_VALUE"""),46023.0)</f>
        <v>46023</v>
      </c>
      <c r="Y1" s="2">
        <f>IFERROR(__xludf.DUMMYFUNCTION("""COMPUTED_VALUE"""),46054.0)</f>
        <v>46054</v>
      </c>
      <c r="Z1" s="2">
        <f>IFERROR(__xludf.DUMMYFUNCTION("""COMPUTED_VALUE"""),46082.0)</f>
        <v>46082</v>
      </c>
      <c r="AA1" s="2">
        <f>IFERROR(__xludf.DUMMYFUNCTION("""COMPUTED_VALUE"""),46113.0)</f>
        <v>46113</v>
      </c>
      <c r="AB1" s="2">
        <f>IFERROR(__xludf.DUMMYFUNCTION("""COMPUTED_VALUE"""),46143.0)</f>
        <v>46143</v>
      </c>
      <c r="AC1" s="2">
        <f>IFERROR(__xludf.DUMMYFUNCTION("""COMPUTED_VALUE"""),46174.0)</f>
        <v>46174</v>
      </c>
      <c r="AD1" s="2">
        <f>IFERROR(__xludf.DUMMYFUNCTION("""COMPUTED_VALUE"""),46204.0)</f>
        <v>46204</v>
      </c>
      <c r="AE1" s="2">
        <f>IFERROR(__xludf.DUMMYFUNCTION("""COMPUTED_VALUE"""),46235.0)</f>
        <v>46235</v>
      </c>
      <c r="AF1" s="2">
        <f>IFERROR(__xludf.DUMMYFUNCTION("""COMPUTED_VALUE"""),46266.0)</f>
        <v>46266</v>
      </c>
      <c r="AG1" s="2">
        <f>IFERROR(__xludf.DUMMYFUNCTION("""COMPUTED_VALUE"""),46296.0)</f>
        <v>46296</v>
      </c>
      <c r="AH1" s="2">
        <f>IFERROR(__xludf.DUMMYFUNCTION("""COMPUTED_VALUE"""),46327.0)</f>
        <v>46327</v>
      </c>
      <c r="AI1" s="2">
        <f>IFERROR(__xludf.DUMMYFUNCTION("""COMPUTED_VALUE"""),46357.0)</f>
        <v>46357</v>
      </c>
      <c r="AJ1" s="3" t="str">
        <f>IFERROR(__xludf.DUMMYFUNCTION("""COMPUTED_VALUE"""),"2026 year")</f>
        <v>2026 year</v>
      </c>
      <c r="AK1" s="3" t="str">
        <f>IFERROR(__xludf.DUMMYFUNCTION("""COMPUTED_VALUE"""),"2026 year")</f>
        <v>2026 year</v>
      </c>
    </row>
    <row r="2">
      <c r="A2" s="3" t="str">
        <f>IFERROR(__xludf.DUMMYFUNCTION("""COMPUTED_VALUE"""),"項目")</f>
        <v>項目</v>
      </c>
      <c r="B2" s="3" t="str">
        <f>IFERROR(__xludf.DUMMYFUNCTION("""COMPUTED_VALUE"""),"類型")</f>
        <v>類型</v>
      </c>
      <c r="C2" s="3" t="str">
        <f>IFERROR(__xludf.DUMMYFUNCTION("""COMPUTED_VALUE"""),"子項目")</f>
        <v>子項目</v>
      </c>
      <c r="D2" s="3" t="str">
        <f>IFERROR(__xludf.DUMMYFUNCTION("""COMPUTED_VALUE"""),"子項目說明")</f>
        <v>子項目說明</v>
      </c>
      <c r="E2" s="3" t="str">
        <f>IFERROR(__xludf.DUMMYFUNCTION("""COMPUTED_VALUE"""),"數值計算說明")</f>
        <v>數值計算說明</v>
      </c>
      <c r="F2" s="4" t="s">
        <v>0</v>
      </c>
      <c r="G2" s="4" t="s">
        <v>1</v>
      </c>
      <c r="H2" s="3" t="str">
        <f>IFERROR(__xludf.DUMMYFUNCTION("""COMPUTED_VALUE"""),"Actual")</f>
        <v>Actual</v>
      </c>
      <c r="I2" s="3" t="str">
        <f>IFERROR(__xludf.DUMMYFUNCTION("""COMPUTED_VALUE"""),"Actual")</f>
        <v>Actual</v>
      </c>
      <c r="J2" s="3" t="str">
        <f>IFERROR(__xludf.DUMMYFUNCTION("""COMPUTED_VALUE"""),"Actual")</f>
        <v>Actual</v>
      </c>
      <c r="K2" s="3" t="str">
        <f>IFERROR(__xludf.DUMMYFUNCTION("""COMPUTED_VALUE"""),"Actual")</f>
        <v>Actual</v>
      </c>
      <c r="L2" s="3" t="str">
        <f>IFERROR(__xludf.DUMMYFUNCTION("""COMPUTED_VALUE"""),"Actual")</f>
        <v>Actual</v>
      </c>
      <c r="M2" s="3" t="str">
        <f>IFERROR(__xludf.DUMMYFUNCTION("""COMPUTED_VALUE"""),"Actual")</f>
        <v>Actual</v>
      </c>
      <c r="N2" s="3" t="str">
        <f>IFERROR(__xludf.DUMMYFUNCTION("""COMPUTED_VALUE"""),"Subtotal")</f>
        <v>Subtotal</v>
      </c>
      <c r="O2" s="3" t="str">
        <f>IFERROR(__xludf.DUMMYFUNCTION("""COMPUTED_VALUE"""),"Subtotal %")</f>
        <v>Subtotal %</v>
      </c>
      <c r="P2" s="3" t="str">
        <f>IFERROR(__xludf.DUMMYFUNCTION("""COMPUTED_VALUE"""),"Forcast")</f>
        <v>Forcast</v>
      </c>
      <c r="Q2" s="3" t="str">
        <f>IFERROR(__xludf.DUMMYFUNCTION("""COMPUTED_VALUE"""),"Forcast")</f>
        <v>Forcast</v>
      </c>
      <c r="R2" s="3" t="str">
        <f>IFERROR(__xludf.DUMMYFUNCTION("""COMPUTED_VALUE"""),"Forcast")</f>
        <v>Forcast</v>
      </c>
      <c r="S2" s="3" t="str">
        <f>IFERROR(__xludf.DUMMYFUNCTION("""COMPUTED_VALUE"""),"Forcast")</f>
        <v>Forcast</v>
      </c>
      <c r="T2" s="3" t="str">
        <f>IFERROR(__xludf.DUMMYFUNCTION("""COMPUTED_VALUE"""),"Forcast")</f>
        <v>Forcast</v>
      </c>
      <c r="U2" s="3" t="str">
        <f>IFERROR(__xludf.DUMMYFUNCTION("""COMPUTED_VALUE"""),"Forcast")</f>
        <v>Forcast</v>
      </c>
      <c r="V2" s="3" t="str">
        <f>IFERROR(__xludf.DUMMYFUNCTION("""COMPUTED_VALUE"""),"Subtotal")</f>
        <v>Subtotal</v>
      </c>
      <c r="W2" s="3" t="str">
        <f>IFERROR(__xludf.DUMMYFUNCTION("""COMPUTED_VALUE"""),"Subtotal %")</f>
        <v>Subtotal %</v>
      </c>
      <c r="X2" s="3" t="str">
        <f>IFERROR(__xludf.DUMMYFUNCTION("""COMPUTED_VALUE"""),"Forcast")</f>
        <v>Forcast</v>
      </c>
      <c r="Y2" s="3" t="str">
        <f>IFERROR(__xludf.DUMMYFUNCTION("""COMPUTED_VALUE"""),"Forcast")</f>
        <v>Forcast</v>
      </c>
      <c r="Z2" s="3" t="str">
        <f>IFERROR(__xludf.DUMMYFUNCTION("""COMPUTED_VALUE"""),"Forcast")</f>
        <v>Forcast</v>
      </c>
      <c r="AA2" s="3" t="str">
        <f>IFERROR(__xludf.DUMMYFUNCTION("""COMPUTED_VALUE"""),"Forcast")</f>
        <v>Forcast</v>
      </c>
      <c r="AB2" s="3" t="str">
        <f>IFERROR(__xludf.DUMMYFUNCTION("""COMPUTED_VALUE"""),"Forcast")</f>
        <v>Forcast</v>
      </c>
      <c r="AC2" s="3" t="str">
        <f>IFERROR(__xludf.DUMMYFUNCTION("""COMPUTED_VALUE"""),"Forcast")</f>
        <v>Forcast</v>
      </c>
      <c r="AD2" s="3" t="str">
        <f>IFERROR(__xludf.DUMMYFUNCTION("""COMPUTED_VALUE"""),"Forcast")</f>
        <v>Forcast</v>
      </c>
      <c r="AE2" s="3" t="str">
        <f>IFERROR(__xludf.DUMMYFUNCTION("""COMPUTED_VALUE"""),"Forcast")</f>
        <v>Forcast</v>
      </c>
      <c r="AF2" s="3" t="str">
        <f>IFERROR(__xludf.DUMMYFUNCTION("""COMPUTED_VALUE"""),"Forcast")</f>
        <v>Forcast</v>
      </c>
      <c r="AG2" s="3" t="str">
        <f>IFERROR(__xludf.DUMMYFUNCTION("""COMPUTED_VALUE"""),"Forcast")</f>
        <v>Forcast</v>
      </c>
      <c r="AH2" s="3" t="str">
        <f>IFERROR(__xludf.DUMMYFUNCTION("""COMPUTED_VALUE"""),"Forcast")</f>
        <v>Forcast</v>
      </c>
      <c r="AI2" s="3" t="str">
        <f>IFERROR(__xludf.DUMMYFUNCTION("""COMPUTED_VALUE"""),"Forcast")</f>
        <v>Forcast</v>
      </c>
      <c r="AJ2" s="3" t="str">
        <f>IFERROR(__xludf.DUMMYFUNCTION("""COMPUTED_VALUE"""),"Subtotal")</f>
        <v>Subtotal</v>
      </c>
      <c r="AK2" s="3" t="str">
        <f>IFERROR(__xludf.DUMMYFUNCTION("""COMPUTED_VALUE"""),"Subtotal %")</f>
        <v>Subtotal %</v>
      </c>
    </row>
    <row r="3">
      <c r="A3" s="5" t="str">
        <f>IFERROR(__xludf.DUMMYFUNCTION("""COMPUTED_VALUE"""),"Recurring Revenue")</f>
        <v>Recurring Revenue</v>
      </c>
      <c r="B3" s="5" t="str">
        <f>IFERROR(__xludf.DUMMYFUNCTION("""COMPUTED_VALUE"""),"加總")</f>
        <v>加總</v>
      </c>
      <c r="C3" s="5" t="str">
        <f>IFERROR(__xludf.DUMMYFUNCTION("""COMPUTED_VALUE"""),"Recurring Revenue")</f>
        <v>Recurring Revenue</v>
      </c>
      <c r="D3" s="5"/>
      <c r="E3" s="5"/>
      <c r="F3" s="6" t="s">
        <v>2</v>
      </c>
      <c r="G3" s="6" t="s">
        <v>3</v>
      </c>
      <c r="H3" s="7">
        <f>IFERROR(__xludf.DUMMYFUNCTION("""COMPUTED_VALUE"""),1671746.0)</f>
        <v>1671746</v>
      </c>
      <c r="I3" s="7">
        <f>IFERROR(__xludf.DUMMYFUNCTION("""COMPUTED_VALUE"""),1723716.0)</f>
        <v>1723716</v>
      </c>
      <c r="J3" s="7">
        <f>IFERROR(__xludf.DUMMYFUNCTION("""COMPUTED_VALUE"""),1657711.0)</f>
        <v>1657711</v>
      </c>
      <c r="K3" s="7">
        <f>IFERROR(__xludf.DUMMYFUNCTION("""COMPUTED_VALUE"""),1654058.0)</f>
        <v>1654058</v>
      </c>
      <c r="L3" s="7">
        <f>IFERROR(__xludf.DUMMYFUNCTION("""COMPUTED_VALUE"""),1737264.0)</f>
        <v>1737264</v>
      </c>
      <c r="M3" s="7">
        <f>IFERROR(__xludf.DUMMYFUNCTION("""COMPUTED_VALUE"""),1729151.0)</f>
        <v>1729151</v>
      </c>
      <c r="N3" s="7">
        <f>IFERROR(__xludf.DUMMYFUNCTION("""COMPUTED_VALUE"""),1.0173646E7)</f>
        <v>10173646</v>
      </c>
      <c r="O3" s="7">
        <f>IFERROR(__xludf.DUMMYFUNCTION("""COMPUTED_VALUE"""),1.0)</f>
        <v>1</v>
      </c>
      <c r="P3" s="8">
        <f>IFERROR(__xludf.DUMMYFUNCTION("""COMPUTED_VALUE"""),1861151.0)</f>
        <v>1861151</v>
      </c>
      <c r="Q3" s="8">
        <f>IFERROR(__xludf.DUMMYFUNCTION("""COMPUTED_VALUE"""),2047601.0)</f>
        <v>2047601</v>
      </c>
      <c r="R3" s="8">
        <f>IFERROR(__xludf.DUMMYFUNCTION("""COMPUTED_VALUE"""),2247251.0)</f>
        <v>2247251</v>
      </c>
      <c r="S3" s="8">
        <f>IFERROR(__xludf.DUMMYFUNCTION("""COMPUTED_VALUE"""),2453501.0)</f>
        <v>2453501</v>
      </c>
      <c r="T3" s="8">
        <f>IFERROR(__xludf.DUMMYFUNCTION("""COMPUTED_VALUE"""),2691101.0)</f>
        <v>2691101</v>
      </c>
      <c r="U3" s="8">
        <f>IFERROR(__xludf.DUMMYFUNCTION("""COMPUTED_VALUE"""),2943551.0)</f>
        <v>2943551</v>
      </c>
      <c r="V3" s="8">
        <f>IFERROR(__xludf.DUMMYFUNCTION("""COMPUTED_VALUE"""),2.4417802E7)</f>
        <v>24417802</v>
      </c>
      <c r="W3" s="8">
        <f>IFERROR(__xludf.DUMMYFUNCTION("""COMPUTED_VALUE"""),1.0)</f>
        <v>1</v>
      </c>
      <c r="X3" s="8">
        <f>IFERROR(__xludf.DUMMYFUNCTION("""COMPUTED_VALUE"""),3221500.0)</f>
        <v>3221500</v>
      </c>
      <c r="Y3" s="8">
        <f>IFERROR(__xludf.DUMMYFUNCTION("""COMPUTED_VALUE"""),3332000.0)</f>
        <v>3332000</v>
      </c>
      <c r="Z3" s="8">
        <f>IFERROR(__xludf.DUMMYFUNCTION("""COMPUTED_VALUE"""),3442500.0)</f>
        <v>3442500</v>
      </c>
      <c r="AA3" s="8">
        <f>IFERROR(__xludf.DUMMYFUNCTION("""COMPUTED_VALUE"""),3544500.0)</f>
        <v>3544500</v>
      </c>
      <c r="AB3" s="8">
        <f>IFERROR(__xludf.DUMMYFUNCTION("""COMPUTED_VALUE"""),3646500.0)</f>
        <v>3646500</v>
      </c>
      <c r="AC3" s="8">
        <f>IFERROR(__xludf.DUMMYFUNCTION("""COMPUTED_VALUE"""),3748500.0)</f>
        <v>3748500</v>
      </c>
      <c r="AD3" s="8">
        <f>IFERROR(__xludf.DUMMYFUNCTION("""COMPUTED_VALUE"""),3842000.0)</f>
        <v>3842000</v>
      </c>
      <c r="AE3" s="8">
        <f>IFERROR(__xludf.DUMMYFUNCTION("""COMPUTED_VALUE"""),3935500.0)</f>
        <v>3935500</v>
      </c>
      <c r="AF3" s="8">
        <f>IFERROR(__xludf.DUMMYFUNCTION("""COMPUTED_VALUE"""),4029000.0)</f>
        <v>4029000</v>
      </c>
      <c r="AG3" s="8">
        <f>IFERROR(__xludf.DUMMYFUNCTION("""COMPUTED_VALUE"""),4114000.0)</f>
        <v>4114000</v>
      </c>
      <c r="AH3" s="8">
        <f>IFERROR(__xludf.DUMMYFUNCTION("""COMPUTED_VALUE"""),4199000.0)</f>
        <v>4199000</v>
      </c>
      <c r="AI3" s="8">
        <f>IFERROR(__xludf.DUMMYFUNCTION("""COMPUTED_VALUE"""),4284000.0)</f>
        <v>4284000</v>
      </c>
      <c r="AJ3" s="8">
        <f>IFERROR(__xludf.DUMMYFUNCTION("""COMPUTED_VALUE"""),4.5339E7)</f>
        <v>45339000</v>
      </c>
      <c r="AK3" s="8">
        <f>IFERROR(__xludf.DUMMYFUNCTION("""COMPUTED_VALUE"""),1.0)</f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</row>
    <row r="4">
      <c r="A4" s="5"/>
      <c r="B4" s="5" t="str">
        <f>IFERROR(__xludf.DUMMYFUNCTION("""COMPUTED_VALUE"""),"子項目加總")</f>
        <v>子項目加總</v>
      </c>
      <c r="C4" s="5" t="str">
        <f>IFERROR(__xludf.DUMMYFUNCTION("""COMPUTED_VALUE"""),"Recurring Revenue - Qlieer")</f>
        <v>Recurring Revenue - Qlieer</v>
      </c>
      <c r="D4" s="5"/>
      <c r="E4" s="5"/>
      <c r="F4" s="6" t="s">
        <v>4</v>
      </c>
      <c r="G4" s="6" t="s">
        <v>5</v>
      </c>
      <c r="H4" s="7">
        <f>IFERROR(__xludf.DUMMYFUNCTION("""COMPUTED_VALUE"""),1671746.0)</f>
        <v>1671746</v>
      </c>
      <c r="I4" s="7">
        <f>IFERROR(__xludf.DUMMYFUNCTION("""COMPUTED_VALUE"""),1723716.0)</f>
        <v>1723716</v>
      </c>
      <c r="J4" s="7">
        <f>IFERROR(__xludf.DUMMYFUNCTION("""COMPUTED_VALUE"""),1657711.0)</f>
        <v>1657711</v>
      </c>
      <c r="K4" s="7">
        <f>IFERROR(__xludf.DUMMYFUNCTION("""COMPUTED_VALUE"""),1654058.0)</f>
        <v>1654058</v>
      </c>
      <c r="L4" s="7">
        <f>IFERROR(__xludf.DUMMYFUNCTION("""COMPUTED_VALUE"""),1737264.0)</f>
        <v>1737264</v>
      </c>
      <c r="M4" s="7">
        <f>IFERROR(__xludf.DUMMYFUNCTION("""COMPUTED_VALUE"""),1729151.0)</f>
        <v>1729151</v>
      </c>
      <c r="N4" s="7">
        <f>IFERROR(__xludf.DUMMYFUNCTION("""COMPUTED_VALUE"""),1.0173646E7)</f>
        <v>10173646</v>
      </c>
      <c r="O4" s="7"/>
      <c r="P4" s="8">
        <f>IFERROR(__xludf.DUMMYFUNCTION("""COMPUTED_VALUE"""),1861151.0)</f>
        <v>1861151</v>
      </c>
      <c r="Q4" s="8">
        <f>IFERROR(__xludf.DUMMYFUNCTION("""COMPUTED_VALUE"""),2047601.0)</f>
        <v>2047601</v>
      </c>
      <c r="R4" s="8">
        <f>IFERROR(__xludf.DUMMYFUNCTION("""COMPUTED_VALUE"""),2247251.0)</f>
        <v>2247251</v>
      </c>
      <c r="S4" s="8">
        <f>IFERROR(__xludf.DUMMYFUNCTION("""COMPUTED_VALUE"""),2453501.0)</f>
        <v>2453501</v>
      </c>
      <c r="T4" s="8">
        <f>IFERROR(__xludf.DUMMYFUNCTION("""COMPUTED_VALUE"""),2691101.0)</f>
        <v>2691101</v>
      </c>
      <c r="U4" s="8">
        <f>IFERROR(__xludf.DUMMYFUNCTION("""COMPUTED_VALUE"""),2943551.0)</f>
        <v>2943551</v>
      </c>
      <c r="V4" s="8">
        <f>IFERROR(__xludf.DUMMYFUNCTION("""COMPUTED_VALUE"""),2.4417802E7)</f>
        <v>24417802</v>
      </c>
      <c r="W4" s="8"/>
      <c r="X4" s="8">
        <f>IFERROR(__xludf.DUMMYFUNCTION("""COMPUTED_VALUE"""),3221500.0)</f>
        <v>3221500</v>
      </c>
      <c r="Y4" s="8">
        <f>IFERROR(__xludf.DUMMYFUNCTION("""COMPUTED_VALUE"""),3332000.0)</f>
        <v>3332000</v>
      </c>
      <c r="Z4" s="8">
        <f>IFERROR(__xludf.DUMMYFUNCTION("""COMPUTED_VALUE"""),3442500.0)</f>
        <v>3442500</v>
      </c>
      <c r="AA4" s="8">
        <f>IFERROR(__xludf.DUMMYFUNCTION("""COMPUTED_VALUE"""),3544500.0)</f>
        <v>3544500</v>
      </c>
      <c r="AB4" s="8">
        <f>IFERROR(__xludf.DUMMYFUNCTION("""COMPUTED_VALUE"""),3646500.0)</f>
        <v>3646500</v>
      </c>
      <c r="AC4" s="8">
        <f>IFERROR(__xludf.DUMMYFUNCTION("""COMPUTED_VALUE"""),3748500.0)</f>
        <v>3748500</v>
      </c>
      <c r="AD4" s="8">
        <f>IFERROR(__xludf.DUMMYFUNCTION("""COMPUTED_VALUE"""),3842000.0)</f>
        <v>3842000</v>
      </c>
      <c r="AE4" s="8">
        <f>IFERROR(__xludf.DUMMYFUNCTION("""COMPUTED_VALUE"""),3935500.0)</f>
        <v>3935500</v>
      </c>
      <c r="AF4" s="8">
        <f>IFERROR(__xludf.DUMMYFUNCTION("""COMPUTED_VALUE"""),4029000.0)</f>
        <v>4029000</v>
      </c>
      <c r="AG4" s="8">
        <f>IFERROR(__xludf.DUMMYFUNCTION("""COMPUTED_VALUE"""),4114000.0)</f>
        <v>4114000</v>
      </c>
      <c r="AH4" s="8">
        <f>IFERROR(__xludf.DUMMYFUNCTION("""COMPUTED_VALUE"""),4199000.0)</f>
        <v>4199000</v>
      </c>
      <c r="AI4" s="8">
        <f>IFERROR(__xludf.DUMMYFUNCTION("""COMPUTED_VALUE"""),4284000.0)</f>
        <v>4284000</v>
      </c>
      <c r="AJ4" s="8">
        <f>IFERROR(__xludf.DUMMYFUNCTION("""COMPUTED_VALUE"""),4.5339E7)</f>
        <v>45339000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>
      <c r="A5" s="5"/>
      <c r="B5" s="5"/>
      <c r="C5" s="5" t="str">
        <f>IFERROR(__xludf.DUMMYFUNCTION("""COMPUTED_VALUE"""),"Previous MRR - QLiEER")</f>
        <v>Previous MRR - QLiEER</v>
      </c>
      <c r="D5" s="5" t="str">
        <f>IFERROR(__xludf.DUMMYFUNCTION("""COMPUTED_VALUE"""),"單店POS前月經常性營收")</f>
        <v>單店POS前月經常性營收</v>
      </c>
      <c r="E5" s="5" t="str">
        <f>IFERROR(__xludf.DUMMYFUNCTION("""COMPUTED_VALUE"""),"前月付費客戶數 x 平均客戶單價")</f>
        <v>前月付費客戶數 x 平均客戶單價</v>
      </c>
      <c r="F5" s="6" t="s">
        <v>4</v>
      </c>
      <c r="G5" s="6" t="s">
        <v>5</v>
      </c>
      <c r="H5" s="7">
        <f>IFERROR(__xludf.DUMMYFUNCTION("""COMPUTED_VALUE"""),1692290.0)</f>
        <v>1692290</v>
      </c>
      <c r="I5" s="7">
        <f>IFERROR(__xludf.DUMMYFUNCTION("""COMPUTED_VALUE"""),1671746.0)</f>
        <v>1671746</v>
      </c>
      <c r="J5" s="7">
        <f>IFERROR(__xludf.DUMMYFUNCTION("""COMPUTED_VALUE"""),1723716.0)</f>
        <v>1723716</v>
      </c>
      <c r="K5" s="7">
        <f>IFERROR(__xludf.DUMMYFUNCTION("""COMPUTED_VALUE"""),1657711.0)</f>
        <v>1657711</v>
      </c>
      <c r="L5" s="7">
        <f>IFERROR(__xludf.DUMMYFUNCTION("""COMPUTED_VALUE"""),1654058.0)</f>
        <v>1654058</v>
      </c>
      <c r="M5" s="7">
        <f>IFERROR(__xludf.DUMMYFUNCTION("""COMPUTED_VALUE"""),1737264.0)</f>
        <v>1737264</v>
      </c>
      <c r="N5" s="7">
        <f>IFERROR(__xludf.DUMMYFUNCTION("""COMPUTED_VALUE"""),1.0136785E7)</f>
        <v>10136785</v>
      </c>
      <c r="O5" s="7"/>
      <c r="P5" s="8">
        <f>IFERROR(__xludf.DUMMYFUNCTION("""COMPUTED_VALUE"""),1729151.0)</f>
        <v>1729151</v>
      </c>
      <c r="Q5" s="8">
        <f>IFERROR(__xludf.DUMMYFUNCTION("""COMPUTED_VALUE"""),1861151.0)</f>
        <v>1861151</v>
      </c>
      <c r="R5" s="8">
        <f>IFERROR(__xludf.DUMMYFUNCTION("""COMPUTED_VALUE"""),2047601.0)</f>
        <v>2047601</v>
      </c>
      <c r="S5" s="8">
        <f>IFERROR(__xludf.DUMMYFUNCTION("""COMPUTED_VALUE"""),2247251.0)</f>
        <v>2247251</v>
      </c>
      <c r="T5" s="8">
        <f>IFERROR(__xludf.DUMMYFUNCTION("""COMPUTED_VALUE"""),2453501.0)</f>
        <v>2453501</v>
      </c>
      <c r="U5" s="8">
        <f>IFERROR(__xludf.DUMMYFUNCTION("""COMPUTED_VALUE"""),2691101.0)</f>
        <v>2691101</v>
      </c>
      <c r="V5" s="8">
        <f>IFERROR(__xludf.DUMMYFUNCTION("""COMPUTED_VALUE"""),2.3166541E7)</f>
        <v>23166541</v>
      </c>
      <c r="W5" s="8"/>
      <c r="X5" s="8">
        <f>IFERROR(__xludf.DUMMYFUNCTION("""COMPUTED_VALUE"""),3111000.0)</f>
        <v>3111000</v>
      </c>
      <c r="Y5" s="8">
        <f>IFERROR(__xludf.DUMMYFUNCTION("""COMPUTED_VALUE"""),3221500.0)</f>
        <v>3221500</v>
      </c>
      <c r="Z5" s="8">
        <f>IFERROR(__xludf.DUMMYFUNCTION("""COMPUTED_VALUE"""),3332000.0)</f>
        <v>3332000</v>
      </c>
      <c r="AA5" s="8">
        <f>IFERROR(__xludf.DUMMYFUNCTION("""COMPUTED_VALUE"""),3442500.0)</f>
        <v>3442500</v>
      </c>
      <c r="AB5" s="8">
        <f>IFERROR(__xludf.DUMMYFUNCTION("""COMPUTED_VALUE"""),3544500.0)</f>
        <v>3544500</v>
      </c>
      <c r="AC5" s="8">
        <f>IFERROR(__xludf.DUMMYFUNCTION("""COMPUTED_VALUE"""),3646500.0)</f>
        <v>3646500</v>
      </c>
      <c r="AD5" s="8">
        <f>IFERROR(__xludf.DUMMYFUNCTION("""COMPUTED_VALUE"""),3748500.0)</f>
        <v>3748500</v>
      </c>
      <c r="AE5" s="8">
        <f>IFERROR(__xludf.DUMMYFUNCTION("""COMPUTED_VALUE"""),3842000.0)</f>
        <v>3842000</v>
      </c>
      <c r="AF5" s="8">
        <f>IFERROR(__xludf.DUMMYFUNCTION("""COMPUTED_VALUE"""),3935500.0)</f>
        <v>3935500</v>
      </c>
      <c r="AG5" s="8">
        <f>IFERROR(__xludf.DUMMYFUNCTION("""COMPUTED_VALUE"""),4029000.0)</f>
        <v>4029000</v>
      </c>
      <c r="AH5" s="8">
        <f>IFERROR(__xludf.DUMMYFUNCTION("""COMPUTED_VALUE"""),4114000.0)</f>
        <v>4114000</v>
      </c>
      <c r="AI5" s="8">
        <f>IFERROR(__xludf.DUMMYFUNCTION("""COMPUTED_VALUE"""),4199000.0)</f>
        <v>4199000</v>
      </c>
      <c r="AJ5" s="8">
        <f>IFERROR(__xludf.DUMMYFUNCTION("""COMPUTED_VALUE"""),4.4166E7)</f>
        <v>44166000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>
      <c r="A6" s="5"/>
      <c r="B6" s="5"/>
      <c r="C6" s="5" t="str">
        <f>IFERROR(__xludf.DUMMYFUNCTION("""COMPUTED_VALUE"""),"New MRR - QLiEER")</f>
        <v>New MRR - QLiEER</v>
      </c>
      <c r="D6" s="9" t="str">
        <f>IFERROR(__xludf.DUMMYFUNCTION("""COMPUTED_VALUE"""),"單店POS當月新增經常性營收")</f>
        <v>單店POS當月新增經常性營收</v>
      </c>
      <c r="E6" s="9" t="str">
        <f>IFERROR(__xludf.DUMMYFUNCTION("""COMPUTED_VALUE"""),"當月新增客戶數 x 平均客戶單價")</f>
        <v>當月新增客戶數 x 平均客戶單價</v>
      </c>
      <c r="F6" s="6" t="s">
        <v>4</v>
      </c>
      <c r="G6" s="6" t="s">
        <v>5</v>
      </c>
      <c r="H6" s="8">
        <f>IFERROR(__xludf.DUMMYFUNCTION("""COMPUTED_VALUE"""),27392.0)</f>
        <v>27392</v>
      </c>
      <c r="I6" s="8">
        <f>IFERROR(__xludf.DUMMYFUNCTION("""COMPUTED_VALUE"""),40480.0)</f>
        <v>40480</v>
      </c>
      <c r="J6" s="8">
        <f>IFERROR(__xludf.DUMMYFUNCTION("""COMPUTED_VALUE"""),64448.0)</f>
        <v>64448</v>
      </c>
      <c r="K6" s="8">
        <f>IFERROR(__xludf.DUMMYFUNCTION("""COMPUTED_VALUE"""),61753.0)</f>
        <v>61753</v>
      </c>
      <c r="L6" s="8">
        <f>IFERROR(__xludf.DUMMYFUNCTION("""COMPUTED_VALUE"""),95256.0)</f>
        <v>95256</v>
      </c>
      <c r="M6" s="8">
        <f>IFERROR(__xludf.DUMMYFUNCTION("""COMPUTED_VALUE"""),117288.0)</f>
        <v>117288</v>
      </c>
      <c r="N6" s="8">
        <f>IFERROR(__xludf.DUMMYFUNCTION("""COMPUTED_VALUE"""),406617.0)</f>
        <v>406617</v>
      </c>
      <c r="O6" s="8"/>
      <c r="P6" s="7">
        <f>IFERROR(__xludf.DUMMYFUNCTION("""COMPUTED_VALUE"""),165000.0)</f>
        <v>165000</v>
      </c>
      <c r="Q6" s="7">
        <f>IFERROR(__xludf.DUMMYFUNCTION("""COMPUTED_VALUE"""),219450.0)</f>
        <v>219450</v>
      </c>
      <c r="R6" s="7">
        <f>IFERROR(__xludf.DUMMYFUNCTION("""COMPUTED_VALUE"""),240900.0)</f>
        <v>240900</v>
      </c>
      <c r="S6" s="7">
        <f>IFERROR(__xludf.DUMMYFUNCTION("""COMPUTED_VALUE"""),247500.0)</f>
        <v>247500</v>
      </c>
      <c r="T6" s="7">
        <f>IFERROR(__xludf.DUMMYFUNCTION("""COMPUTED_VALUE"""),287100.0)</f>
        <v>287100</v>
      </c>
      <c r="U6" s="7">
        <f>IFERROR(__xludf.DUMMYFUNCTION("""COMPUTED_VALUE"""),301950.0)</f>
        <v>301950</v>
      </c>
      <c r="V6" s="7">
        <f>IFERROR(__xludf.DUMMYFUNCTION("""COMPUTED_VALUE"""),1868517.0)</f>
        <v>1868517</v>
      </c>
      <c r="W6" s="7"/>
      <c r="X6" s="7">
        <f>IFERROR(__xludf.DUMMYFUNCTION("""COMPUTED_VALUE"""),170000.0)</f>
        <v>170000</v>
      </c>
      <c r="Y6" s="7">
        <f>IFERROR(__xludf.DUMMYFUNCTION("""COMPUTED_VALUE"""),170000.0)</f>
        <v>170000</v>
      </c>
      <c r="Z6" s="7">
        <f>IFERROR(__xludf.DUMMYFUNCTION("""COMPUTED_VALUE"""),170000.0)</f>
        <v>170000</v>
      </c>
      <c r="AA6" s="7">
        <f>IFERROR(__xludf.DUMMYFUNCTION("""COMPUTED_VALUE"""),170000.0)</f>
        <v>170000</v>
      </c>
      <c r="AB6" s="7">
        <f>IFERROR(__xludf.DUMMYFUNCTION("""COMPUTED_VALUE"""),170000.0)</f>
        <v>170000</v>
      </c>
      <c r="AC6" s="7">
        <f>IFERROR(__xludf.DUMMYFUNCTION("""COMPUTED_VALUE"""),170000.0)</f>
        <v>170000</v>
      </c>
      <c r="AD6" s="7">
        <f>IFERROR(__xludf.DUMMYFUNCTION("""COMPUTED_VALUE"""),170000.0)</f>
        <v>170000</v>
      </c>
      <c r="AE6" s="7">
        <f>IFERROR(__xludf.DUMMYFUNCTION("""COMPUTED_VALUE"""),170000.0)</f>
        <v>170000</v>
      </c>
      <c r="AF6" s="7">
        <f>IFERROR(__xludf.DUMMYFUNCTION("""COMPUTED_VALUE"""),170000.0)</f>
        <v>170000</v>
      </c>
      <c r="AG6" s="7">
        <f>IFERROR(__xludf.DUMMYFUNCTION("""COMPUTED_VALUE"""),170000.0)</f>
        <v>170000</v>
      </c>
      <c r="AH6" s="7">
        <f>IFERROR(__xludf.DUMMYFUNCTION("""COMPUTED_VALUE"""),170000.0)</f>
        <v>170000</v>
      </c>
      <c r="AI6" s="7">
        <f>IFERROR(__xludf.DUMMYFUNCTION("""COMPUTED_VALUE"""),170000.0)</f>
        <v>170000</v>
      </c>
      <c r="AJ6" s="7">
        <f>IFERROR(__xludf.DUMMYFUNCTION("""COMPUTED_VALUE"""),2040000.0)</f>
        <v>2040000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>
      <c r="A7" s="5"/>
      <c r="B7" s="5"/>
      <c r="C7" s="5" t="str">
        <f>IFERROR(__xludf.DUMMYFUNCTION("""COMPUTED_VALUE"""),"Churn MRR - QLiEER")</f>
        <v>Churn MRR - QLiEER</v>
      </c>
      <c r="D7" s="5" t="str">
        <f>IFERROR(__xludf.DUMMYFUNCTION("""COMPUTED_VALUE"""),"單店POS當月流失經常性營收")</f>
        <v>單店POS當月流失經常性營收</v>
      </c>
      <c r="E7" s="5" t="str">
        <f>IFERROR(__xludf.DUMMYFUNCTION("""COMPUTED_VALUE"""),"當月流失客戶數 x 平均客戶單價")</f>
        <v>當月流失客戶數 x 平均客戶單價</v>
      </c>
      <c r="F7" s="6" t="s">
        <v>4</v>
      </c>
      <c r="G7" s="6" t="s">
        <v>5</v>
      </c>
      <c r="H7" s="7">
        <f>IFERROR(__xludf.DUMMYFUNCTION("""COMPUTED_VALUE"""),-47936.0)</f>
        <v>-47936</v>
      </c>
      <c r="I7" s="7">
        <f>IFERROR(__xludf.DUMMYFUNCTION("""COMPUTED_VALUE"""),-19360.0)</f>
        <v>-19360</v>
      </c>
      <c r="J7" s="7">
        <f>IFERROR(__xludf.DUMMYFUNCTION("""COMPUTED_VALUE"""),-64448.0)</f>
        <v>-64448</v>
      </c>
      <c r="K7" s="7">
        <f>IFERROR(__xludf.DUMMYFUNCTION("""COMPUTED_VALUE"""),-33380.0)</f>
        <v>-33380</v>
      </c>
      <c r="L7" s="7">
        <f>IFERROR(__xludf.DUMMYFUNCTION("""COMPUTED_VALUE"""),-32319.0)</f>
        <v>-32319</v>
      </c>
      <c r="M7" s="7">
        <f>IFERROR(__xludf.DUMMYFUNCTION("""COMPUTED_VALUE"""),-32580.0)</f>
        <v>-32580</v>
      </c>
      <c r="N7" s="7">
        <f>IFERROR(__xludf.DUMMYFUNCTION("""COMPUTED_VALUE"""),-230023.0)</f>
        <v>-230023</v>
      </c>
      <c r="O7" s="7"/>
      <c r="P7" s="8">
        <f>IFERROR(__xludf.DUMMYFUNCTION("""COMPUTED_VALUE"""),-33000.0)</f>
        <v>-33000</v>
      </c>
      <c r="Q7" s="8">
        <f>IFERROR(__xludf.DUMMYFUNCTION("""COMPUTED_VALUE"""),-33000.0)</f>
        <v>-33000</v>
      </c>
      <c r="R7" s="8">
        <f>IFERROR(__xludf.DUMMYFUNCTION("""COMPUTED_VALUE"""),-41250.0)</f>
        <v>-41250</v>
      </c>
      <c r="S7" s="8">
        <f>IFERROR(__xludf.DUMMYFUNCTION("""COMPUTED_VALUE"""),-41250.0)</f>
        <v>-41250</v>
      </c>
      <c r="T7" s="8">
        <f>IFERROR(__xludf.DUMMYFUNCTION("""COMPUTED_VALUE"""),-49500.0)</f>
        <v>-49500</v>
      </c>
      <c r="U7" s="8">
        <f>IFERROR(__xludf.DUMMYFUNCTION("""COMPUTED_VALUE"""),-49500.0)</f>
        <v>-49500</v>
      </c>
      <c r="V7" s="8">
        <f>IFERROR(__xludf.DUMMYFUNCTION("""COMPUTED_VALUE"""),-477523.0)</f>
        <v>-477523</v>
      </c>
      <c r="W7" s="8"/>
      <c r="X7" s="8">
        <f>IFERROR(__xludf.DUMMYFUNCTION("""COMPUTED_VALUE"""),-59500.0)</f>
        <v>-59500</v>
      </c>
      <c r="Y7" s="8">
        <f>IFERROR(__xludf.DUMMYFUNCTION("""COMPUTED_VALUE"""),-59500.0)</f>
        <v>-59500</v>
      </c>
      <c r="Z7" s="8">
        <f>IFERROR(__xludf.DUMMYFUNCTION("""COMPUTED_VALUE"""),-59500.0)</f>
        <v>-59500</v>
      </c>
      <c r="AA7" s="8">
        <f>IFERROR(__xludf.DUMMYFUNCTION("""COMPUTED_VALUE"""),-68000.0)</f>
        <v>-68000</v>
      </c>
      <c r="AB7" s="8">
        <f>IFERROR(__xludf.DUMMYFUNCTION("""COMPUTED_VALUE"""),-68000.0)</f>
        <v>-68000</v>
      </c>
      <c r="AC7" s="8">
        <f>IFERROR(__xludf.DUMMYFUNCTION("""COMPUTED_VALUE"""),-68000.0)</f>
        <v>-68000</v>
      </c>
      <c r="AD7" s="8">
        <f>IFERROR(__xludf.DUMMYFUNCTION("""COMPUTED_VALUE"""),-76500.0)</f>
        <v>-76500</v>
      </c>
      <c r="AE7" s="8">
        <f>IFERROR(__xludf.DUMMYFUNCTION("""COMPUTED_VALUE"""),-76500.0)</f>
        <v>-76500</v>
      </c>
      <c r="AF7" s="8">
        <f>IFERROR(__xludf.DUMMYFUNCTION("""COMPUTED_VALUE"""),-76500.0)</f>
        <v>-76500</v>
      </c>
      <c r="AG7" s="8">
        <f>IFERROR(__xludf.DUMMYFUNCTION("""COMPUTED_VALUE"""),-85000.0)</f>
        <v>-85000</v>
      </c>
      <c r="AH7" s="8">
        <f>IFERROR(__xludf.DUMMYFUNCTION("""COMPUTED_VALUE"""),-85000.0)</f>
        <v>-85000</v>
      </c>
      <c r="AI7" s="8">
        <f>IFERROR(__xludf.DUMMYFUNCTION("""COMPUTED_VALUE"""),-85000.0)</f>
        <v>-85000</v>
      </c>
      <c r="AJ7" s="8">
        <f>IFERROR(__xludf.DUMMYFUNCTION("""COMPUTED_VALUE"""),-867000.0)</f>
        <v>-867000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>
      <c r="A8" s="5" t="str">
        <f>IFERROR(__xludf.DUMMYFUNCTION("""COMPUTED_VALUE"""),"Total Cost")</f>
        <v>Total Cost</v>
      </c>
      <c r="B8" s="5" t="str">
        <f>IFERROR(__xludf.DUMMYFUNCTION("""COMPUTED_VALUE"""),"加總")</f>
        <v>加總</v>
      </c>
      <c r="C8" s="5" t="str">
        <f>IFERROR(__xludf.DUMMYFUNCTION("""COMPUTED_VALUE"""),"Total Cost")</f>
        <v>Total Cost</v>
      </c>
      <c r="D8" s="5"/>
      <c r="E8" s="5"/>
      <c r="F8" s="6" t="s">
        <v>6</v>
      </c>
      <c r="G8" s="6" t="s">
        <v>7</v>
      </c>
      <c r="H8" s="7">
        <f>IFERROR(__xludf.DUMMYFUNCTION("""COMPUTED_VALUE"""),-358918.0)</f>
        <v>-358918</v>
      </c>
      <c r="I8" s="7">
        <f>IFERROR(__xludf.DUMMYFUNCTION("""COMPUTED_VALUE"""),-322413.0)</f>
        <v>-322413</v>
      </c>
      <c r="J8" s="7">
        <f>IFERROR(__xludf.DUMMYFUNCTION("""COMPUTED_VALUE"""),-372701.0)</f>
        <v>-372701</v>
      </c>
      <c r="K8" s="7">
        <f>IFERROR(__xludf.DUMMYFUNCTION("""COMPUTED_VALUE"""),-358189.0)</f>
        <v>-358189</v>
      </c>
      <c r="L8" s="7">
        <f>IFERROR(__xludf.DUMMYFUNCTION("""COMPUTED_VALUE"""),-358259.0)</f>
        <v>-358259</v>
      </c>
      <c r="M8" s="7">
        <f>IFERROR(__xludf.DUMMYFUNCTION("""COMPUTED_VALUE"""),-348408.0)</f>
        <v>-348408</v>
      </c>
      <c r="N8" s="7">
        <f>IFERROR(__xludf.DUMMYFUNCTION("""COMPUTED_VALUE"""),-2118888.0)</f>
        <v>-2118888</v>
      </c>
      <c r="O8" s="7">
        <f>IFERROR(__xludf.DUMMYFUNCTION("""COMPUTED_VALUE"""),-0.2082722359319363)</f>
        <v>-0.2082722359</v>
      </c>
      <c r="P8" s="8">
        <f>IFERROR(__xludf.DUMMYFUNCTION("""COMPUTED_VALUE"""),-492217.0)</f>
        <v>-492217</v>
      </c>
      <c r="Q8" s="8">
        <f>IFERROR(__xludf.DUMMYFUNCTION("""COMPUTED_VALUE"""),-355845.0)</f>
        <v>-355845</v>
      </c>
      <c r="R8" s="8">
        <f>IFERROR(__xludf.DUMMYFUNCTION("""COMPUTED_VALUE"""),-377590.0)</f>
        <v>-377590</v>
      </c>
      <c r="S8" s="8">
        <f>IFERROR(__xludf.DUMMYFUNCTION("""COMPUTED_VALUE"""),-421592.0)</f>
        <v>-421592</v>
      </c>
      <c r="T8" s="8">
        <f>IFERROR(__xludf.DUMMYFUNCTION("""COMPUTED_VALUE"""),-429710.0)</f>
        <v>-429710</v>
      </c>
      <c r="U8" s="8">
        <f>IFERROR(__xludf.DUMMYFUNCTION("""COMPUTED_VALUE"""),-465311.0)</f>
        <v>-465311</v>
      </c>
      <c r="V8" s="8">
        <f>IFERROR(__xludf.DUMMYFUNCTION("""COMPUTED_VALUE"""),-4661153.0)</f>
        <v>-4661153</v>
      </c>
      <c r="W8" s="8">
        <f>IFERROR(__xludf.DUMMYFUNCTION("""COMPUTED_VALUE"""),-0.19089158803073267)</f>
        <v>-0.190891588</v>
      </c>
      <c r="X8" s="8">
        <f>IFERROR(__xludf.DUMMYFUNCTION("""COMPUTED_VALUE"""),-557319.5)</f>
        <v>-557319.5</v>
      </c>
      <c r="Y8" s="8">
        <f>IFERROR(__xludf.DUMMYFUNCTION("""COMPUTED_VALUE"""),-569772.0)</f>
        <v>-569772</v>
      </c>
      <c r="Z8" s="8">
        <f>IFERROR(__xludf.DUMMYFUNCTION("""COMPUTED_VALUE"""),-581782.5)</f>
        <v>-581782.5</v>
      </c>
      <c r="AA8" s="8">
        <f>IFERROR(__xludf.DUMMYFUNCTION("""COMPUTED_VALUE"""),-591931.5)</f>
        <v>-591931.5</v>
      </c>
      <c r="AB8" s="8">
        <f>IFERROR(__xludf.DUMMYFUNCTION("""COMPUTED_VALUE"""),-601672.5)</f>
        <v>-601672.5</v>
      </c>
      <c r="AC8" s="8">
        <f>IFERROR(__xludf.DUMMYFUNCTION("""COMPUTED_VALUE"""),-611005.5)</f>
        <v>-611005.5</v>
      </c>
      <c r="AD8" s="8">
        <f>IFERROR(__xludf.DUMMYFUNCTION("""COMPUTED_VALUE"""),-618562.0)</f>
        <v>-618562</v>
      </c>
      <c r="AE8" s="8">
        <f>IFERROR(__xludf.DUMMYFUNCTION("""COMPUTED_VALUE"""),-625744.5)</f>
        <v>-625744.5</v>
      </c>
      <c r="AF8" s="8">
        <f>IFERROR(__xludf.DUMMYFUNCTION("""COMPUTED_VALUE"""),-632553.0)</f>
        <v>-632553</v>
      </c>
      <c r="AG8" s="8">
        <f>IFERROR(__xludf.DUMMYFUNCTION("""COMPUTED_VALUE"""),-637670.0)</f>
        <v>-637670</v>
      </c>
      <c r="AH8" s="8">
        <f>IFERROR(__xludf.DUMMYFUNCTION("""COMPUTED_VALUE"""),-642447.0)</f>
        <v>-642447</v>
      </c>
      <c r="AI8" s="8">
        <f>IFERROR(__xludf.DUMMYFUNCTION("""COMPUTED_VALUE"""),-646884.0)</f>
        <v>-646884</v>
      </c>
      <c r="AJ8" s="8">
        <f>IFERROR(__xludf.DUMMYFUNCTION("""COMPUTED_VALUE"""),-7317344.0)</f>
        <v>-7317344</v>
      </c>
      <c r="AK8" s="8">
        <f>IFERROR(__xludf.DUMMYFUNCTION("""COMPUTED_VALUE"""),-0.1613918260217473)</f>
        <v>-0.161391826</v>
      </c>
      <c r="AL8" s="8"/>
      <c r="AM8" s="8"/>
      <c r="AN8" s="8"/>
      <c r="AO8" s="8"/>
      <c r="AP8" s="8"/>
      <c r="AQ8" s="8"/>
      <c r="AR8" s="8"/>
      <c r="AS8" s="8"/>
      <c r="AT8" s="8"/>
      <c r="AU8" s="8"/>
    </row>
    <row r="9">
      <c r="A9" s="5"/>
      <c r="B9" s="5" t="str">
        <f>IFERROR(__xludf.DUMMYFUNCTION("""COMPUTED_VALUE"""),"子項目加總")</f>
        <v>子項目加總</v>
      </c>
      <c r="C9" s="5" t="str">
        <f>IFERROR(__xludf.DUMMYFUNCTION("""COMPUTED_VALUE"""),"Cost-AWS")</f>
        <v>Cost-AWS</v>
      </c>
      <c r="D9" s="5"/>
      <c r="E9" s="5"/>
      <c r="F9" s="6" t="s">
        <v>6</v>
      </c>
      <c r="G9" s="6" t="s">
        <v>7</v>
      </c>
      <c r="H9" s="7">
        <f>IFERROR(__xludf.DUMMYFUNCTION("""COMPUTED_VALUE"""),-89469.0)</f>
        <v>-89469</v>
      </c>
      <c r="I9" s="7">
        <f>IFERROR(__xludf.DUMMYFUNCTION("""COMPUTED_VALUE"""),-79460.0)</f>
        <v>-79460</v>
      </c>
      <c r="J9" s="7">
        <f>IFERROR(__xludf.DUMMYFUNCTION("""COMPUTED_VALUE"""),-76377.0)</f>
        <v>-76377</v>
      </c>
      <c r="K9" s="7">
        <f>IFERROR(__xludf.DUMMYFUNCTION("""COMPUTED_VALUE"""),-71462.0)</f>
        <v>-71462</v>
      </c>
      <c r="L9" s="7">
        <f>IFERROR(__xludf.DUMMYFUNCTION("""COMPUTED_VALUE"""),-112366.0)</f>
        <v>-112366</v>
      </c>
      <c r="M9" s="7">
        <f>IFERROR(__xludf.DUMMYFUNCTION("""COMPUTED_VALUE"""),-62236.0)</f>
        <v>-62236</v>
      </c>
      <c r="N9" s="7">
        <f>IFERROR(__xludf.DUMMYFUNCTION("""COMPUTED_VALUE"""),-491370.0)</f>
        <v>-491370</v>
      </c>
      <c r="O9" s="7"/>
      <c r="P9" s="8">
        <f>IFERROR(__xludf.DUMMYFUNCTION("""COMPUTED_VALUE"""),-115735.0)</f>
        <v>-115735</v>
      </c>
      <c r="Q9" s="8">
        <f>IFERROR(__xludf.DUMMYFUNCTION("""COMPUTED_VALUE"""),-138522.0)</f>
        <v>-138522</v>
      </c>
      <c r="R9" s="8">
        <f>IFERROR(__xludf.DUMMYFUNCTION("""COMPUTED_VALUE"""),-107084.0)</f>
        <v>-107084</v>
      </c>
      <c r="S9" s="8">
        <f>IFERROR(__xludf.DUMMYFUNCTION("""COMPUTED_VALUE"""),-108285.0)</f>
        <v>-108285</v>
      </c>
      <c r="T9" s="8">
        <f>IFERROR(__xludf.DUMMYFUNCTION("""COMPUTED_VALUE"""),-109371.0)</f>
        <v>-109371</v>
      </c>
      <c r="U9" s="8">
        <f>IFERROR(__xludf.DUMMYFUNCTION("""COMPUTED_VALUE"""),-110659.0)</f>
        <v>-110659</v>
      </c>
      <c r="V9" s="8">
        <f>IFERROR(__xludf.DUMMYFUNCTION("""COMPUTED_VALUE"""),-1181026.0)</f>
        <v>-1181026</v>
      </c>
      <c r="W9" s="8"/>
      <c r="X9" s="8">
        <f>IFERROR(__xludf.DUMMYFUNCTION("""COMPUTED_VALUE"""),-154632.0)</f>
        <v>-154632</v>
      </c>
      <c r="Y9" s="8">
        <f>IFERROR(__xludf.DUMMYFUNCTION("""COMPUTED_VALUE"""),-159936.0)</f>
        <v>-159936</v>
      </c>
      <c r="Z9" s="8">
        <f>IFERROR(__xludf.DUMMYFUNCTION("""COMPUTED_VALUE"""),-165240.0)</f>
        <v>-165240</v>
      </c>
      <c r="AA9" s="8">
        <f>IFERROR(__xludf.DUMMYFUNCTION("""COMPUTED_VALUE"""),-170136.0)</f>
        <v>-170136</v>
      </c>
      <c r="AB9" s="8">
        <f>IFERROR(__xludf.DUMMYFUNCTION("""COMPUTED_VALUE"""),-175032.0)</f>
        <v>-175032</v>
      </c>
      <c r="AC9" s="8">
        <f>IFERROR(__xludf.DUMMYFUNCTION("""COMPUTED_VALUE"""),-179928.0)</f>
        <v>-179928</v>
      </c>
      <c r="AD9" s="8">
        <f>IFERROR(__xludf.DUMMYFUNCTION("""COMPUTED_VALUE"""),-184416.0)</f>
        <v>-184416</v>
      </c>
      <c r="AE9" s="8">
        <f>IFERROR(__xludf.DUMMYFUNCTION("""COMPUTED_VALUE"""),-188904.0)</f>
        <v>-188904</v>
      </c>
      <c r="AF9" s="8">
        <f>IFERROR(__xludf.DUMMYFUNCTION("""COMPUTED_VALUE"""),-193392.0)</f>
        <v>-193392</v>
      </c>
      <c r="AG9" s="8">
        <f>IFERROR(__xludf.DUMMYFUNCTION("""COMPUTED_VALUE"""),-197472.0)</f>
        <v>-197472</v>
      </c>
      <c r="AH9" s="8">
        <f>IFERROR(__xludf.DUMMYFUNCTION("""COMPUTED_VALUE"""),-201552.0)</f>
        <v>-201552</v>
      </c>
      <c r="AI9" s="8">
        <f>IFERROR(__xludf.DUMMYFUNCTION("""COMPUTED_VALUE"""),-205632.0)</f>
        <v>-205632</v>
      </c>
      <c r="AJ9" s="8">
        <f>IFERROR(__xludf.DUMMYFUNCTION("""COMPUTED_VALUE"""),-2176272.0)</f>
        <v>-2176272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>
      <c r="A10" s="5"/>
      <c r="B10" s="5"/>
      <c r="C10" s="5" t="str">
        <f>IFERROR(__xludf.DUMMYFUNCTION("""COMPUTED_VALUE"""),"Cost-AWS")</f>
        <v>Cost-AWS</v>
      </c>
      <c r="D10" s="5" t="str">
        <f>IFERROR(__xludf.DUMMYFUNCTION("""COMPUTED_VALUE"""),"研發中心 AWS 成本")</f>
        <v>研發中心 AWS 成本</v>
      </c>
      <c r="E10" s="5" t="str">
        <f>IFERROR(__xludf.DUMMYFUNCTION("""COMPUTED_VALUE"""),"AWS主機費用，經常性營收 x 費用率")</f>
        <v>AWS主機費用，經常性營收 x 費用率</v>
      </c>
      <c r="F10" s="6" t="s">
        <v>6</v>
      </c>
      <c r="G10" s="6" t="s">
        <v>7</v>
      </c>
      <c r="H10" s="7">
        <f>IFERROR(__xludf.DUMMYFUNCTION("""COMPUTED_VALUE"""),-89469.0)</f>
        <v>-89469</v>
      </c>
      <c r="I10" s="7">
        <f>IFERROR(__xludf.DUMMYFUNCTION("""COMPUTED_VALUE"""),-79460.0)</f>
        <v>-79460</v>
      </c>
      <c r="J10" s="7">
        <f>IFERROR(__xludf.DUMMYFUNCTION("""COMPUTED_VALUE"""),-76377.0)</f>
        <v>-76377</v>
      </c>
      <c r="K10" s="7">
        <f>IFERROR(__xludf.DUMMYFUNCTION("""COMPUTED_VALUE"""),-71462.0)</f>
        <v>-71462</v>
      </c>
      <c r="L10" s="7">
        <f>IFERROR(__xludf.DUMMYFUNCTION("""COMPUTED_VALUE"""),-112366.0)</f>
        <v>-112366</v>
      </c>
      <c r="M10" s="7">
        <f>IFERROR(__xludf.DUMMYFUNCTION("""COMPUTED_VALUE"""),-62236.0)</f>
        <v>-62236</v>
      </c>
      <c r="N10" s="7">
        <f>IFERROR(__xludf.DUMMYFUNCTION("""COMPUTED_VALUE"""),-491370.0)</f>
        <v>-491370</v>
      </c>
      <c r="O10" s="7"/>
      <c r="P10" s="7">
        <f>IFERROR(__xludf.DUMMYFUNCTION("""COMPUTED_VALUE"""),-115735.0)</f>
        <v>-115735</v>
      </c>
      <c r="Q10" s="8">
        <f>IFERROR(__xludf.DUMMYFUNCTION("""COMPUTED_VALUE"""),-138522.0)</f>
        <v>-138522</v>
      </c>
      <c r="R10" s="8">
        <f>IFERROR(__xludf.DUMMYFUNCTION("""COMPUTED_VALUE"""),-107084.0)</f>
        <v>-107084</v>
      </c>
      <c r="S10" s="8">
        <f>IFERROR(__xludf.DUMMYFUNCTION("""COMPUTED_VALUE"""),-108285.0)</f>
        <v>-108285</v>
      </c>
      <c r="T10" s="8">
        <f>IFERROR(__xludf.DUMMYFUNCTION("""COMPUTED_VALUE"""),-109371.0)</f>
        <v>-109371</v>
      </c>
      <c r="U10" s="8">
        <f>IFERROR(__xludf.DUMMYFUNCTION("""COMPUTED_VALUE"""),-110659.0)</f>
        <v>-110659</v>
      </c>
      <c r="V10" s="8">
        <f>IFERROR(__xludf.DUMMYFUNCTION("""COMPUTED_VALUE"""),-1181026.0)</f>
        <v>-1181026</v>
      </c>
      <c r="W10" s="8"/>
      <c r="X10" s="8">
        <f>IFERROR(__xludf.DUMMYFUNCTION("""COMPUTED_VALUE"""),-154632.0)</f>
        <v>-154632</v>
      </c>
      <c r="Y10" s="8">
        <f>IFERROR(__xludf.DUMMYFUNCTION("""COMPUTED_VALUE"""),-159936.0)</f>
        <v>-159936</v>
      </c>
      <c r="Z10" s="8">
        <f>IFERROR(__xludf.DUMMYFUNCTION("""COMPUTED_VALUE"""),-165240.0)</f>
        <v>-165240</v>
      </c>
      <c r="AA10" s="8">
        <f>IFERROR(__xludf.DUMMYFUNCTION("""COMPUTED_VALUE"""),-170136.0)</f>
        <v>-170136</v>
      </c>
      <c r="AB10" s="8">
        <f>IFERROR(__xludf.DUMMYFUNCTION("""COMPUTED_VALUE"""),-175032.0)</f>
        <v>-175032</v>
      </c>
      <c r="AC10" s="8">
        <f>IFERROR(__xludf.DUMMYFUNCTION("""COMPUTED_VALUE"""),-179928.0)</f>
        <v>-179928</v>
      </c>
      <c r="AD10" s="8">
        <f>IFERROR(__xludf.DUMMYFUNCTION("""COMPUTED_VALUE"""),-184416.0)</f>
        <v>-184416</v>
      </c>
      <c r="AE10" s="8">
        <f>IFERROR(__xludf.DUMMYFUNCTION("""COMPUTED_VALUE"""),-188904.0)</f>
        <v>-188904</v>
      </c>
      <c r="AF10" s="8">
        <f>IFERROR(__xludf.DUMMYFUNCTION("""COMPUTED_VALUE"""),-193392.0)</f>
        <v>-193392</v>
      </c>
      <c r="AG10" s="8">
        <f>IFERROR(__xludf.DUMMYFUNCTION("""COMPUTED_VALUE"""),-197472.0)</f>
        <v>-197472</v>
      </c>
      <c r="AH10" s="8">
        <f>IFERROR(__xludf.DUMMYFUNCTION("""COMPUTED_VALUE"""),-201552.0)</f>
        <v>-201552</v>
      </c>
      <c r="AI10" s="8">
        <f>IFERROR(__xludf.DUMMYFUNCTION("""COMPUTED_VALUE"""),-205632.0)</f>
        <v>-205632</v>
      </c>
      <c r="AJ10" s="8">
        <f>IFERROR(__xludf.DUMMYFUNCTION("""COMPUTED_VALUE"""),-2176272.0)</f>
        <v>-2176272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>
      <c r="A11" s="5"/>
      <c r="B11" s="5" t="str">
        <f>IFERROR(__xludf.DUMMYFUNCTION("""COMPUTED_VALUE"""),"子項目加總")</f>
        <v>子項目加總</v>
      </c>
      <c r="C11" s="5" t="str">
        <f>IFERROR(__xludf.DUMMYFUNCTION("""COMPUTED_VALUE"""),"Cost-Maintenance")</f>
        <v>Cost-Maintenance</v>
      </c>
      <c r="D11" s="5"/>
      <c r="E11" s="5"/>
      <c r="F11" s="6" t="s">
        <v>6</v>
      </c>
      <c r="G11" s="10" t="s">
        <v>8</v>
      </c>
      <c r="H11" s="7">
        <f>IFERROR(__xludf.DUMMYFUNCTION("""COMPUTED_VALUE"""),-269449.0)</f>
        <v>-269449</v>
      </c>
      <c r="I11" s="7">
        <f>IFERROR(__xludf.DUMMYFUNCTION("""COMPUTED_VALUE"""),-242953.0)</f>
        <v>-242953</v>
      </c>
      <c r="J11" s="7">
        <f>IFERROR(__xludf.DUMMYFUNCTION("""COMPUTED_VALUE"""),-296324.0)</f>
        <v>-296324</v>
      </c>
      <c r="K11" s="7">
        <f>IFERROR(__xludf.DUMMYFUNCTION("""COMPUTED_VALUE"""),-286727.0)</f>
        <v>-286727</v>
      </c>
      <c r="L11" s="7">
        <f>IFERROR(__xludf.DUMMYFUNCTION("""COMPUTED_VALUE"""),-245893.0)</f>
        <v>-245893</v>
      </c>
      <c r="M11" s="7">
        <f>IFERROR(__xludf.DUMMYFUNCTION("""COMPUTED_VALUE"""),-286172.0)</f>
        <v>-286172</v>
      </c>
      <c r="N11" s="7">
        <f>IFERROR(__xludf.DUMMYFUNCTION("""COMPUTED_VALUE"""),-1627518.0)</f>
        <v>-1627518</v>
      </c>
      <c r="O11" s="7"/>
      <c r="P11" s="7">
        <f>IFERROR(__xludf.DUMMYFUNCTION("""COMPUTED_VALUE"""),-340430.0)</f>
        <v>-340430</v>
      </c>
      <c r="Q11" s="8">
        <f>IFERROR(__xludf.DUMMYFUNCTION("""COMPUTED_VALUE"""),-202211.0)</f>
        <v>-202211</v>
      </c>
      <c r="R11" s="8">
        <f>IFERROR(__xludf.DUMMYFUNCTION("""COMPUTED_VALUE"""),-255394.0)</f>
        <v>-255394</v>
      </c>
      <c r="S11" s="8">
        <f>IFERROR(__xludf.DUMMYFUNCTION("""COMPUTED_VALUE"""),-298195.0)</f>
        <v>-298195</v>
      </c>
      <c r="T11" s="8">
        <f>IFERROR(__xludf.DUMMYFUNCTION("""COMPUTED_VALUE"""),-305227.0)</f>
        <v>-305227</v>
      </c>
      <c r="U11" s="8">
        <f>IFERROR(__xludf.DUMMYFUNCTION("""COMPUTED_VALUE"""),-340430.0)</f>
        <v>-340430</v>
      </c>
      <c r="V11" s="8">
        <f>IFERROR(__xludf.DUMMYFUNCTION("""COMPUTED_VALUE"""),-3369405.0)</f>
        <v>-3369405</v>
      </c>
      <c r="W11" s="8"/>
      <c r="X11" s="8">
        <f>IFERROR(__xludf.DUMMYFUNCTION("""COMPUTED_VALUE"""),-386580.0)</f>
        <v>-386580</v>
      </c>
      <c r="Y11" s="8">
        <f>IFERROR(__xludf.DUMMYFUNCTION("""COMPUTED_VALUE"""),-393176.0)</f>
        <v>-393176</v>
      </c>
      <c r="Z11" s="8">
        <f>IFERROR(__xludf.DUMMYFUNCTION("""COMPUTED_VALUE"""),-399330.0)</f>
        <v>-399330</v>
      </c>
      <c r="AA11" s="8">
        <f>IFERROR(__xludf.DUMMYFUNCTION("""COMPUTED_VALUE"""),-404073.0)</f>
        <v>-404073</v>
      </c>
      <c r="AB11" s="8">
        <f>IFERROR(__xludf.DUMMYFUNCTION("""COMPUTED_VALUE"""),-408408.0)</f>
        <v>-408408</v>
      </c>
      <c r="AC11" s="8">
        <f>IFERROR(__xludf.DUMMYFUNCTION("""COMPUTED_VALUE"""),-412335.0)</f>
        <v>-412335</v>
      </c>
      <c r="AD11" s="8">
        <f>IFERROR(__xludf.DUMMYFUNCTION("""COMPUTED_VALUE"""),-414936.0)</f>
        <v>-414936</v>
      </c>
      <c r="AE11" s="8">
        <f>IFERROR(__xludf.DUMMYFUNCTION("""COMPUTED_VALUE"""),-417163.0)</f>
        <v>-417163</v>
      </c>
      <c r="AF11" s="8">
        <f>IFERROR(__xludf.DUMMYFUNCTION("""COMPUTED_VALUE"""),-419016.0)</f>
        <v>-419016</v>
      </c>
      <c r="AG11" s="8">
        <f>IFERROR(__xludf.DUMMYFUNCTION("""COMPUTED_VALUE"""),-419628.0)</f>
        <v>-419628</v>
      </c>
      <c r="AH11" s="8">
        <f>IFERROR(__xludf.DUMMYFUNCTION("""COMPUTED_VALUE"""),-419900.0)</f>
        <v>-419900</v>
      </c>
      <c r="AI11" s="8">
        <f>IFERROR(__xludf.DUMMYFUNCTION("""COMPUTED_VALUE"""),-419832.0)</f>
        <v>-419832</v>
      </c>
      <c r="AJ11" s="8">
        <f>IFERROR(__xludf.DUMMYFUNCTION("""COMPUTED_VALUE"""),-4914377.0)</f>
        <v>-4914377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>
      <c r="A12" s="5"/>
      <c r="B12" s="5"/>
      <c r="C12" s="5" t="str">
        <f>IFERROR(__xludf.DUMMYFUNCTION("""COMPUTED_VALUE"""),"Cost-Maintenance-CVM")</f>
        <v>Cost-Maintenance-CVM</v>
      </c>
      <c r="D12" s="9" t="str">
        <f>IFERROR(__xludf.DUMMYFUNCTION("""COMPUTED_VALUE"""),"客戶價值中心 - 客服")</f>
        <v>客戶價值中心 - 客服</v>
      </c>
      <c r="E12" s="9" t="str">
        <f>IFERROR(__xludf.DUMMYFUNCTION("""COMPUTED_VALUE"""),"客服團隊，經常性營收 x 費用率")</f>
        <v>客服團隊，經常性營收 x 費用率</v>
      </c>
      <c r="F12" s="10" t="s">
        <v>6</v>
      </c>
      <c r="G12" s="10" t="s">
        <v>8</v>
      </c>
      <c r="H12" s="8">
        <f>IFERROR(__xludf.DUMMYFUNCTION("""COMPUTED_VALUE"""),-269449.0)</f>
        <v>-269449</v>
      </c>
      <c r="I12" s="8">
        <f>IFERROR(__xludf.DUMMYFUNCTION("""COMPUTED_VALUE"""),-242953.0)</f>
        <v>-242953</v>
      </c>
      <c r="J12" s="8">
        <f>IFERROR(__xludf.DUMMYFUNCTION("""COMPUTED_VALUE"""),-296324.0)</f>
        <v>-296324</v>
      </c>
      <c r="K12" s="8">
        <f>IFERROR(__xludf.DUMMYFUNCTION("""COMPUTED_VALUE"""),-286727.0)</f>
        <v>-286727</v>
      </c>
      <c r="L12" s="8">
        <f>IFERROR(__xludf.DUMMYFUNCTION("""COMPUTED_VALUE"""),-245893.0)</f>
        <v>-245893</v>
      </c>
      <c r="M12" s="8">
        <f>IFERROR(__xludf.DUMMYFUNCTION("""COMPUTED_VALUE"""),-286172.0)</f>
        <v>-286172</v>
      </c>
      <c r="N12" s="8">
        <f>IFERROR(__xludf.DUMMYFUNCTION("""COMPUTED_VALUE"""),-1627518.0)</f>
        <v>-1627518</v>
      </c>
      <c r="O12" s="8"/>
      <c r="P12" s="7">
        <f>IFERROR(__xludf.DUMMYFUNCTION("""COMPUTED_VALUE"""),-340430.0)</f>
        <v>-340430</v>
      </c>
      <c r="Q12" s="7">
        <f>IFERROR(__xludf.DUMMYFUNCTION("""COMPUTED_VALUE"""),-202211.0)</f>
        <v>-202211</v>
      </c>
      <c r="R12" s="7">
        <f>IFERROR(__xludf.DUMMYFUNCTION("""COMPUTED_VALUE"""),-255394.0)</f>
        <v>-255394</v>
      </c>
      <c r="S12" s="7">
        <f>IFERROR(__xludf.DUMMYFUNCTION("""COMPUTED_VALUE"""),-298195.0)</f>
        <v>-298195</v>
      </c>
      <c r="T12" s="7">
        <f>IFERROR(__xludf.DUMMYFUNCTION("""COMPUTED_VALUE"""),-305227.0)</f>
        <v>-305227</v>
      </c>
      <c r="U12" s="7">
        <f>IFERROR(__xludf.DUMMYFUNCTION("""COMPUTED_VALUE"""),-340430.0)</f>
        <v>-340430</v>
      </c>
      <c r="V12" s="7">
        <f>IFERROR(__xludf.DUMMYFUNCTION("""COMPUTED_VALUE"""),-3369405.0)</f>
        <v>-3369405</v>
      </c>
      <c r="W12" s="7"/>
      <c r="X12" s="7">
        <f>IFERROR(__xludf.DUMMYFUNCTION("""COMPUTED_VALUE"""),-386580.0)</f>
        <v>-386580</v>
      </c>
      <c r="Y12" s="7">
        <f>IFERROR(__xludf.DUMMYFUNCTION("""COMPUTED_VALUE"""),-393176.0)</f>
        <v>-393176</v>
      </c>
      <c r="Z12" s="7">
        <f>IFERROR(__xludf.DUMMYFUNCTION("""COMPUTED_VALUE"""),-399330.0)</f>
        <v>-399330</v>
      </c>
      <c r="AA12" s="7">
        <f>IFERROR(__xludf.DUMMYFUNCTION("""COMPUTED_VALUE"""),-404073.0)</f>
        <v>-404073</v>
      </c>
      <c r="AB12" s="7">
        <f>IFERROR(__xludf.DUMMYFUNCTION("""COMPUTED_VALUE"""),-408408.0)</f>
        <v>-408408</v>
      </c>
      <c r="AC12" s="7">
        <f>IFERROR(__xludf.DUMMYFUNCTION("""COMPUTED_VALUE"""),-412335.0)</f>
        <v>-412335</v>
      </c>
      <c r="AD12" s="7">
        <f>IFERROR(__xludf.DUMMYFUNCTION("""COMPUTED_VALUE"""),-414936.0)</f>
        <v>-414936</v>
      </c>
      <c r="AE12" s="7">
        <f>IFERROR(__xludf.DUMMYFUNCTION("""COMPUTED_VALUE"""),-417163.0)</f>
        <v>-417163</v>
      </c>
      <c r="AF12" s="7">
        <f>IFERROR(__xludf.DUMMYFUNCTION("""COMPUTED_VALUE"""),-419016.0)</f>
        <v>-419016</v>
      </c>
      <c r="AG12" s="7">
        <f>IFERROR(__xludf.DUMMYFUNCTION("""COMPUTED_VALUE"""),-419628.0)</f>
        <v>-419628</v>
      </c>
      <c r="AH12" s="7">
        <f>IFERROR(__xludf.DUMMYFUNCTION("""COMPUTED_VALUE"""),-419900.0)</f>
        <v>-419900</v>
      </c>
      <c r="AI12" s="7">
        <f>IFERROR(__xludf.DUMMYFUNCTION("""COMPUTED_VALUE"""),-419832.0)</f>
        <v>-419832</v>
      </c>
      <c r="AJ12" s="7">
        <f>IFERROR(__xludf.DUMMYFUNCTION("""COMPUTED_VALUE"""),-4914377.0)</f>
        <v>-4914377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>
      <c r="A13" s="5"/>
      <c r="B13" s="5"/>
      <c r="C13" s="5" t="str">
        <f>IFERROR(__xludf.DUMMYFUNCTION("""COMPUTED_VALUE"""),"Cost-Maintenance-RD")</f>
        <v>Cost-Maintenance-RD</v>
      </c>
      <c r="D13" s="5" t="str">
        <f>IFERROR(__xludf.DUMMYFUNCTION("""COMPUTED_VALUE"""),"研發中心 - 產品營運")</f>
        <v>研發中心 - 產品營運</v>
      </c>
      <c r="E13" s="5" t="str">
        <f>IFERROR(__xludf.DUMMYFUNCTION("""COMPUTED_VALUE"""),"產品營運團隊，經常性營收 x 費用率")</f>
        <v>產品營運團隊，經常性營收 x 費用率</v>
      </c>
      <c r="F13" s="6" t="s">
        <v>6</v>
      </c>
      <c r="G13" s="10" t="s">
        <v>8</v>
      </c>
      <c r="H13" s="7">
        <f>IFERROR(__xludf.DUMMYFUNCTION("""COMPUTED_VALUE"""),0.0)</f>
        <v>0</v>
      </c>
      <c r="I13" s="7">
        <f>IFERROR(__xludf.DUMMYFUNCTION("""COMPUTED_VALUE"""),0.0)</f>
        <v>0</v>
      </c>
      <c r="J13" s="7">
        <f>IFERROR(__xludf.DUMMYFUNCTION("""COMPUTED_VALUE"""),0.0)</f>
        <v>0</v>
      </c>
      <c r="K13" s="7">
        <f>IFERROR(__xludf.DUMMYFUNCTION("""COMPUTED_VALUE"""),0.0)</f>
        <v>0</v>
      </c>
      <c r="L13" s="7">
        <f>IFERROR(__xludf.DUMMYFUNCTION("""COMPUTED_VALUE"""),0.0)</f>
        <v>0</v>
      </c>
      <c r="M13" s="7">
        <f>IFERROR(__xludf.DUMMYFUNCTION("""COMPUTED_VALUE"""),0.0)</f>
        <v>0</v>
      </c>
      <c r="N13" s="7">
        <f>IFERROR(__xludf.DUMMYFUNCTION("""COMPUTED_VALUE"""),0.0)</f>
        <v>0</v>
      </c>
      <c r="O13" s="7"/>
      <c r="P13" s="7">
        <f>IFERROR(__xludf.DUMMYFUNCTION("""COMPUTED_VALUE"""),0.0)</f>
        <v>0</v>
      </c>
      <c r="Q13" s="8">
        <f>IFERROR(__xludf.DUMMYFUNCTION("""COMPUTED_VALUE"""),0.0)</f>
        <v>0</v>
      </c>
      <c r="R13" s="8">
        <f>IFERROR(__xludf.DUMMYFUNCTION("""COMPUTED_VALUE"""),0.0)</f>
        <v>0</v>
      </c>
      <c r="S13" s="8">
        <f>IFERROR(__xludf.DUMMYFUNCTION("""COMPUTED_VALUE"""),0.0)</f>
        <v>0</v>
      </c>
      <c r="T13" s="8">
        <f>IFERROR(__xludf.DUMMYFUNCTION("""COMPUTED_VALUE"""),0.0)</f>
        <v>0</v>
      </c>
      <c r="U13" s="8">
        <f>IFERROR(__xludf.DUMMYFUNCTION("""COMPUTED_VALUE"""),0.0)</f>
        <v>0</v>
      </c>
      <c r="V13" s="8">
        <f>IFERROR(__xludf.DUMMYFUNCTION("""COMPUTED_VALUE"""),0.0)</f>
        <v>0</v>
      </c>
      <c r="W13" s="8"/>
      <c r="X13" s="8">
        <f>IFERROR(__xludf.DUMMYFUNCTION("""COMPUTED_VALUE"""),0.0)</f>
        <v>0</v>
      </c>
      <c r="Y13" s="8">
        <f>IFERROR(__xludf.DUMMYFUNCTION("""COMPUTED_VALUE"""),0.0)</f>
        <v>0</v>
      </c>
      <c r="Z13" s="8">
        <f>IFERROR(__xludf.DUMMYFUNCTION("""COMPUTED_VALUE"""),0.0)</f>
        <v>0</v>
      </c>
      <c r="AA13" s="8">
        <f>IFERROR(__xludf.DUMMYFUNCTION("""COMPUTED_VALUE"""),0.0)</f>
        <v>0</v>
      </c>
      <c r="AB13" s="8">
        <f>IFERROR(__xludf.DUMMYFUNCTION("""COMPUTED_VALUE"""),0.0)</f>
        <v>0</v>
      </c>
      <c r="AC13" s="8">
        <f>IFERROR(__xludf.DUMMYFUNCTION("""COMPUTED_VALUE"""),0.0)</f>
        <v>0</v>
      </c>
      <c r="AD13" s="8">
        <f>IFERROR(__xludf.DUMMYFUNCTION("""COMPUTED_VALUE"""),0.0)</f>
        <v>0</v>
      </c>
      <c r="AE13" s="8">
        <f>IFERROR(__xludf.DUMMYFUNCTION("""COMPUTED_VALUE"""),0.0)</f>
        <v>0</v>
      </c>
      <c r="AF13" s="8">
        <f>IFERROR(__xludf.DUMMYFUNCTION("""COMPUTED_VALUE"""),0.0)</f>
        <v>0</v>
      </c>
      <c r="AG13" s="8">
        <f>IFERROR(__xludf.DUMMYFUNCTION("""COMPUTED_VALUE"""),0.0)</f>
        <v>0</v>
      </c>
      <c r="AH13" s="8">
        <f>IFERROR(__xludf.DUMMYFUNCTION("""COMPUTED_VALUE"""),0.0)</f>
        <v>0</v>
      </c>
      <c r="AI13" s="8">
        <f>IFERROR(__xludf.DUMMYFUNCTION("""COMPUTED_VALUE"""),0.0)</f>
        <v>0</v>
      </c>
      <c r="AJ13" s="8">
        <f>IFERROR(__xludf.DUMMYFUNCTION("""COMPUTED_VALUE"""),0.0)</f>
        <v>0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>
      <c r="A14" s="5"/>
      <c r="B14" s="5"/>
      <c r="C14" s="5" t="str">
        <f>IFERROR(__xludf.DUMMYFUNCTION("""COMPUTED_VALUE"""),"Cost-Maintenance-MKT")</f>
        <v>Cost-Maintenance-MKT</v>
      </c>
      <c r="D14" s="5" t="str">
        <f>IFERROR(__xludf.DUMMYFUNCTION("""COMPUTED_VALUE"""),"行銷營運中心 - 銷售營運部導入教練團隊")</f>
        <v>行銷營運中心 - 銷售營運部導入教練團隊</v>
      </c>
      <c r="E14" s="5" t="str">
        <f>IFERROR(__xludf.DUMMYFUNCTION("""COMPUTED_VALUE"""),"導入團隊，經常性營收 x 費用率")</f>
        <v>導入團隊，經常性營收 x 費用率</v>
      </c>
      <c r="F14" s="10" t="s">
        <v>4</v>
      </c>
      <c r="G14" s="6" t="s">
        <v>5</v>
      </c>
      <c r="H14" s="7">
        <f>IFERROR(__xludf.DUMMYFUNCTION("""COMPUTED_VALUE"""),0.0)</f>
        <v>0</v>
      </c>
      <c r="I14" s="7">
        <f>IFERROR(__xludf.DUMMYFUNCTION("""COMPUTED_VALUE"""),0.0)</f>
        <v>0</v>
      </c>
      <c r="J14" s="7">
        <f>IFERROR(__xludf.DUMMYFUNCTION("""COMPUTED_VALUE"""),0.0)</f>
        <v>0</v>
      </c>
      <c r="K14" s="7">
        <f>IFERROR(__xludf.DUMMYFUNCTION("""COMPUTED_VALUE"""),0.0)</f>
        <v>0</v>
      </c>
      <c r="L14" s="7">
        <f>IFERROR(__xludf.DUMMYFUNCTION("""COMPUTED_VALUE"""),0.0)</f>
        <v>0</v>
      </c>
      <c r="M14" s="7">
        <f>IFERROR(__xludf.DUMMYFUNCTION("""COMPUTED_VALUE"""),0.0)</f>
        <v>0</v>
      </c>
      <c r="N14" s="7">
        <f>IFERROR(__xludf.DUMMYFUNCTION("""COMPUTED_VALUE"""),0.0)</f>
        <v>0</v>
      </c>
      <c r="O14" s="7"/>
      <c r="P14" s="7">
        <f>IFERROR(__xludf.DUMMYFUNCTION("""COMPUTED_VALUE"""),0.0)</f>
        <v>0</v>
      </c>
      <c r="Q14" s="8">
        <f>IFERROR(__xludf.DUMMYFUNCTION("""COMPUTED_VALUE"""),0.0)</f>
        <v>0</v>
      </c>
      <c r="R14" s="8">
        <f>IFERROR(__xludf.DUMMYFUNCTION("""COMPUTED_VALUE"""),0.0)</f>
        <v>0</v>
      </c>
      <c r="S14" s="8">
        <f>IFERROR(__xludf.DUMMYFUNCTION("""COMPUTED_VALUE"""),0.0)</f>
        <v>0</v>
      </c>
      <c r="T14" s="8">
        <f>IFERROR(__xludf.DUMMYFUNCTION("""COMPUTED_VALUE"""),0.0)</f>
        <v>0</v>
      </c>
      <c r="U14" s="8">
        <f>IFERROR(__xludf.DUMMYFUNCTION("""COMPUTED_VALUE"""),0.0)</f>
        <v>0</v>
      </c>
      <c r="V14" s="8">
        <f>IFERROR(__xludf.DUMMYFUNCTION("""COMPUTED_VALUE"""),0.0)</f>
        <v>0</v>
      </c>
      <c r="W14" s="8"/>
      <c r="X14" s="8">
        <f>IFERROR(__xludf.DUMMYFUNCTION("""COMPUTED_VALUE"""),0.0)</f>
        <v>0</v>
      </c>
      <c r="Y14" s="8">
        <f>IFERROR(__xludf.DUMMYFUNCTION("""COMPUTED_VALUE"""),0.0)</f>
        <v>0</v>
      </c>
      <c r="Z14" s="8">
        <f>IFERROR(__xludf.DUMMYFUNCTION("""COMPUTED_VALUE"""),0.0)</f>
        <v>0</v>
      </c>
      <c r="AA14" s="8">
        <f>IFERROR(__xludf.DUMMYFUNCTION("""COMPUTED_VALUE"""),0.0)</f>
        <v>0</v>
      </c>
      <c r="AB14" s="8">
        <f>IFERROR(__xludf.DUMMYFUNCTION("""COMPUTED_VALUE"""),0.0)</f>
        <v>0</v>
      </c>
      <c r="AC14" s="8">
        <f>IFERROR(__xludf.DUMMYFUNCTION("""COMPUTED_VALUE"""),0.0)</f>
        <v>0</v>
      </c>
      <c r="AD14" s="8">
        <f>IFERROR(__xludf.DUMMYFUNCTION("""COMPUTED_VALUE"""),0.0)</f>
        <v>0</v>
      </c>
      <c r="AE14" s="8">
        <f>IFERROR(__xludf.DUMMYFUNCTION("""COMPUTED_VALUE"""),0.0)</f>
        <v>0</v>
      </c>
      <c r="AF14" s="8">
        <f>IFERROR(__xludf.DUMMYFUNCTION("""COMPUTED_VALUE"""),0.0)</f>
        <v>0</v>
      </c>
      <c r="AG14" s="8">
        <f>IFERROR(__xludf.DUMMYFUNCTION("""COMPUTED_VALUE"""),0.0)</f>
        <v>0</v>
      </c>
      <c r="AH14" s="8">
        <f>IFERROR(__xludf.DUMMYFUNCTION("""COMPUTED_VALUE"""),0.0)</f>
        <v>0</v>
      </c>
      <c r="AI14" s="8">
        <f>IFERROR(__xludf.DUMMYFUNCTION("""COMPUTED_VALUE"""),0.0)</f>
        <v>0</v>
      </c>
      <c r="AJ14" s="8">
        <f>IFERROR(__xludf.DUMMYFUNCTION("""COMPUTED_VALUE"""),0.0)</f>
        <v>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>
      <c r="A15" s="5"/>
      <c r="B15" s="5" t="str">
        <f>IFERROR(__xludf.DUMMYFUNCTION("""COMPUTED_VALUE"""),"子項目加總")</f>
        <v>子項目加總</v>
      </c>
      <c r="C15" s="5" t="str">
        <f>IFERROR(__xludf.DUMMYFUNCTION("""COMPUTED_VALUE"""),"Cost-Biz Infra")</f>
        <v>Cost-Biz Infra</v>
      </c>
      <c r="D15" s="9"/>
      <c r="E15" s="9"/>
      <c r="F15" s="10" t="s">
        <v>6</v>
      </c>
      <c r="G15" s="10" t="s">
        <v>5</v>
      </c>
      <c r="H15" s="8">
        <f>IFERROR(__xludf.DUMMYFUNCTION("""COMPUTED_VALUE"""),0.0)</f>
        <v>0</v>
      </c>
      <c r="I15" s="8">
        <f>IFERROR(__xludf.DUMMYFUNCTION("""COMPUTED_VALUE"""),0.0)</f>
        <v>0</v>
      </c>
      <c r="J15" s="8">
        <f>IFERROR(__xludf.DUMMYFUNCTION("""COMPUTED_VALUE"""),0.0)</f>
        <v>0</v>
      </c>
      <c r="K15" s="8">
        <f>IFERROR(__xludf.DUMMYFUNCTION("""COMPUTED_VALUE"""),0.0)</f>
        <v>0</v>
      </c>
      <c r="L15" s="8">
        <f>IFERROR(__xludf.DUMMYFUNCTION("""COMPUTED_VALUE"""),0.0)</f>
        <v>0</v>
      </c>
      <c r="M15" s="8">
        <f>IFERROR(__xludf.DUMMYFUNCTION("""COMPUTED_VALUE"""),0.0)</f>
        <v>0</v>
      </c>
      <c r="N15" s="8">
        <f>IFERROR(__xludf.DUMMYFUNCTION("""COMPUTED_VALUE"""),0.0)</f>
        <v>0</v>
      </c>
      <c r="O15" s="8"/>
      <c r="P15" s="7">
        <f>IFERROR(__xludf.DUMMYFUNCTION("""COMPUTED_VALUE"""),-36052.0)</f>
        <v>-36052</v>
      </c>
      <c r="Q15" s="7">
        <f>IFERROR(__xludf.DUMMYFUNCTION("""COMPUTED_VALUE"""),-15112.0)</f>
        <v>-15112</v>
      </c>
      <c r="R15" s="7">
        <f>IFERROR(__xludf.DUMMYFUNCTION("""COMPUTED_VALUE"""),-15112.0)</f>
        <v>-15112</v>
      </c>
      <c r="S15" s="7">
        <f>IFERROR(__xludf.DUMMYFUNCTION("""COMPUTED_VALUE"""),-15112.0)</f>
        <v>-15112</v>
      </c>
      <c r="T15" s="7">
        <f>IFERROR(__xludf.DUMMYFUNCTION("""COMPUTED_VALUE"""),-15112.0)</f>
        <v>-15112</v>
      </c>
      <c r="U15" s="7">
        <f>IFERROR(__xludf.DUMMYFUNCTION("""COMPUTED_VALUE"""),-14222.0)</f>
        <v>-14222</v>
      </c>
      <c r="V15" s="7">
        <f>IFERROR(__xludf.DUMMYFUNCTION("""COMPUTED_VALUE"""),-110722.0)</f>
        <v>-110722</v>
      </c>
      <c r="W15" s="7"/>
      <c r="X15" s="7">
        <f>IFERROR(__xludf.DUMMYFUNCTION("""COMPUTED_VALUE"""),-16107.5)</f>
        <v>-16107.5</v>
      </c>
      <c r="Y15" s="7">
        <f>IFERROR(__xludf.DUMMYFUNCTION("""COMPUTED_VALUE"""),-16660.0)</f>
        <v>-16660</v>
      </c>
      <c r="Z15" s="7">
        <f>IFERROR(__xludf.DUMMYFUNCTION("""COMPUTED_VALUE"""),-17212.5)</f>
        <v>-17212.5</v>
      </c>
      <c r="AA15" s="7">
        <f>IFERROR(__xludf.DUMMYFUNCTION("""COMPUTED_VALUE"""),-17722.5)</f>
        <v>-17722.5</v>
      </c>
      <c r="AB15" s="7">
        <f>IFERROR(__xludf.DUMMYFUNCTION("""COMPUTED_VALUE"""),-18232.5)</f>
        <v>-18232.5</v>
      </c>
      <c r="AC15" s="7">
        <f>IFERROR(__xludf.DUMMYFUNCTION("""COMPUTED_VALUE"""),-18742.5)</f>
        <v>-18742.5</v>
      </c>
      <c r="AD15" s="7">
        <f>IFERROR(__xludf.DUMMYFUNCTION("""COMPUTED_VALUE"""),-19210.0)</f>
        <v>-19210</v>
      </c>
      <c r="AE15" s="7">
        <f>IFERROR(__xludf.DUMMYFUNCTION("""COMPUTED_VALUE"""),-19677.5)</f>
        <v>-19677.5</v>
      </c>
      <c r="AF15" s="7">
        <f>IFERROR(__xludf.DUMMYFUNCTION("""COMPUTED_VALUE"""),-20145.0)</f>
        <v>-20145</v>
      </c>
      <c r="AG15" s="7">
        <f>IFERROR(__xludf.DUMMYFUNCTION("""COMPUTED_VALUE"""),-20570.0)</f>
        <v>-20570</v>
      </c>
      <c r="AH15" s="7">
        <f>IFERROR(__xludf.DUMMYFUNCTION("""COMPUTED_VALUE"""),-20995.0)</f>
        <v>-20995</v>
      </c>
      <c r="AI15" s="7">
        <f>IFERROR(__xludf.DUMMYFUNCTION("""COMPUTED_VALUE"""),-21420.0)</f>
        <v>-21420</v>
      </c>
      <c r="AJ15" s="7">
        <f>IFERROR(__xludf.DUMMYFUNCTION("""COMPUTED_VALUE"""),-226695.0)</f>
        <v>-226695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>
      <c r="A16" s="5"/>
      <c r="B16" s="5"/>
      <c r="C16" s="5" t="str">
        <f>IFERROR(__xludf.DUMMYFUNCTION("""COMPUTED_VALUE"""),"Cost-Biz Infra")</f>
        <v>Cost-Biz Infra</v>
      </c>
      <c r="D16" s="5" t="str">
        <f>IFERROR(__xludf.DUMMYFUNCTION("""COMPUTED_VALUE"""),"管理中心 - 資訊軟體攤分")</f>
        <v>管理中心 - 資訊軟體攤分</v>
      </c>
      <c r="E16" s="5" t="str">
        <f>IFERROR(__xludf.DUMMYFUNCTION("""COMPUTED_VALUE"""),"公司共用軟體，經常性營收 x 費用率")</f>
        <v>公司共用軟體，經常性營收 x 費用率</v>
      </c>
      <c r="F16" s="6" t="s">
        <v>6</v>
      </c>
      <c r="G16" s="10" t="s">
        <v>5</v>
      </c>
      <c r="H16" s="7">
        <f>IFERROR(__xludf.DUMMYFUNCTION("""COMPUTED_VALUE"""),0.0)</f>
        <v>0</v>
      </c>
      <c r="I16" s="7">
        <f>IFERROR(__xludf.DUMMYFUNCTION("""COMPUTED_VALUE"""),0.0)</f>
        <v>0</v>
      </c>
      <c r="J16" s="7">
        <f>IFERROR(__xludf.DUMMYFUNCTION("""COMPUTED_VALUE"""),0.0)</f>
        <v>0</v>
      </c>
      <c r="K16" s="7">
        <f>IFERROR(__xludf.DUMMYFUNCTION("""COMPUTED_VALUE"""),0.0)</f>
        <v>0</v>
      </c>
      <c r="L16" s="7">
        <f>IFERROR(__xludf.DUMMYFUNCTION("""COMPUTED_VALUE"""),0.0)</f>
        <v>0</v>
      </c>
      <c r="M16" s="7">
        <f>IFERROR(__xludf.DUMMYFUNCTION("""COMPUTED_VALUE"""),0.0)</f>
        <v>0</v>
      </c>
      <c r="N16" s="7">
        <f>IFERROR(__xludf.DUMMYFUNCTION("""COMPUTED_VALUE"""),0.0)</f>
        <v>0</v>
      </c>
      <c r="O16" s="7"/>
      <c r="P16" s="7">
        <f>IFERROR(__xludf.DUMMYFUNCTION("""COMPUTED_VALUE"""),-36052.0)</f>
        <v>-36052</v>
      </c>
      <c r="Q16" s="8">
        <f>IFERROR(__xludf.DUMMYFUNCTION("""COMPUTED_VALUE"""),-15112.0)</f>
        <v>-15112</v>
      </c>
      <c r="R16" s="8">
        <f>IFERROR(__xludf.DUMMYFUNCTION("""COMPUTED_VALUE"""),-15112.0)</f>
        <v>-15112</v>
      </c>
      <c r="S16" s="8">
        <f>IFERROR(__xludf.DUMMYFUNCTION("""COMPUTED_VALUE"""),-15112.0)</f>
        <v>-15112</v>
      </c>
      <c r="T16" s="8">
        <f>IFERROR(__xludf.DUMMYFUNCTION("""COMPUTED_VALUE"""),-15112.0)</f>
        <v>-15112</v>
      </c>
      <c r="U16" s="8">
        <f>IFERROR(__xludf.DUMMYFUNCTION("""COMPUTED_VALUE"""),-14222.0)</f>
        <v>-14222</v>
      </c>
      <c r="V16" s="8">
        <f>IFERROR(__xludf.DUMMYFUNCTION("""COMPUTED_VALUE"""),-110722.0)</f>
        <v>-110722</v>
      </c>
      <c r="W16" s="8"/>
      <c r="X16" s="8">
        <f>IFERROR(__xludf.DUMMYFUNCTION("""COMPUTED_VALUE"""),-16107.5)</f>
        <v>-16107.5</v>
      </c>
      <c r="Y16" s="8">
        <f>IFERROR(__xludf.DUMMYFUNCTION("""COMPUTED_VALUE"""),-16660.0)</f>
        <v>-16660</v>
      </c>
      <c r="Z16" s="8">
        <f>IFERROR(__xludf.DUMMYFUNCTION("""COMPUTED_VALUE"""),-17212.5)</f>
        <v>-17212.5</v>
      </c>
      <c r="AA16" s="8">
        <f>IFERROR(__xludf.DUMMYFUNCTION("""COMPUTED_VALUE"""),-17722.5)</f>
        <v>-17722.5</v>
      </c>
      <c r="AB16" s="8">
        <f>IFERROR(__xludf.DUMMYFUNCTION("""COMPUTED_VALUE"""),-18232.5)</f>
        <v>-18232.5</v>
      </c>
      <c r="AC16" s="8">
        <f>IFERROR(__xludf.DUMMYFUNCTION("""COMPUTED_VALUE"""),-18742.5)</f>
        <v>-18742.5</v>
      </c>
      <c r="AD16" s="8">
        <f>IFERROR(__xludf.DUMMYFUNCTION("""COMPUTED_VALUE"""),-19210.0)</f>
        <v>-19210</v>
      </c>
      <c r="AE16" s="8">
        <f>IFERROR(__xludf.DUMMYFUNCTION("""COMPUTED_VALUE"""),-19677.5)</f>
        <v>-19677.5</v>
      </c>
      <c r="AF16" s="8">
        <f>IFERROR(__xludf.DUMMYFUNCTION("""COMPUTED_VALUE"""),-20145.0)</f>
        <v>-20145</v>
      </c>
      <c r="AG16" s="8">
        <f>IFERROR(__xludf.DUMMYFUNCTION("""COMPUTED_VALUE"""),-20570.0)</f>
        <v>-20570</v>
      </c>
      <c r="AH16" s="8">
        <f>IFERROR(__xludf.DUMMYFUNCTION("""COMPUTED_VALUE"""),-20995.0)</f>
        <v>-20995</v>
      </c>
      <c r="AI16" s="8">
        <f>IFERROR(__xludf.DUMMYFUNCTION("""COMPUTED_VALUE"""),-21420.0)</f>
        <v>-21420</v>
      </c>
      <c r="AJ16" s="8">
        <f>IFERROR(__xludf.DUMMYFUNCTION("""COMPUTED_VALUE"""),-226695.0)</f>
        <v>-226695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>
      <c r="A17" s="5" t="str">
        <f>IFERROR(__xludf.DUMMYFUNCTION("""COMPUTED_VALUE"""),"Recurring margin")</f>
        <v>Recurring margin</v>
      </c>
      <c r="B17" s="5" t="str">
        <f>IFERROR(__xludf.DUMMYFUNCTION("""COMPUTED_VALUE"""),"加總")</f>
        <v>加總</v>
      </c>
      <c r="C17" s="5" t="str">
        <f>IFERROR(__xludf.DUMMYFUNCTION("""COMPUTED_VALUE"""),"Gross Margin")</f>
        <v>Gross Margin</v>
      </c>
      <c r="D17" s="5"/>
      <c r="E17" s="5"/>
      <c r="F17" s="6" t="s">
        <v>2</v>
      </c>
      <c r="G17" s="6" t="s">
        <v>3</v>
      </c>
      <c r="H17" s="7">
        <f>IFERROR(__xludf.DUMMYFUNCTION("""COMPUTED_VALUE"""),1312828.0)</f>
        <v>1312828</v>
      </c>
      <c r="I17" s="7">
        <f>IFERROR(__xludf.DUMMYFUNCTION("""COMPUTED_VALUE"""),1401303.0)</f>
        <v>1401303</v>
      </c>
      <c r="J17" s="7">
        <f>IFERROR(__xludf.DUMMYFUNCTION("""COMPUTED_VALUE"""),1285010.0)</f>
        <v>1285010</v>
      </c>
      <c r="K17" s="7">
        <f>IFERROR(__xludf.DUMMYFUNCTION("""COMPUTED_VALUE"""),1295869.0)</f>
        <v>1295869</v>
      </c>
      <c r="L17" s="7">
        <f>IFERROR(__xludf.DUMMYFUNCTION("""COMPUTED_VALUE"""),1379005.0)</f>
        <v>1379005</v>
      </c>
      <c r="M17" s="7">
        <f>IFERROR(__xludf.DUMMYFUNCTION("""COMPUTED_VALUE"""),1380743.0)</f>
        <v>1380743</v>
      </c>
      <c r="N17" s="7">
        <f>IFERROR(__xludf.DUMMYFUNCTION("""COMPUTED_VALUE"""),8054758.0)</f>
        <v>8054758</v>
      </c>
      <c r="O17" s="7">
        <f>IFERROR(__xludf.DUMMYFUNCTION("""COMPUTED_VALUE"""),0.7917277640680637)</f>
        <v>0.7917277641</v>
      </c>
      <c r="P17" s="7">
        <f>IFERROR(__xludf.DUMMYFUNCTION("""COMPUTED_VALUE"""),1368934.0)</f>
        <v>1368934</v>
      </c>
      <c r="Q17" s="8">
        <f>IFERROR(__xludf.DUMMYFUNCTION("""COMPUTED_VALUE"""),1691756.0)</f>
        <v>1691756</v>
      </c>
      <c r="R17" s="8">
        <f>IFERROR(__xludf.DUMMYFUNCTION("""COMPUTED_VALUE"""),1869661.0)</f>
        <v>1869661</v>
      </c>
      <c r="S17" s="8">
        <f>IFERROR(__xludf.DUMMYFUNCTION("""COMPUTED_VALUE"""),2031909.0)</f>
        <v>2031909</v>
      </c>
      <c r="T17" s="8">
        <f>IFERROR(__xludf.DUMMYFUNCTION("""COMPUTED_VALUE"""),2261391.0)</f>
        <v>2261391</v>
      </c>
      <c r="U17" s="8">
        <f>IFERROR(__xludf.DUMMYFUNCTION("""COMPUTED_VALUE"""),2478240.0)</f>
        <v>2478240</v>
      </c>
      <c r="V17" s="8">
        <f>IFERROR(__xludf.DUMMYFUNCTION("""COMPUTED_VALUE"""),1.9756649E7)</f>
        <v>19756649</v>
      </c>
      <c r="W17" s="8">
        <f>IFERROR(__xludf.DUMMYFUNCTION("""COMPUTED_VALUE"""),0.8091084119692673)</f>
        <v>0.809108412</v>
      </c>
      <c r="X17" s="8">
        <f>IFERROR(__xludf.DUMMYFUNCTION("""COMPUTED_VALUE"""),2664180.5)</f>
        <v>2664180.5</v>
      </c>
      <c r="Y17" s="8">
        <f>IFERROR(__xludf.DUMMYFUNCTION("""COMPUTED_VALUE"""),2762228.0)</f>
        <v>2762228</v>
      </c>
      <c r="Z17" s="8">
        <f>IFERROR(__xludf.DUMMYFUNCTION("""COMPUTED_VALUE"""),2860717.5)</f>
        <v>2860717.5</v>
      </c>
      <c r="AA17" s="8">
        <f>IFERROR(__xludf.DUMMYFUNCTION("""COMPUTED_VALUE"""),2952568.5)</f>
        <v>2952568.5</v>
      </c>
      <c r="AB17" s="8">
        <f>IFERROR(__xludf.DUMMYFUNCTION("""COMPUTED_VALUE"""),3044827.5)</f>
        <v>3044827.5</v>
      </c>
      <c r="AC17" s="8">
        <f>IFERROR(__xludf.DUMMYFUNCTION("""COMPUTED_VALUE"""),3137494.5)</f>
        <v>3137494.5</v>
      </c>
      <c r="AD17" s="8">
        <f>IFERROR(__xludf.DUMMYFUNCTION("""COMPUTED_VALUE"""),3223438.0)</f>
        <v>3223438</v>
      </c>
      <c r="AE17" s="8">
        <f>IFERROR(__xludf.DUMMYFUNCTION("""COMPUTED_VALUE"""),3309755.5)</f>
        <v>3309755.5</v>
      </c>
      <c r="AF17" s="8">
        <f>IFERROR(__xludf.DUMMYFUNCTION("""COMPUTED_VALUE"""),3396447.0)</f>
        <v>3396447</v>
      </c>
      <c r="AG17" s="8">
        <f>IFERROR(__xludf.DUMMYFUNCTION("""COMPUTED_VALUE"""),3476330.0)</f>
        <v>3476330</v>
      </c>
      <c r="AH17" s="8">
        <f>IFERROR(__xludf.DUMMYFUNCTION("""COMPUTED_VALUE"""),3556553.0)</f>
        <v>3556553</v>
      </c>
      <c r="AI17" s="8">
        <f>IFERROR(__xludf.DUMMYFUNCTION("""COMPUTED_VALUE"""),3637116.0)</f>
        <v>3637116</v>
      </c>
      <c r="AJ17" s="8">
        <f>IFERROR(__xludf.DUMMYFUNCTION("""COMPUTED_VALUE"""),3.8021656E7)</f>
        <v>38021656</v>
      </c>
      <c r="AK17" s="8">
        <f>IFERROR(__xludf.DUMMYFUNCTION("""COMPUTED_VALUE"""),0.8386081739782527)</f>
        <v>0.838608174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>
      <c r="A18" s="5" t="str">
        <f>IFERROR(__xludf.DUMMYFUNCTION("""COMPUTED_VALUE"""),"Recurring margin%")</f>
        <v>Recurring margin%</v>
      </c>
      <c r="B18" s="5" t="str">
        <f>IFERROR(__xludf.DUMMYFUNCTION("""COMPUTED_VALUE"""),"加總")</f>
        <v>加總</v>
      </c>
      <c r="C18" s="5" t="str">
        <f>IFERROR(__xludf.DUMMYFUNCTION("""COMPUTED_VALUE"""),"Gross Margin %")</f>
        <v>Gross Margin %</v>
      </c>
      <c r="D18" s="9"/>
      <c r="E18" s="9"/>
      <c r="F18" s="6" t="s">
        <v>2</v>
      </c>
      <c r="G18" s="6" t="s">
        <v>3</v>
      </c>
      <c r="H18" s="8">
        <f>IFERROR(__xludf.DUMMYFUNCTION("""COMPUTED_VALUE"""),0.7853035090258927)</f>
        <v>0.785303509</v>
      </c>
      <c r="I18" s="8">
        <f>IFERROR(__xludf.DUMMYFUNCTION("""COMPUTED_VALUE"""),0.8129546862708242)</f>
        <v>0.8129546863</v>
      </c>
      <c r="J18" s="8">
        <f>IFERROR(__xludf.DUMMYFUNCTION("""COMPUTED_VALUE"""),0.7751713054929358)</f>
        <v>0.7751713055</v>
      </c>
      <c r="K18" s="8">
        <f>IFERROR(__xludf.DUMMYFUNCTION("""COMPUTED_VALUE"""),0.7834483434075468)</f>
        <v>0.7834483434</v>
      </c>
      <c r="L18" s="8">
        <f>IFERROR(__xludf.DUMMYFUNCTION("""COMPUTED_VALUE"""),0.7937797594378286)</f>
        <v>0.7937797594</v>
      </c>
      <c r="M18" s="8">
        <f>IFERROR(__xludf.DUMMYFUNCTION("""COMPUTED_VALUE"""),0.7985092105894742)</f>
        <v>0.7985092106</v>
      </c>
      <c r="N18" s="8"/>
      <c r="O18" s="8"/>
      <c r="P18" s="7">
        <f>IFERROR(__xludf.DUMMYFUNCTION("""COMPUTED_VALUE"""),0.7355308623534577)</f>
        <v>0.7355308624</v>
      </c>
      <c r="Q18" s="7">
        <f>IFERROR(__xludf.DUMMYFUNCTION("""COMPUTED_VALUE"""),0.8262137008137815)</f>
        <v>0.8262137008</v>
      </c>
      <c r="R18" s="7">
        <f>IFERROR(__xludf.DUMMYFUNCTION("""COMPUTED_VALUE"""),0.8319769353757102)</f>
        <v>0.8319769354</v>
      </c>
      <c r="S18" s="7">
        <f>IFERROR(__xludf.DUMMYFUNCTION("""COMPUTED_VALUE"""),0.8281671782485518)</f>
        <v>0.8281671782</v>
      </c>
      <c r="T18" s="7">
        <f>IFERROR(__xludf.DUMMYFUNCTION("""COMPUTED_VALUE"""),0.8403218608294524)</f>
        <v>0.8403218608</v>
      </c>
      <c r="U18" s="7">
        <f>IFERROR(__xludf.DUMMYFUNCTION("""COMPUTED_VALUE"""),0.8419218827871506)</f>
        <v>0.8419218828</v>
      </c>
      <c r="V18" s="7"/>
      <c r="W18" s="7"/>
      <c r="X18" s="7">
        <f>IFERROR(__xludf.DUMMYFUNCTION("""COMPUTED_VALUE"""),0.827)</f>
        <v>0.827</v>
      </c>
      <c r="Y18" s="7">
        <f>IFERROR(__xludf.DUMMYFUNCTION("""COMPUTED_VALUE"""),0.829)</f>
        <v>0.829</v>
      </c>
      <c r="Z18" s="7">
        <f>IFERROR(__xludf.DUMMYFUNCTION("""COMPUTED_VALUE"""),0.831)</f>
        <v>0.831</v>
      </c>
      <c r="AA18" s="7">
        <f>IFERROR(__xludf.DUMMYFUNCTION("""COMPUTED_VALUE"""),0.833)</f>
        <v>0.833</v>
      </c>
      <c r="AB18" s="7">
        <f>IFERROR(__xludf.DUMMYFUNCTION("""COMPUTED_VALUE"""),0.835)</f>
        <v>0.835</v>
      </c>
      <c r="AC18" s="7">
        <f>IFERROR(__xludf.DUMMYFUNCTION("""COMPUTED_VALUE"""),0.837)</f>
        <v>0.837</v>
      </c>
      <c r="AD18" s="7">
        <f>IFERROR(__xludf.DUMMYFUNCTION("""COMPUTED_VALUE"""),0.839)</f>
        <v>0.839</v>
      </c>
      <c r="AE18" s="7">
        <f>IFERROR(__xludf.DUMMYFUNCTION("""COMPUTED_VALUE"""),0.841)</f>
        <v>0.841</v>
      </c>
      <c r="AF18" s="7">
        <f>IFERROR(__xludf.DUMMYFUNCTION("""COMPUTED_VALUE"""),0.843)</f>
        <v>0.843</v>
      </c>
      <c r="AG18" s="7">
        <f>IFERROR(__xludf.DUMMYFUNCTION("""COMPUTED_VALUE"""),0.845)</f>
        <v>0.845</v>
      </c>
      <c r="AH18" s="7">
        <f>IFERROR(__xludf.DUMMYFUNCTION("""COMPUTED_VALUE"""),0.847)</f>
        <v>0.847</v>
      </c>
      <c r="AI18" s="7">
        <f>IFERROR(__xludf.DUMMYFUNCTION("""COMPUTED_VALUE"""),0.849)</f>
        <v>0.849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>
      <c r="A19" s="5" t="str">
        <f>IFERROR(__xludf.DUMMYFUNCTION("""COMPUTED_VALUE"""),"Non recurring margin")</f>
        <v>Non recurring margin</v>
      </c>
      <c r="B19" s="5" t="str">
        <f>IFERROR(__xludf.DUMMYFUNCTION("""COMPUTED_VALUE"""),"加總")</f>
        <v>加總</v>
      </c>
      <c r="C19" s="5" t="str">
        <f>IFERROR(__xludf.DUMMYFUNCTION("""COMPUTED_VALUE"""),"Non recurring margin")</f>
        <v>Non recurring margin</v>
      </c>
      <c r="D19" s="5"/>
      <c r="E19" s="5"/>
      <c r="F19" s="6" t="s">
        <v>2</v>
      </c>
      <c r="G19" s="6" t="s">
        <v>3</v>
      </c>
      <c r="H19" s="7">
        <f>IFERROR(__xludf.DUMMYFUNCTION("""COMPUTED_VALUE"""),3000.0)</f>
        <v>3000</v>
      </c>
      <c r="I19" s="7">
        <f>IFERROR(__xludf.DUMMYFUNCTION("""COMPUTED_VALUE"""),44400.0)</f>
        <v>44400</v>
      </c>
      <c r="J19" s="7">
        <f>IFERROR(__xludf.DUMMYFUNCTION("""COMPUTED_VALUE"""),29000.0)</f>
        <v>29000</v>
      </c>
      <c r="K19" s="7">
        <f>IFERROR(__xludf.DUMMYFUNCTION("""COMPUTED_VALUE"""),28281.0)</f>
        <v>28281</v>
      </c>
      <c r="L19" s="7">
        <f>IFERROR(__xludf.DUMMYFUNCTION("""COMPUTED_VALUE"""),25400.0)</f>
        <v>25400</v>
      </c>
      <c r="M19" s="7">
        <f>IFERROR(__xludf.DUMMYFUNCTION("""COMPUTED_VALUE"""),21429.0)</f>
        <v>21429</v>
      </c>
      <c r="N19" s="7">
        <f>IFERROR(__xludf.DUMMYFUNCTION("""COMPUTED_VALUE"""),151510.0)</f>
        <v>151510</v>
      </c>
      <c r="O19" s="7">
        <f>IFERROR(__xludf.DUMMYFUNCTION("""COMPUTED_VALUE"""),0.014892399440672499)</f>
        <v>0.01489239944</v>
      </c>
      <c r="P19" s="7">
        <f>IFERROR(__xludf.DUMMYFUNCTION("""COMPUTED_VALUE"""),0.0)</f>
        <v>0</v>
      </c>
      <c r="Q19" s="7">
        <f>IFERROR(__xludf.DUMMYFUNCTION("""COMPUTED_VALUE"""),0.0)</f>
        <v>0</v>
      </c>
      <c r="R19" s="7">
        <f>IFERROR(__xludf.DUMMYFUNCTION("""COMPUTED_VALUE"""),0.0)</f>
        <v>0</v>
      </c>
      <c r="S19" s="7">
        <f>IFERROR(__xludf.DUMMYFUNCTION("""COMPUTED_VALUE"""),0.0)</f>
        <v>0</v>
      </c>
      <c r="T19" s="7">
        <f>IFERROR(__xludf.DUMMYFUNCTION("""COMPUTED_VALUE"""),0.0)</f>
        <v>0</v>
      </c>
      <c r="U19" s="7">
        <f>IFERROR(__xludf.DUMMYFUNCTION("""COMPUTED_VALUE"""),0.0)</f>
        <v>0</v>
      </c>
      <c r="V19" s="7">
        <f>IFERROR(__xludf.DUMMYFUNCTION("""COMPUTED_VALUE"""),151510.0)</f>
        <v>151510</v>
      </c>
      <c r="W19" s="7">
        <f>IFERROR(__xludf.DUMMYFUNCTION("""COMPUTED_VALUE"""),0.006204899196086527)</f>
        <v>0.006204899196</v>
      </c>
      <c r="X19" s="7">
        <f>IFERROR(__xludf.DUMMYFUNCTION("""COMPUTED_VALUE"""),0.0)</f>
        <v>0</v>
      </c>
      <c r="Y19" s="7">
        <f>IFERROR(__xludf.DUMMYFUNCTION("""COMPUTED_VALUE"""),0.0)</f>
        <v>0</v>
      </c>
      <c r="Z19" s="7">
        <f>IFERROR(__xludf.DUMMYFUNCTION("""COMPUTED_VALUE"""),0.0)</f>
        <v>0</v>
      </c>
      <c r="AA19" s="7">
        <f>IFERROR(__xludf.DUMMYFUNCTION("""COMPUTED_VALUE"""),0.0)</f>
        <v>0</v>
      </c>
      <c r="AB19" s="7">
        <f>IFERROR(__xludf.DUMMYFUNCTION("""COMPUTED_VALUE"""),0.0)</f>
        <v>0</v>
      </c>
      <c r="AC19" s="7">
        <f>IFERROR(__xludf.DUMMYFUNCTION("""COMPUTED_VALUE"""),0.0)</f>
        <v>0</v>
      </c>
      <c r="AD19" s="7">
        <f>IFERROR(__xludf.DUMMYFUNCTION("""COMPUTED_VALUE"""),0.0)</f>
        <v>0</v>
      </c>
      <c r="AE19" s="7">
        <f>IFERROR(__xludf.DUMMYFUNCTION("""COMPUTED_VALUE"""),0.0)</f>
        <v>0</v>
      </c>
      <c r="AF19" s="7">
        <f>IFERROR(__xludf.DUMMYFUNCTION("""COMPUTED_VALUE"""),0.0)</f>
        <v>0</v>
      </c>
      <c r="AG19" s="7">
        <f>IFERROR(__xludf.DUMMYFUNCTION("""COMPUTED_VALUE"""),0.0)</f>
        <v>0</v>
      </c>
      <c r="AH19" s="7">
        <f>IFERROR(__xludf.DUMMYFUNCTION("""COMPUTED_VALUE"""),0.0)</f>
        <v>0</v>
      </c>
      <c r="AI19" s="7">
        <f>IFERROR(__xludf.DUMMYFUNCTION("""COMPUTED_VALUE"""),0.0)</f>
        <v>0</v>
      </c>
      <c r="AJ19" s="7">
        <f>IFERROR(__xludf.DUMMYFUNCTION("""COMPUTED_VALUE"""),0.0)</f>
        <v>0</v>
      </c>
      <c r="AK19" s="7">
        <f>IFERROR(__xludf.DUMMYFUNCTION("""COMPUTED_VALUE"""),0.0)</f>
        <v>0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>
      <c r="A20" s="5"/>
      <c r="B20" s="5"/>
      <c r="C20" s="5" t="str">
        <f>IFERROR(__xludf.DUMMYFUNCTION("""COMPUTED_VALUE"""),"Non recurring margin")</f>
        <v>Non recurring margin</v>
      </c>
      <c r="D20" s="5" t="str">
        <f>IFERROR(__xludf.DUMMYFUNCTION("""COMPUTED_VALUE"""),"當月一次性服務收入毛利額")</f>
        <v>當月一次性服務收入毛利額</v>
      </c>
      <c r="E20" s="5"/>
      <c r="F20" s="6" t="s">
        <v>2</v>
      </c>
      <c r="G20" s="6" t="s">
        <v>3</v>
      </c>
      <c r="H20" s="7">
        <f>IFERROR(__xludf.DUMMYFUNCTION("""COMPUTED_VALUE"""),3000.0)</f>
        <v>3000</v>
      </c>
      <c r="I20" s="7">
        <f>IFERROR(__xludf.DUMMYFUNCTION("""COMPUTED_VALUE"""),44400.0)</f>
        <v>44400</v>
      </c>
      <c r="J20" s="7">
        <f>IFERROR(__xludf.DUMMYFUNCTION("""COMPUTED_VALUE"""),29000.0)</f>
        <v>29000</v>
      </c>
      <c r="K20" s="7">
        <f>IFERROR(__xludf.DUMMYFUNCTION("""COMPUTED_VALUE"""),28281.0)</f>
        <v>28281</v>
      </c>
      <c r="L20" s="7">
        <f>IFERROR(__xludf.DUMMYFUNCTION("""COMPUTED_VALUE"""),25400.0)</f>
        <v>25400</v>
      </c>
      <c r="M20" s="7">
        <f>IFERROR(__xludf.DUMMYFUNCTION("""COMPUTED_VALUE"""),21429.0)</f>
        <v>21429</v>
      </c>
      <c r="N20" s="7">
        <f>IFERROR(__xludf.DUMMYFUNCTION("""COMPUTED_VALUE"""),151510.0)</f>
        <v>151510</v>
      </c>
      <c r="O20" s="7"/>
      <c r="P20" s="7">
        <f>IFERROR(__xludf.DUMMYFUNCTION("""COMPUTED_VALUE"""),0.0)</f>
        <v>0</v>
      </c>
      <c r="Q20" s="7">
        <f>IFERROR(__xludf.DUMMYFUNCTION("""COMPUTED_VALUE"""),0.0)</f>
        <v>0</v>
      </c>
      <c r="R20" s="7">
        <f>IFERROR(__xludf.DUMMYFUNCTION("""COMPUTED_VALUE"""),0.0)</f>
        <v>0</v>
      </c>
      <c r="S20" s="7">
        <f>IFERROR(__xludf.DUMMYFUNCTION("""COMPUTED_VALUE"""),0.0)</f>
        <v>0</v>
      </c>
      <c r="T20" s="7">
        <f>IFERROR(__xludf.DUMMYFUNCTION("""COMPUTED_VALUE"""),0.0)</f>
        <v>0</v>
      </c>
      <c r="U20" s="7">
        <f>IFERROR(__xludf.DUMMYFUNCTION("""COMPUTED_VALUE"""),0.0)</f>
        <v>0</v>
      </c>
      <c r="V20" s="7">
        <f>IFERROR(__xludf.DUMMYFUNCTION("""COMPUTED_VALUE"""),151510.0)</f>
        <v>151510</v>
      </c>
      <c r="W20" s="7"/>
      <c r="X20" s="7">
        <f>IFERROR(__xludf.DUMMYFUNCTION("""COMPUTED_VALUE"""),0.0)</f>
        <v>0</v>
      </c>
      <c r="Y20" s="7">
        <f>IFERROR(__xludf.DUMMYFUNCTION("""COMPUTED_VALUE"""),0.0)</f>
        <v>0</v>
      </c>
      <c r="Z20" s="7">
        <f>IFERROR(__xludf.DUMMYFUNCTION("""COMPUTED_VALUE"""),0.0)</f>
        <v>0</v>
      </c>
      <c r="AA20" s="7">
        <f>IFERROR(__xludf.DUMMYFUNCTION("""COMPUTED_VALUE"""),0.0)</f>
        <v>0</v>
      </c>
      <c r="AB20" s="7">
        <f>IFERROR(__xludf.DUMMYFUNCTION("""COMPUTED_VALUE"""),0.0)</f>
        <v>0</v>
      </c>
      <c r="AC20" s="7">
        <f>IFERROR(__xludf.DUMMYFUNCTION("""COMPUTED_VALUE"""),0.0)</f>
        <v>0</v>
      </c>
      <c r="AD20" s="7">
        <f>IFERROR(__xludf.DUMMYFUNCTION("""COMPUTED_VALUE"""),0.0)</f>
        <v>0</v>
      </c>
      <c r="AE20" s="7">
        <f>IFERROR(__xludf.DUMMYFUNCTION("""COMPUTED_VALUE"""),0.0)</f>
        <v>0</v>
      </c>
      <c r="AF20" s="7">
        <f>IFERROR(__xludf.DUMMYFUNCTION("""COMPUTED_VALUE"""),0.0)</f>
        <v>0</v>
      </c>
      <c r="AG20" s="7">
        <f>IFERROR(__xludf.DUMMYFUNCTION("""COMPUTED_VALUE"""),0.0)</f>
        <v>0</v>
      </c>
      <c r="AH20" s="7">
        <f>IFERROR(__xludf.DUMMYFUNCTION("""COMPUTED_VALUE"""),0.0)</f>
        <v>0</v>
      </c>
      <c r="AI20" s="7">
        <f>IFERROR(__xludf.DUMMYFUNCTION("""COMPUTED_VALUE"""),0.0)</f>
        <v>0</v>
      </c>
      <c r="AJ20" s="7">
        <f>IFERROR(__xludf.DUMMYFUNCTION("""COMPUTED_VALUE"""),0.0)</f>
        <v>0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>
      <c r="A21" s="5" t="str">
        <f>IFERROR(__xludf.DUMMYFUNCTION("""COMPUTED_VALUE"""),"Hardware margin")</f>
        <v>Hardware margin</v>
      </c>
      <c r="B21" s="5" t="str">
        <f>IFERROR(__xludf.DUMMYFUNCTION("""COMPUTED_VALUE"""),"加總")</f>
        <v>加總</v>
      </c>
      <c r="C21" s="5" t="str">
        <f>IFERROR(__xludf.DUMMYFUNCTION("""COMPUTED_VALUE"""),"Hardware margin")</f>
        <v>Hardware margin</v>
      </c>
      <c r="D21" s="5"/>
      <c r="E21" s="5"/>
      <c r="F21" s="6" t="s">
        <v>2</v>
      </c>
      <c r="G21" s="6" t="s">
        <v>3</v>
      </c>
      <c r="H21" s="7">
        <f>IFERROR(__xludf.DUMMYFUNCTION("""COMPUTED_VALUE"""),34062.0)</f>
        <v>34062</v>
      </c>
      <c r="I21" s="7">
        <f>IFERROR(__xludf.DUMMYFUNCTION("""COMPUTED_VALUE"""),47624.0)</f>
        <v>47624</v>
      </c>
      <c r="J21" s="7">
        <f>IFERROR(__xludf.DUMMYFUNCTION("""COMPUTED_VALUE"""),37105.0)</f>
        <v>37105</v>
      </c>
      <c r="K21" s="7">
        <f>IFERROR(__xludf.DUMMYFUNCTION("""COMPUTED_VALUE"""),67428.0)</f>
        <v>67428</v>
      </c>
      <c r="L21" s="7">
        <f>IFERROR(__xludf.DUMMYFUNCTION("""COMPUTED_VALUE"""),34255.0)</f>
        <v>34255</v>
      </c>
      <c r="M21" s="7">
        <f>IFERROR(__xludf.DUMMYFUNCTION("""COMPUTED_VALUE"""),60445.0)</f>
        <v>60445</v>
      </c>
      <c r="N21" s="7">
        <f>IFERROR(__xludf.DUMMYFUNCTION("""COMPUTED_VALUE"""),280919.0)</f>
        <v>280919</v>
      </c>
      <c r="O21" s="7">
        <f>IFERROR(__xludf.DUMMYFUNCTION("""COMPUTED_VALUE"""),0.02761242134825607)</f>
        <v>0.02761242135</v>
      </c>
      <c r="P21" s="7">
        <f>IFERROR(__xludf.DUMMYFUNCTION("""COMPUTED_VALUE"""),0.0)</f>
        <v>0</v>
      </c>
      <c r="Q21" s="7">
        <f>IFERROR(__xludf.DUMMYFUNCTION("""COMPUTED_VALUE"""),0.0)</f>
        <v>0</v>
      </c>
      <c r="R21" s="7">
        <f>IFERROR(__xludf.DUMMYFUNCTION("""COMPUTED_VALUE"""),0.0)</f>
        <v>0</v>
      </c>
      <c r="S21" s="7">
        <f>IFERROR(__xludf.DUMMYFUNCTION("""COMPUTED_VALUE"""),0.0)</f>
        <v>0</v>
      </c>
      <c r="T21" s="7">
        <f>IFERROR(__xludf.DUMMYFUNCTION("""COMPUTED_VALUE"""),0.0)</f>
        <v>0</v>
      </c>
      <c r="U21" s="7">
        <f>IFERROR(__xludf.DUMMYFUNCTION("""COMPUTED_VALUE"""),0.0)</f>
        <v>0</v>
      </c>
      <c r="V21" s="7">
        <f>IFERROR(__xludf.DUMMYFUNCTION("""COMPUTED_VALUE"""),280919.0)</f>
        <v>280919</v>
      </c>
      <c r="W21" s="7">
        <f>IFERROR(__xludf.DUMMYFUNCTION("""COMPUTED_VALUE"""),0.011504680069074194)</f>
        <v>0.01150468007</v>
      </c>
      <c r="X21" s="7">
        <f>IFERROR(__xludf.DUMMYFUNCTION("""COMPUTED_VALUE"""),0.0)</f>
        <v>0</v>
      </c>
      <c r="Y21" s="7">
        <f>IFERROR(__xludf.DUMMYFUNCTION("""COMPUTED_VALUE"""),0.0)</f>
        <v>0</v>
      </c>
      <c r="Z21" s="7">
        <f>IFERROR(__xludf.DUMMYFUNCTION("""COMPUTED_VALUE"""),0.0)</f>
        <v>0</v>
      </c>
      <c r="AA21" s="7">
        <f>IFERROR(__xludf.DUMMYFUNCTION("""COMPUTED_VALUE"""),0.0)</f>
        <v>0</v>
      </c>
      <c r="AB21" s="7">
        <f>IFERROR(__xludf.DUMMYFUNCTION("""COMPUTED_VALUE"""),0.0)</f>
        <v>0</v>
      </c>
      <c r="AC21" s="7">
        <f>IFERROR(__xludf.DUMMYFUNCTION("""COMPUTED_VALUE"""),0.0)</f>
        <v>0</v>
      </c>
      <c r="AD21" s="7">
        <f>IFERROR(__xludf.DUMMYFUNCTION("""COMPUTED_VALUE"""),0.0)</f>
        <v>0</v>
      </c>
      <c r="AE21" s="7">
        <f>IFERROR(__xludf.DUMMYFUNCTION("""COMPUTED_VALUE"""),0.0)</f>
        <v>0</v>
      </c>
      <c r="AF21" s="7">
        <f>IFERROR(__xludf.DUMMYFUNCTION("""COMPUTED_VALUE"""),0.0)</f>
        <v>0</v>
      </c>
      <c r="AG21" s="7">
        <f>IFERROR(__xludf.DUMMYFUNCTION("""COMPUTED_VALUE"""),0.0)</f>
        <v>0</v>
      </c>
      <c r="AH21" s="7">
        <f>IFERROR(__xludf.DUMMYFUNCTION("""COMPUTED_VALUE"""),0.0)</f>
        <v>0</v>
      </c>
      <c r="AI21" s="7">
        <f>IFERROR(__xludf.DUMMYFUNCTION("""COMPUTED_VALUE"""),0.0)</f>
        <v>0</v>
      </c>
      <c r="AJ21" s="7">
        <f>IFERROR(__xludf.DUMMYFUNCTION("""COMPUTED_VALUE"""),0.0)</f>
        <v>0</v>
      </c>
      <c r="AK21" s="7">
        <f>IFERROR(__xludf.DUMMYFUNCTION("""COMPUTED_VALUE"""),0.0)</f>
        <v>0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>
      <c r="A22" s="5"/>
      <c r="B22" s="5"/>
      <c r="C22" s="5" t="str">
        <f>IFERROR(__xludf.DUMMYFUNCTION("""COMPUTED_VALUE"""),"Hardware margin")</f>
        <v>Hardware margin</v>
      </c>
      <c r="D22" s="5" t="str">
        <f>IFERROR(__xludf.DUMMYFUNCTION("""COMPUTED_VALUE"""),"當月硬體毛利額")</f>
        <v>當月硬體毛利額</v>
      </c>
      <c r="E22" s="5"/>
      <c r="F22" s="6" t="s">
        <v>2</v>
      </c>
      <c r="G22" s="6" t="s">
        <v>3</v>
      </c>
      <c r="H22" s="7">
        <f>IFERROR(__xludf.DUMMYFUNCTION("""COMPUTED_VALUE"""),34062.0)</f>
        <v>34062</v>
      </c>
      <c r="I22" s="7">
        <f>IFERROR(__xludf.DUMMYFUNCTION("""COMPUTED_VALUE"""),47624.0)</f>
        <v>47624</v>
      </c>
      <c r="J22" s="7">
        <f>IFERROR(__xludf.DUMMYFUNCTION("""COMPUTED_VALUE"""),37105.0)</f>
        <v>37105</v>
      </c>
      <c r="K22" s="7">
        <f>IFERROR(__xludf.DUMMYFUNCTION("""COMPUTED_VALUE"""),67428.0)</f>
        <v>67428</v>
      </c>
      <c r="L22" s="7">
        <f>IFERROR(__xludf.DUMMYFUNCTION("""COMPUTED_VALUE"""),34255.0)</f>
        <v>34255</v>
      </c>
      <c r="M22" s="7">
        <f>IFERROR(__xludf.DUMMYFUNCTION("""COMPUTED_VALUE"""),60445.0)</f>
        <v>60445</v>
      </c>
      <c r="N22" s="7">
        <f>IFERROR(__xludf.DUMMYFUNCTION("""COMPUTED_VALUE"""),280919.0)</f>
        <v>280919</v>
      </c>
      <c r="O22" s="7"/>
      <c r="P22" s="7">
        <f>IFERROR(__xludf.DUMMYFUNCTION("""COMPUTED_VALUE"""),0.0)</f>
        <v>0</v>
      </c>
      <c r="Q22" s="7">
        <f>IFERROR(__xludf.DUMMYFUNCTION("""COMPUTED_VALUE"""),0.0)</f>
        <v>0</v>
      </c>
      <c r="R22" s="7">
        <f>IFERROR(__xludf.DUMMYFUNCTION("""COMPUTED_VALUE"""),0.0)</f>
        <v>0</v>
      </c>
      <c r="S22" s="7">
        <f>IFERROR(__xludf.DUMMYFUNCTION("""COMPUTED_VALUE"""),0.0)</f>
        <v>0</v>
      </c>
      <c r="T22" s="7">
        <f>IFERROR(__xludf.DUMMYFUNCTION("""COMPUTED_VALUE"""),0.0)</f>
        <v>0</v>
      </c>
      <c r="U22" s="7">
        <f>IFERROR(__xludf.DUMMYFUNCTION("""COMPUTED_VALUE"""),0.0)</f>
        <v>0</v>
      </c>
      <c r="V22" s="7">
        <f>IFERROR(__xludf.DUMMYFUNCTION("""COMPUTED_VALUE"""),280919.0)</f>
        <v>280919</v>
      </c>
      <c r="W22" s="7"/>
      <c r="X22" s="7">
        <f>IFERROR(__xludf.DUMMYFUNCTION("""COMPUTED_VALUE"""),0.0)</f>
        <v>0</v>
      </c>
      <c r="Y22" s="7">
        <f>IFERROR(__xludf.DUMMYFUNCTION("""COMPUTED_VALUE"""),0.0)</f>
        <v>0</v>
      </c>
      <c r="Z22" s="7">
        <f>IFERROR(__xludf.DUMMYFUNCTION("""COMPUTED_VALUE"""),0.0)</f>
        <v>0</v>
      </c>
      <c r="AA22" s="7">
        <f>IFERROR(__xludf.DUMMYFUNCTION("""COMPUTED_VALUE"""),0.0)</f>
        <v>0</v>
      </c>
      <c r="AB22" s="7">
        <f>IFERROR(__xludf.DUMMYFUNCTION("""COMPUTED_VALUE"""),0.0)</f>
        <v>0</v>
      </c>
      <c r="AC22" s="7">
        <f>IFERROR(__xludf.DUMMYFUNCTION("""COMPUTED_VALUE"""),0.0)</f>
        <v>0</v>
      </c>
      <c r="AD22" s="7">
        <f>IFERROR(__xludf.DUMMYFUNCTION("""COMPUTED_VALUE"""),0.0)</f>
        <v>0</v>
      </c>
      <c r="AE22" s="7">
        <f>IFERROR(__xludf.DUMMYFUNCTION("""COMPUTED_VALUE"""),0.0)</f>
        <v>0</v>
      </c>
      <c r="AF22" s="7">
        <f>IFERROR(__xludf.DUMMYFUNCTION("""COMPUTED_VALUE"""),0.0)</f>
        <v>0</v>
      </c>
      <c r="AG22" s="7">
        <f>IFERROR(__xludf.DUMMYFUNCTION("""COMPUTED_VALUE"""),0.0)</f>
        <v>0</v>
      </c>
      <c r="AH22" s="7">
        <f>IFERROR(__xludf.DUMMYFUNCTION("""COMPUTED_VALUE"""),0.0)</f>
        <v>0</v>
      </c>
      <c r="AI22" s="7">
        <f>IFERROR(__xludf.DUMMYFUNCTION("""COMPUTED_VALUE"""),0.0)</f>
        <v>0</v>
      </c>
      <c r="AJ22" s="7">
        <f>IFERROR(__xludf.DUMMYFUNCTION("""COMPUTED_VALUE"""),0.0)</f>
        <v>0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>
      <c r="A23" s="5" t="str">
        <f>IFERROR(__xludf.DUMMYFUNCTION("""COMPUTED_VALUE"""),"Fixed Overhead-RD")</f>
        <v>Fixed Overhead-RD</v>
      </c>
      <c r="B23" s="5" t="str">
        <f>IFERROR(__xludf.DUMMYFUNCTION("""COMPUTED_VALUE"""),"加總")</f>
        <v>加總</v>
      </c>
      <c r="C23" s="5" t="str">
        <f>IFERROR(__xludf.DUMMYFUNCTION("""COMPUTED_VALUE"""),"Fixed Overhead-RD")</f>
        <v>Fixed Overhead-RD</v>
      </c>
      <c r="D23" s="5"/>
      <c r="E23" s="5"/>
      <c r="F23" s="10" t="s">
        <v>4</v>
      </c>
      <c r="G23" s="10" t="s">
        <v>5</v>
      </c>
      <c r="H23" s="7">
        <f>IFERROR(__xludf.DUMMYFUNCTION("""COMPUTED_VALUE"""),-1458455.0)</f>
        <v>-1458455</v>
      </c>
      <c r="I23" s="7">
        <f>IFERROR(__xludf.DUMMYFUNCTION("""COMPUTED_VALUE"""),-1462033.0)</f>
        <v>-1462033</v>
      </c>
      <c r="J23" s="7">
        <f>IFERROR(__xludf.DUMMYFUNCTION("""COMPUTED_VALUE"""),-1756069.0)</f>
        <v>-1756069</v>
      </c>
      <c r="K23" s="7">
        <f>IFERROR(__xludf.DUMMYFUNCTION("""COMPUTED_VALUE"""),-1559523.0)</f>
        <v>-1559523</v>
      </c>
      <c r="L23" s="7">
        <f>IFERROR(__xludf.DUMMYFUNCTION("""COMPUTED_VALUE"""),-1559949.0)</f>
        <v>-1559949</v>
      </c>
      <c r="M23" s="7">
        <f>IFERROR(__xludf.DUMMYFUNCTION("""COMPUTED_VALUE"""),-1536476.0)</f>
        <v>-1536476</v>
      </c>
      <c r="N23" s="7">
        <f>IFERROR(__xludf.DUMMYFUNCTION("""COMPUTED_VALUE"""),-9332505.0)</f>
        <v>-9332505</v>
      </c>
      <c r="O23" s="7">
        <f>IFERROR(__xludf.DUMMYFUNCTION("""COMPUTED_VALUE"""),-0.9173215777313266)</f>
        <v>-0.9173215777</v>
      </c>
      <c r="P23" s="7">
        <f>IFERROR(__xludf.DUMMYFUNCTION("""COMPUTED_VALUE"""),-1700000.0)</f>
        <v>-1700000</v>
      </c>
      <c r="Q23" s="7">
        <f>IFERROR(__xludf.DUMMYFUNCTION("""COMPUTED_VALUE"""),-1700000.0)</f>
        <v>-1700000</v>
      </c>
      <c r="R23" s="7">
        <f>IFERROR(__xludf.DUMMYFUNCTION("""COMPUTED_VALUE"""),-1700000.0)</f>
        <v>-1700000</v>
      </c>
      <c r="S23" s="7">
        <f>IFERROR(__xludf.DUMMYFUNCTION("""COMPUTED_VALUE"""),-1700000.0)</f>
        <v>-1700000</v>
      </c>
      <c r="T23" s="7">
        <f>IFERROR(__xludf.DUMMYFUNCTION("""COMPUTED_VALUE"""),-1700000.0)</f>
        <v>-1700000</v>
      </c>
      <c r="U23" s="7">
        <f>IFERROR(__xludf.DUMMYFUNCTION("""COMPUTED_VALUE"""),-1700000.0)</f>
        <v>-1700000</v>
      </c>
      <c r="V23" s="7">
        <f>IFERROR(__xludf.DUMMYFUNCTION("""COMPUTED_VALUE"""),-1.9532505E7)</f>
        <v>-19532505</v>
      </c>
      <c r="W23" s="7">
        <f>IFERROR(__xludf.DUMMYFUNCTION("""COMPUTED_VALUE"""),-0.7999288797574818)</f>
        <v>-0.7999288798</v>
      </c>
      <c r="X23" s="7">
        <f>IFERROR(__xludf.DUMMYFUNCTION("""COMPUTED_VALUE"""),-1771825.0000000002)</f>
        <v>-1771825</v>
      </c>
      <c r="Y23" s="7">
        <f>IFERROR(__xludf.DUMMYFUNCTION("""COMPUTED_VALUE"""),-1765960.0)</f>
        <v>-1765960</v>
      </c>
      <c r="Z23" s="7">
        <f>IFERROR(__xludf.DUMMYFUNCTION("""COMPUTED_VALUE"""),-1755675.0)</f>
        <v>-1755675</v>
      </c>
      <c r="AA23" s="7">
        <f>IFERROR(__xludf.DUMMYFUNCTION("""COMPUTED_VALUE"""),-1736805.0)</f>
        <v>-1736805</v>
      </c>
      <c r="AB23" s="7">
        <f>IFERROR(__xludf.DUMMYFUNCTION("""COMPUTED_VALUE"""),-1713855.0)</f>
        <v>-1713855</v>
      </c>
      <c r="AC23" s="7">
        <f>IFERROR(__xludf.DUMMYFUNCTION("""COMPUTED_VALUE"""),-1686825.0)</f>
        <v>-1686825</v>
      </c>
      <c r="AD23" s="7">
        <f>IFERROR(__xludf.DUMMYFUNCTION("""COMPUTED_VALUE"""),-1728900.0)</f>
        <v>-1728900</v>
      </c>
      <c r="AE23" s="7">
        <f>IFERROR(__xludf.DUMMYFUNCTION("""COMPUTED_VALUE"""),-1770975.0)</f>
        <v>-1770975</v>
      </c>
      <c r="AF23" s="7">
        <f>IFERROR(__xludf.DUMMYFUNCTION("""COMPUTED_VALUE"""),-1732470.0)</f>
        <v>-1732470</v>
      </c>
      <c r="AG23" s="7">
        <f>IFERROR(__xludf.DUMMYFUNCTION("""COMPUTED_VALUE"""),-1769020.0)</f>
        <v>-1769020</v>
      </c>
      <c r="AH23" s="7">
        <f>IFERROR(__xludf.DUMMYFUNCTION("""COMPUTED_VALUE"""),-1679600.0)</f>
        <v>-1679600</v>
      </c>
      <c r="AI23" s="7">
        <f>IFERROR(__xludf.DUMMYFUNCTION("""COMPUTED_VALUE"""),-1627920.0)</f>
        <v>-1627920</v>
      </c>
      <c r="AJ23" s="7">
        <f>IFERROR(__xludf.DUMMYFUNCTION("""COMPUTED_VALUE"""),-2.073983E7)</f>
        <v>-20739830</v>
      </c>
      <c r="AK23" s="7">
        <f>IFERROR(__xludf.DUMMYFUNCTION("""COMPUTED_VALUE"""),-0.45743907011623547)</f>
        <v>-0.4574390701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>
      <c r="A24" s="5"/>
      <c r="B24" s="5"/>
      <c r="C24" s="5" t="str">
        <f>IFERROR(__xludf.DUMMYFUNCTION("""COMPUTED_VALUE"""),"Fixed Overhead-RD")</f>
        <v>Fixed Overhead-RD</v>
      </c>
      <c r="D24" s="5" t="str">
        <f>IFERROR(__xludf.DUMMYFUNCTION("""COMPUTED_VALUE"""),"研發中心費用")</f>
        <v>研發中心費用</v>
      </c>
      <c r="E24" s="5" t="str">
        <f>IFERROR(__xludf.DUMMYFUNCTION("""COMPUTED_VALUE"""),"研發團隊，經常性營收 x 費用率")</f>
        <v>研發團隊，經常性營收 x 費用率</v>
      </c>
      <c r="F24" s="10" t="s">
        <v>4</v>
      </c>
      <c r="G24" s="10" t="s">
        <v>5</v>
      </c>
      <c r="H24" s="7">
        <f>IFERROR(__xludf.DUMMYFUNCTION("""COMPUTED_VALUE"""),-1458455.0)</f>
        <v>-1458455</v>
      </c>
      <c r="I24" s="7">
        <f>IFERROR(__xludf.DUMMYFUNCTION("""COMPUTED_VALUE"""),-1462033.0)</f>
        <v>-1462033</v>
      </c>
      <c r="J24" s="7">
        <f>IFERROR(__xludf.DUMMYFUNCTION("""COMPUTED_VALUE"""),-1756069.0)</f>
        <v>-1756069</v>
      </c>
      <c r="K24" s="7">
        <f>IFERROR(__xludf.DUMMYFUNCTION("""COMPUTED_VALUE"""),-1559523.0)</f>
        <v>-1559523</v>
      </c>
      <c r="L24" s="7">
        <f>IFERROR(__xludf.DUMMYFUNCTION("""COMPUTED_VALUE"""),-1559949.0)</f>
        <v>-1559949</v>
      </c>
      <c r="M24" s="7">
        <f>IFERROR(__xludf.DUMMYFUNCTION("""COMPUTED_VALUE"""),-1536476.0)</f>
        <v>-1536476</v>
      </c>
      <c r="N24" s="7">
        <f>IFERROR(__xludf.DUMMYFUNCTION("""COMPUTED_VALUE"""),-9332505.0)</f>
        <v>-9332505</v>
      </c>
      <c r="O24" s="7"/>
      <c r="P24" s="7">
        <f>IFERROR(__xludf.DUMMYFUNCTION("""COMPUTED_VALUE"""),-1700000.0)</f>
        <v>-1700000</v>
      </c>
      <c r="Q24" s="7">
        <f>IFERROR(__xludf.DUMMYFUNCTION("""COMPUTED_VALUE"""),-1700000.0)</f>
        <v>-1700000</v>
      </c>
      <c r="R24" s="7">
        <f>IFERROR(__xludf.DUMMYFUNCTION("""COMPUTED_VALUE"""),-1700000.0)</f>
        <v>-1700000</v>
      </c>
      <c r="S24" s="7">
        <f>IFERROR(__xludf.DUMMYFUNCTION("""COMPUTED_VALUE"""),-1700000.0)</f>
        <v>-1700000</v>
      </c>
      <c r="T24" s="7">
        <f>IFERROR(__xludf.DUMMYFUNCTION("""COMPUTED_VALUE"""),-1700000.0)</f>
        <v>-1700000</v>
      </c>
      <c r="U24" s="7">
        <f>IFERROR(__xludf.DUMMYFUNCTION("""COMPUTED_VALUE"""),-1700000.0)</f>
        <v>-1700000</v>
      </c>
      <c r="V24" s="7">
        <f>IFERROR(__xludf.DUMMYFUNCTION("""COMPUTED_VALUE"""),-1.9532505E7)</f>
        <v>-19532505</v>
      </c>
      <c r="W24" s="7"/>
      <c r="X24" s="7">
        <f>IFERROR(__xludf.DUMMYFUNCTION("""COMPUTED_VALUE"""),-1771825.0000000002)</f>
        <v>-1771825</v>
      </c>
      <c r="Y24" s="7">
        <f>IFERROR(__xludf.DUMMYFUNCTION("""COMPUTED_VALUE"""),-1765960.0)</f>
        <v>-1765960</v>
      </c>
      <c r="Z24" s="7">
        <f>IFERROR(__xludf.DUMMYFUNCTION("""COMPUTED_VALUE"""),-1755675.0)</f>
        <v>-1755675</v>
      </c>
      <c r="AA24" s="7">
        <f>IFERROR(__xludf.DUMMYFUNCTION("""COMPUTED_VALUE"""),-1736805.0)</f>
        <v>-1736805</v>
      </c>
      <c r="AB24" s="7">
        <f>IFERROR(__xludf.DUMMYFUNCTION("""COMPUTED_VALUE"""),-1713855.0)</f>
        <v>-1713855</v>
      </c>
      <c r="AC24" s="7">
        <f>IFERROR(__xludf.DUMMYFUNCTION("""COMPUTED_VALUE"""),-1686825.0)</f>
        <v>-1686825</v>
      </c>
      <c r="AD24" s="7">
        <f>IFERROR(__xludf.DUMMYFUNCTION("""COMPUTED_VALUE"""),-1728900.0)</f>
        <v>-1728900</v>
      </c>
      <c r="AE24" s="7">
        <f>IFERROR(__xludf.DUMMYFUNCTION("""COMPUTED_VALUE"""),-1770975.0)</f>
        <v>-1770975</v>
      </c>
      <c r="AF24" s="7">
        <f>IFERROR(__xludf.DUMMYFUNCTION("""COMPUTED_VALUE"""),-1732470.0)</f>
        <v>-1732470</v>
      </c>
      <c r="AG24" s="7">
        <f>IFERROR(__xludf.DUMMYFUNCTION("""COMPUTED_VALUE"""),-1769020.0)</f>
        <v>-1769020</v>
      </c>
      <c r="AH24" s="7">
        <f>IFERROR(__xludf.DUMMYFUNCTION("""COMPUTED_VALUE"""),-1679600.0)</f>
        <v>-1679600</v>
      </c>
      <c r="AI24" s="7">
        <f>IFERROR(__xludf.DUMMYFUNCTION("""COMPUTED_VALUE"""),-1627920.0)</f>
        <v>-1627920</v>
      </c>
      <c r="AJ24" s="7">
        <f>IFERROR(__xludf.DUMMYFUNCTION("""COMPUTED_VALUE"""),-2.073983E7)</f>
        <v>-20739830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>
      <c r="A25" s="11" t="str">
        <f>IFERROR(__xludf.DUMMYFUNCTION("""COMPUTED_VALUE"""),"Fixed Overhead-Admin")</f>
        <v>Fixed Overhead-Admin</v>
      </c>
      <c r="B25" s="11" t="str">
        <f>IFERROR(__xludf.DUMMYFUNCTION("""COMPUTED_VALUE"""),"加總")</f>
        <v>加總</v>
      </c>
      <c r="C25" s="11" t="str">
        <f>IFERROR(__xludf.DUMMYFUNCTION("""COMPUTED_VALUE"""),"Fixed Overhead-Admin")</f>
        <v>Fixed Overhead-Admin</v>
      </c>
      <c r="D25" s="11"/>
      <c r="E25" s="11"/>
      <c r="F25" s="6" t="s">
        <v>6</v>
      </c>
      <c r="G25" s="10" t="s">
        <v>8</v>
      </c>
      <c r="H25" s="12">
        <f>IFERROR(__xludf.DUMMYFUNCTION("""COMPUTED_VALUE"""),-780179.0)</f>
        <v>-780179</v>
      </c>
      <c r="I25" s="12">
        <f>IFERROR(__xludf.DUMMYFUNCTION("""COMPUTED_VALUE"""),-892360.0)</f>
        <v>-892360</v>
      </c>
      <c r="J25" s="12">
        <f>IFERROR(__xludf.DUMMYFUNCTION("""COMPUTED_VALUE"""),-904596.0)</f>
        <v>-904596</v>
      </c>
      <c r="K25" s="12">
        <f>IFERROR(__xludf.DUMMYFUNCTION("""COMPUTED_VALUE"""),-787904.0)</f>
        <v>-787904</v>
      </c>
      <c r="L25" s="12">
        <f>IFERROR(__xludf.DUMMYFUNCTION("""COMPUTED_VALUE"""),-737899.0)</f>
        <v>-737899</v>
      </c>
      <c r="M25" s="12">
        <f>IFERROR(__xludf.DUMMYFUNCTION("""COMPUTED_VALUE"""),-59961.0)</f>
        <v>-59961</v>
      </c>
      <c r="N25" s="12">
        <f>IFERROR(__xludf.DUMMYFUNCTION("""COMPUTED_VALUE"""),-4162899.0)</f>
        <v>-4162899</v>
      </c>
      <c r="O25" s="12">
        <f>IFERROR(__xludf.DUMMYFUNCTION("""COMPUTED_VALUE"""),-0.4091845735540631)</f>
        <v>-0.4091845736</v>
      </c>
      <c r="P25" s="12">
        <f>IFERROR(__xludf.DUMMYFUNCTION("""COMPUTED_VALUE"""),-861212.0)</f>
        <v>-861212</v>
      </c>
      <c r="Q25" s="12">
        <f>IFERROR(__xludf.DUMMYFUNCTION("""COMPUTED_VALUE"""),-864160.0)</f>
        <v>-864160</v>
      </c>
      <c r="R25" s="12">
        <f>IFERROR(__xludf.DUMMYFUNCTION("""COMPUTED_VALUE"""),-865954.0)</f>
        <v>-865954</v>
      </c>
      <c r="S25" s="12">
        <f>IFERROR(__xludf.DUMMYFUNCTION("""COMPUTED_VALUE"""),-865250.0)</f>
        <v>-865250</v>
      </c>
      <c r="T25" s="12">
        <f>IFERROR(__xludf.DUMMYFUNCTION("""COMPUTED_VALUE"""),-864180.0)</f>
        <v>-864180</v>
      </c>
      <c r="U25" s="12">
        <f>IFERROR(__xludf.DUMMYFUNCTION("""COMPUTED_VALUE"""),-867373.0)</f>
        <v>-867373</v>
      </c>
      <c r="V25" s="12">
        <f>IFERROR(__xludf.DUMMYFUNCTION("""COMPUTED_VALUE"""),-9351028.0)</f>
        <v>-9351028</v>
      </c>
      <c r="W25" s="12">
        <f>IFERROR(__xludf.DUMMYFUNCTION("""COMPUTED_VALUE"""),-0.3829594490118316)</f>
        <v>-0.382959449</v>
      </c>
      <c r="X25" s="12">
        <f>IFERROR(__xludf.DUMMYFUNCTION("""COMPUTED_VALUE"""),-773160.0)</f>
        <v>-773160</v>
      </c>
      <c r="Y25" s="12">
        <f>IFERROR(__xludf.DUMMYFUNCTION("""COMPUTED_VALUE"""),-779021.6)</f>
        <v>-779021.6</v>
      </c>
      <c r="Z25" s="12">
        <f>IFERROR(__xludf.DUMMYFUNCTION("""COMPUTED_VALUE"""),-783513.0)</f>
        <v>-783513</v>
      </c>
      <c r="AA25" s="12">
        <f>IFERROR(__xludf.DUMMYFUNCTION("""COMPUTED_VALUE"""),-784752.3)</f>
        <v>-784752.3</v>
      </c>
      <c r="AB25" s="12">
        <f>IFERROR(__xludf.DUMMYFUNCTION("""COMPUTED_VALUE"""),-784726.8)</f>
        <v>-784726.8</v>
      </c>
      <c r="AC25" s="12">
        <f>IFERROR(__xludf.DUMMYFUNCTION("""COMPUTED_VALUE"""),-783436.5)</f>
        <v>-783436.5</v>
      </c>
      <c r="AD25" s="12">
        <f>IFERROR(__xludf.DUMMYFUNCTION("""COMPUTED_VALUE"""),-779157.6000000001)</f>
        <v>-779157.6</v>
      </c>
      <c r="AE25" s="12">
        <f>IFERROR(__xludf.DUMMYFUNCTION("""COMPUTED_VALUE"""),-773719.3)</f>
        <v>-773719.3</v>
      </c>
      <c r="AF25" s="12">
        <f>IFERROR(__xludf.DUMMYFUNCTION("""COMPUTED_VALUE"""),-767121.6000000001)</f>
        <v>-767121.6</v>
      </c>
      <c r="AG25" s="12">
        <f>IFERROR(__xludf.DUMMYFUNCTION("""COMPUTED_VALUE"""),-757798.8)</f>
        <v>-757798.8</v>
      </c>
      <c r="AH25" s="12">
        <f>IFERROR(__xludf.DUMMYFUNCTION("""COMPUTED_VALUE"""),-747422.0)</f>
        <v>-747422</v>
      </c>
      <c r="AI25" s="12">
        <f>IFERROR(__xludf.DUMMYFUNCTION("""COMPUTED_VALUE"""),-735991.2000000001)</f>
        <v>-735991.2</v>
      </c>
      <c r="AJ25" s="12">
        <f>IFERROR(__xludf.DUMMYFUNCTION("""COMPUTED_VALUE"""),-9249820.7)</f>
        <v>-9249820.7</v>
      </c>
      <c r="AK25" s="12">
        <f>IFERROR(__xludf.DUMMYFUNCTION("""COMPUTED_VALUE"""),-0.20401466066741655)</f>
        <v>-0.2040146607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>
      <c r="A26" s="5"/>
      <c r="B26" s="5"/>
      <c r="C26" s="5" t="str">
        <f>IFERROR(__xludf.DUMMYFUNCTION("""COMPUTED_VALUE"""),"Fixed Overhead-Admin-MC")</f>
        <v>Fixed Overhead-Admin-MC</v>
      </c>
      <c r="D26" s="5" t="str">
        <f>IFERROR(__xludf.DUMMYFUNCTION("""COMPUTED_VALUE"""),"管理中心費用")</f>
        <v>管理中心費用</v>
      </c>
      <c r="E26" s="5" t="str">
        <f>IFERROR(__xludf.DUMMYFUNCTION("""COMPUTED_VALUE"""),"管理團隊，經常性營收 x 費用率")</f>
        <v>管理團隊，經常性營收 x 費用率</v>
      </c>
      <c r="F26" s="6" t="s">
        <v>6</v>
      </c>
      <c r="G26" s="6" t="s">
        <v>8</v>
      </c>
      <c r="H26" s="7">
        <f>IFERROR(__xludf.DUMMYFUNCTION("""COMPUTED_VALUE"""),-780179.0)</f>
        <v>-780179</v>
      </c>
      <c r="I26" s="7">
        <f>IFERROR(__xludf.DUMMYFUNCTION("""COMPUTED_VALUE"""),-892360.0)</f>
        <v>-892360</v>
      </c>
      <c r="J26" s="7">
        <f>IFERROR(__xludf.DUMMYFUNCTION("""COMPUTED_VALUE"""),-904596.0)</f>
        <v>-904596</v>
      </c>
      <c r="K26" s="7">
        <f>IFERROR(__xludf.DUMMYFUNCTION("""COMPUTED_VALUE"""),-787904.0)</f>
        <v>-787904</v>
      </c>
      <c r="L26" s="7">
        <f>IFERROR(__xludf.DUMMYFUNCTION("""COMPUTED_VALUE"""),-737899.0)</f>
        <v>-737899</v>
      </c>
      <c r="M26" s="7">
        <f>IFERROR(__xludf.DUMMYFUNCTION("""COMPUTED_VALUE"""),-59961.0)</f>
        <v>-59961</v>
      </c>
      <c r="N26" s="7">
        <f>IFERROR(__xludf.DUMMYFUNCTION("""COMPUTED_VALUE"""),-4162899.0)</f>
        <v>-4162899</v>
      </c>
      <c r="O26" s="7"/>
      <c r="P26" s="7">
        <f>IFERROR(__xludf.DUMMYFUNCTION("""COMPUTED_VALUE"""),-700000.0)</f>
        <v>-700000</v>
      </c>
      <c r="Q26" s="7">
        <f>IFERROR(__xludf.DUMMYFUNCTION("""COMPUTED_VALUE"""),-700000.0)</f>
        <v>-700000</v>
      </c>
      <c r="R26" s="7">
        <f>IFERROR(__xludf.DUMMYFUNCTION("""COMPUTED_VALUE"""),-700000.0)</f>
        <v>-700000</v>
      </c>
      <c r="S26" s="7">
        <f>IFERROR(__xludf.DUMMYFUNCTION("""COMPUTED_VALUE"""),-700000.0)</f>
        <v>-700000</v>
      </c>
      <c r="T26" s="7">
        <f>IFERROR(__xludf.DUMMYFUNCTION("""COMPUTED_VALUE"""),-700000.0)</f>
        <v>-700000</v>
      </c>
      <c r="U26" s="7">
        <f>IFERROR(__xludf.DUMMYFUNCTION("""COMPUTED_VALUE"""),-700000.0)</f>
        <v>-700000</v>
      </c>
      <c r="V26" s="7">
        <f>IFERROR(__xludf.DUMMYFUNCTION("""COMPUTED_VALUE"""),-8362899.0)</f>
        <v>-8362899</v>
      </c>
      <c r="W26" s="7"/>
      <c r="X26" s="7">
        <f>IFERROR(__xludf.DUMMYFUNCTION("""COMPUTED_VALUE"""),-644300.0)</f>
        <v>-644300</v>
      </c>
      <c r="Y26" s="7">
        <f>IFERROR(__xludf.DUMMYFUNCTION("""COMPUTED_VALUE"""),-649740.0)</f>
        <v>-649740</v>
      </c>
      <c r="Z26" s="7">
        <f>IFERROR(__xludf.DUMMYFUNCTION("""COMPUTED_VALUE"""),-654075.0)</f>
        <v>-654075</v>
      </c>
      <c r="AA26" s="7">
        <f>IFERROR(__xludf.DUMMYFUNCTION("""COMPUTED_VALUE"""),-655732.5)</f>
        <v>-655732.5</v>
      </c>
      <c r="AB26" s="7">
        <f>IFERROR(__xludf.DUMMYFUNCTION("""COMPUTED_VALUE"""),-656370.0)</f>
        <v>-656370</v>
      </c>
      <c r="AC26" s="7">
        <f>IFERROR(__xludf.DUMMYFUNCTION("""COMPUTED_VALUE"""),-655987.5)</f>
        <v>-655987.5</v>
      </c>
      <c r="AD26" s="7">
        <f>IFERROR(__xludf.DUMMYFUNCTION("""COMPUTED_VALUE"""),-653140.0)</f>
        <v>-653140</v>
      </c>
      <c r="AE26" s="7">
        <f>IFERROR(__xludf.DUMMYFUNCTION("""COMPUTED_VALUE"""),-649357.5)</f>
        <v>-649357.5</v>
      </c>
      <c r="AF26" s="7">
        <f>IFERROR(__xludf.DUMMYFUNCTION("""COMPUTED_VALUE"""),-644640.0)</f>
        <v>-644640</v>
      </c>
      <c r="AG26" s="7">
        <f>IFERROR(__xludf.DUMMYFUNCTION("""COMPUTED_VALUE"""),-637670.0)</f>
        <v>-637670</v>
      </c>
      <c r="AH26" s="7">
        <f>IFERROR(__xludf.DUMMYFUNCTION("""COMPUTED_VALUE"""),-629850.0)</f>
        <v>-629850</v>
      </c>
      <c r="AI26" s="7">
        <f>IFERROR(__xludf.DUMMYFUNCTION("""COMPUTED_VALUE"""),-621180.0)</f>
        <v>-621180</v>
      </c>
      <c r="AJ26" s="7">
        <f>IFERROR(__xludf.DUMMYFUNCTION("""COMPUTED_VALUE"""),-7752042.5)</f>
        <v>-7752042.5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>
      <c r="A27" s="5"/>
      <c r="B27" s="5"/>
      <c r="C27" s="5" t="str">
        <f>IFERROR(__xludf.DUMMYFUNCTION("""COMPUTED_VALUE"""),"Fixed Overhead-Admin-FN")</f>
        <v>Fixed Overhead-Admin-FN</v>
      </c>
      <c r="D27" s="5" t="str">
        <f>IFERROR(__xludf.DUMMYFUNCTION("""COMPUTED_VALUE"""),"財務中心費用")</f>
        <v>財務中心費用</v>
      </c>
      <c r="E27" s="5" t="str">
        <f>IFERROR(__xludf.DUMMYFUNCTION("""COMPUTED_VALUE"""),"財務團隊，經常性營收 x 費用率")</f>
        <v>財務團隊，經常性營收 x 費用率</v>
      </c>
      <c r="F27" s="6" t="s">
        <v>6</v>
      </c>
      <c r="G27" s="6" t="s">
        <v>8</v>
      </c>
      <c r="H27" s="7">
        <f>IFERROR(__xludf.DUMMYFUNCTION("""COMPUTED_VALUE"""),0.0)</f>
        <v>0</v>
      </c>
      <c r="I27" s="7">
        <f>IFERROR(__xludf.DUMMYFUNCTION("""COMPUTED_VALUE"""),0.0)</f>
        <v>0</v>
      </c>
      <c r="J27" s="7">
        <f>IFERROR(__xludf.DUMMYFUNCTION("""COMPUTED_VALUE"""),0.0)</f>
        <v>0</v>
      </c>
      <c r="K27" s="7">
        <f>IFERROR(__xludf.DUMMYFUNCTION("""COMPUTED_VALUE"""),0.0)</f>
        <v>0</v>
      </c>
      <c r="L27" s="7">
        <f>IFERROR(__xludf.DUMMYFUNCTION("""COMPUTED_VALUE"""),0.0)</f>
        <v>0</v>
      </c>
      <c r="M27" s="7">
        <f>IFERROR(__xludf.DUMMYFUNCTION("""COMPUTED_VALUE"""),0.0)</f>
        <v>0</v>
      </c>
      <c r="N27" s="7">
        <f>IFERROR(__xludf.DUMMYFUNCTION("""COMPUTED_VALUE"""),0.0)</f>
        <v>0</v>
      </c>
      <c r="O27" s="7"/>
      <c r="P27" s="7">
        <f>IFERROR(__xludf.DUMMYFUNCTION("""COMPUTED_VALUE"""),-33376.0)</f>
        <v>-33376</v>
      </c>
      <c r="Q27" s="7">
        <f>IFERROR(__xludf.DUMMYFUNCTION("""COMPUTED_VALUE"""),-33376.0)</f>
        <v>-33376</v>
      </c>
      <c r="R27" s="7">
        <f>IFERROR(__xludf.DUMMYFUNCTION("""COMPUTED_VALUE"""),-33376.0)</f>
        <v>-33376</v>
      </c>
      <c r="S27" s="7">
        <f>IFERROR(__xludf.DUMMYFUNCTION("""COMPUTED_VALUE"""),-33376.0)</f>
        <v>-33376</v>
      </c>
      <c r="T27" s="7">
        <f>IFERROR(__xludf.DUMMYFUNCTION("""COMPUTED_VALUE"""),-33376.0)</f>
        <v>-33376</v>
      </c>
      <c r="U27" s="7">
        <f>IFERROR(__xludf.DUMMYFUNCTION("""COMPUTED_VALUE"""),-36569.0)</f>
        <v>-36569</v>
      </c>
      <c r="V27" s="7">
        <f>IFERROR(__xludf.DUMMYFUNCTION("""COMPUTED_VALUE"""),-203449.0)</f>
        <v>-203449</v>
      </c>
      <c r="W27" s="7"/>
      <c r="X27" s="7">
        <f>IFERROR(__xludf.DUMMYFUNCTION("""COMPUTED_VALUE"""),-32215.0)</f>
        <v>-32215</v>
      </c>
      <c r="Y27" s="7">
        <f>IFERROR(__xludf.DUMMYFUNCTION("""COMPUTED_VALUE"""),-32653.6)</f>
        <v>-32653.6</v>
      </c>
      <c r="Z27" s="7">
        <f>IFERROR(__xludf.DUMMYFUNCTION("""COMPUTED_VALUE"""),-33048.0)</f>
        <v>-33048</v>
      </c>
      <c r="AA27" s="7">
        <f>IFERROR(__xludf.DUMMYFUNCTION("""COMPUTED_VALUE"""),-33318.3)</f>
        <v>-33318.3</v>
      </c>
      <c r="AB27" s="7">
        <f>IFERROR(__xludf.DUMMYFUNCTION("""COMPUTED_VALUE"""),-33547.8)</f>
        <v>-33547.8</v>
      </c>
      <c r="AC27" s="7">
        <f>IFERROR(__xludf.DUMMYFUNCTION("""COMPUTED_VALUE"""),-33736.5)</f>
        <v>-33736.5</v>
      </c>
      <c r="AD27" s="7">
        <f>IFERROR(__xludf.DUMMYFUNCTION("""COMPUTED_VALUE"""),-33809.600000000035)</f>
        <v>-33809.6</v>
      </c>
      <c r="AE27" s="7">
        <f>IFERROR(__xludf.DUMMYFUNCTION("""COMPUTED_VALUE"""),-33845.30000000004)</f>
        <v>-33845.3</v>
      </c>
      <c r="AF27" s="7">
        <f>IFERROR(__xludf.DUMMYFUNCTION("""COMPUTED_VALUE"""),-33843.60000000004)</f>
        <v>-33843.6</v>
      </c>
      <c r="AG27" s="7">
        <f>IFERROR(__xludf.DUMMYFUNCTION("""COMPUTED_VALUE"""),-33734.80000000004)</f>
        <v>-33734.8</v>
      </c>
      <c r="AH27" s="7">
        <f>IFERROR(__xludf.DUMMYFUNCTION("""COMPUTED_VALUE"""),-33592.000000000044)</f>
        <v>-33592</v>
      </c>
      <c r="AI27" s="7">
        <f>IFERROR(__xludf.DUMMYFUNCTION("""COMPUTED_VALUE"""),-33415.20000000004)</f>
        <v>-33415.2</v>
      </c>
      <c r="AJ27" s="7">
        <f>IFERROR(__xludf.DUMMYFUNCTION("""COMPUTED_VALUE"""),-400759.7000000003)</f>
        <v>-400759.7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>
      <c r="A28" s="5"/>
      <c r="B28" s="5"/>
      <c r="C28" s="5" t="str">
        <f>IFERROR(__xludf.DUMMYFUNCTION("""COMPUTED_VALUE"""),"Fixed Overhead-Admin-STR")</f>
        <v>Fixed Overhead-Admin-STR</v>
      </c>
      <c r="D28" s="5" t="str">
        <f>IFERROR(__xludf.DUMMYFUNCTION("""COMPUTED_VALUE"""),"策略資料中心費用")</f>
        <v>策略資料中心費用</v>
      </c>
      <c r="E28" s="5" t="str">
        <f>IFERROR(__xludf.DUMMYFUNCTION("""COMPUTED_VALUE"""),"策略團隊，經常性營收 x 費用率")</f>
        <v>策略團隊，經常性營收 x 費用率</v>
      </c>
      <c r="F28" s="10" t="s">
        <v>6</v>
      </c>
      <c r="G28" s="10" t="s">
        <v>8</v>
      </c>
      <c r="H28" s="7">
        <f>IFERROR(__xludf.DUMMYFUNCTION("""COMPUTED_VALUE"""),0.0)</f>
        <v>0</v>
      </c>
      <c r="I28" s="7">
        <f>IFERROR(__xludf.DUMMYFUNCTION("""COMPUTED_VALUE"""),0.0)</f>
        <v>0</v>
      </c>
      <c r="J28" s="7">
        <f>IFERROR(__xludf.DUMMYFUNCTION("""COMPUTED_VALUE"""),0.0)</f>
        <v>0</v>
      </c>
      <c r="K28" s="7">
        <f>IFERROR(__xludf.DUMMYFUNCTION("""COMPUTED_VALUE"""),0.0)</f>
        <v>0</v>
      </c>
      <c r="L28" s="7">
        <f>IFERROR(__xludf.DUMMYFUNCTION("""COMPUTED_VALUE"""),0.0)</f>
        <v>0</v>
      </c>
      <c r="M28" s="7">
        <f>IFERROR(__xludf.DUMMYFUNCTION("""COMPUTED_VALUE"""),0.0)</f>
        <v>0</v>
      </c>
      <c r="N28" s="7">
        <f>IFERROR(__xludf.DUMMYFUNCTION("""COMPUTED_VALUE"""),0.0)</f>
        <v>0</v>
      </c>
      <c r="O28" s="7"/>
      <c r="P28" s="7">
        <f>IFERROR(__xludf.DUMMYFUNCTION("""COMPUTED_VALUE"""),-15167.0)</f>
        <v>-15167</v>
      </c>
      <c r="Q28" s="7">
        <f>IFERROR(__xludf.DUMMYFUNCTION("""COMPUTED_VALUE"""),-18115.0)</f>
        <v>-18115</v>
      </c>
      <c r="R28" s="7">
        <f>IFERROR(__xludf.DUMMYFUNCTION("""COMPUTED_VALUE"""),-19909.0)</f>
        <v>-19909</v>
      </c>
      <c r="S28" s="7">
        <f>IFERROR(__xludf.DUMMYFUNCTION("""COMPUTED_VALUE"""),-19205.0)</f>
        <v>-19205</v>
      </c>
      <c r="T28" s="7">
        <f>IFERROR(__xludf.DUMMYFUNCTION("""COMPUTED_VALUE"""),-18135.0)</f>
        <v>-18135</v>
      </c>
      <c r="U28" s="7">
        <f>IFERROR(__xludf.DUMMYFUNCTION("""COMPUTED_VALUE"""),-18135.0)</f>
        <v>-18135</v>
      </c>
      <c r="V28" s="7">
        <f>IFERROR(__xludf.DUMMYFUNCTION("""COMPUTED_VALUE"""),-108666.0)</f>
        <v>-108666</v>
      </c>
      <c r="W28" s="7"/>
      <c r="X28" s="7">
        <f>IFERROR(__xludf.DUMMYFUNCTION("""COMPUTED_VALUE"""),-16107.5)</f>
        <v>-16107.5</v>
      </c>
      <c r="Y28" s="7">
        <f>IFERROR(__xludf.DUMMYFUNCTION("""COMPUTED_VALUE"""),-16660.0)</f>
        <v>-16660</v>
      </c>
      <c r="Z28" s="7">
        <f>IFERROR(__xludf.DUMMYFUNCTION("""COMPUTED_VALUE"""),-17212.5)</f>
        <v>-17212.5</v>
      </c>
      <c r="AA28" s="7">
        <f>IFERROR(__xludf.DUMMYFUNCTION("""COMPUTED_VALUE"""),-17722.5)</f>
        <v>-17722.5</v>
      </c>
      <c r="AB28" s="7">
        <f>IFERROR(__xludf.DUMMYFUNCTION("""COMPUTED_VALUE"""),-18232.5)</f>
        <v>-18232.5</v>
      </c>
      <c r="AC28" s="7">
        <f>IFERROR(__xludf.DUMMYFUNCTION("""COMPUTED_VALUE"""),-18742.5)</f>
        <v>-18742.5</v>
      </c>
      <c r="AD28" s="7">
        <f>IFERROR(__xludf.DUMMYFUNCTION("""COMPUTED_VALUE"""),-19210.0)</f>
        <v>-19210</v>
      </c>
      <c r="AE28" s="7">
        <f>IFERROR(__xludf.DUMMYFUNCTION("""COMPUTED_VALUE"""),-19677.5)</f>
        <v>-19677.5</v>
      </c>
      <c r="AF28" s="7">
        <f>IFERROR(__xludf.DUMMYFUNCTION("""COMPUTED_VALUE"""),-20145.0)</f>
        <v>-20145</v>
      </c>
      <c r="AG28" s="7">
        <f>IFERROR(__xludf.DUMMYFUNCTION("""COMPUTED_VALUE"""),-20570.0)</f>
        <v>-20570</v>
      </c>
      <c r="AH28" s="7">
        <f>IFERROR(__xludf.DUMMYFUNCTION("""COMPUTED_VALUE"""),-20995.0)</f>
        <v>-20995</v>
      </c>
      <c r="AI28" s="7">
        <f>IFERROR(__xludf.DUMMYFUNCTION("""COMPUTED_VALUE"""),-21420.0)</f>
        <v>-21420</v>
      </c>
      <c r="AJ28" s="7">
        <f>IFERROR(__xludf.DUMMYFUNCTION("""COMPUTED_VALUE"""),-226695.0)</f>
        <v>-226695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>
      <c r="A29" s="5"/>
      <c r="B29" s="5"/>
      <c r="C29" s="5" t="str">
        <f>IFERROR(__xludf.DUMMYFUNCTION("""COMPUTED_VALUE"""),"Fixed Overhead-Admin-CEO")</f>
        <v>Fixed Overhead-Admin-CEO</v>
      </c>
      <c r="D29" s="5" t="str">
        <f>IFERROR(__xludf.DUMMYFUNCTION("""COMPUTED_VALUE"""),"執行長室費用")</f>
        <v>執行長室費用</v>
      </c>
      <c r="E29" s="5" t="str">
        <f>IFERROR(__xludf.DUMMYFUNCTION("""COMPUTED_VALUE"""),"事業總經理辦公室，經常性營收 x 費用率")</f>
        <v>事業總經理辦公室，經常性營收 x 費用率</v>
      </c>
      <c r="F29" s="10" t="s">
        <v>6</v>
      </c>
      <c r="G29" s="10" t="s">
        <v>8</v>
      </c>
      <c r="H29" s="7">
        <f>IFERROR(__xludf.DUMMYFUNCTION("""COMPUTED_VALUE"""),0.0)</f>
        <v>0</v>
      </c>
      <c r="I29" s="7">
        <f>IFERROR(__xludf.DUMMYFUNCTION("""COMPUTED_VALUE"""),0.0)</f>
        <v>0</v>
      </c>
      <c r="J29" s="7">
        <f>IFERROR(__xludf.DUMMYFUNCTION("""COMPUTED_VALUE"""),0.0)</f>
        <v>0</v>
      </c>
      <c r="K29" s="7">
        <f>IFERROR(__xludf.DUMMYFUNCTION("""COMPUTED_VALUE"""),0.0)</f>
        <v>0</v>
      </c>
      <c r="L29" s="7">
        <f>IFERROR(__xludf.DUMMYFUNCTION("""COMPUTED_VALUE"""),0.0)</f>
        <v>0</v>
      </c>
      <c r="M29" s="7">
        <f>IFERROR(__xludf.DUMMYFUNCTION("""COMPUTED_VALUE"""),0.0)</f>
        <v>0</v>
      </c>
      <c r="N29" s="7">
        <f>IFERROR(__xludf.DUMMYFUNCTION("""COMPUTED_VALUE"""),0.0)</f>
        <v>0</v>
      </c>
      <c r="O29" s="7"/>
      <c r="P29" s="7">
        <f>IFERROR(__xludf.DUMMYFUNCTION("""COMPUTED_VALUE"""),-112669.0)</f>
        <v>-112669</v>
      </c>
      <c r="Q29" s="7">
        <f>IFERROR(__xludf.DUMMYFUNCTION("""COMPUTED_VALUE"""),-112669.0)</f>
        <v>-112669</v>
      </c>
      <c r="R29" s="7">
        <f>IFERROR(__xludf.DUMMYFUNCTION("""COMPUTED_VALUE"""),-112669.0)</f>
        <v>-112669</v>
      </c>
      <c r="S29" s="7">
        <f>IFERROR(__xludf.DUMMYFUNCTION("""COMPUTED_VALUE"""),-112669.0)</f>
        <v>-112669</v>
      </c>
      <c r="T29" s="7">
        <f>IFERROR(__xludf.DUMMYFUNCTION("""COMPUTED_VALUE"""),-112669.0)</f>
        <v>-112669</v>
      </c>
      <c r="U29" s="7">
        <f>IFERROR(__xludf.DUMMYFUNCTION("""COMPUTED_VALUE"""),-112669.0)</f>
        <v>-112669</v>
      </c>
      <c r="V29" s="7">
        <f>IFERROR(__xludf.DUMMYFUNCTION("""COMPUTED_VALUE"""),-676014.0)</f>
        <v>-676014</v>
      </c>
      <c r="W29" s="7"/>
      <c r="X29" s="7">
        <f>IFERROR(__xludf.DUMMYFUNCTION("""COMPUTED_VALUE"""),-80537.5)</f>
        <v>-80537.5</v>
      </c>
      <c r="Y29" s="7">
        <f>IFERROR(__xludf.DUMMYFUNCTION("""COMPUTED_VALUE"""),-79968.0)</f>
        <v>-79968</v>
      </c>
      <c r="Z29" s="7">
        <f>IFERROR(__xludf.DUMMYFUNCTION("""COMPUTED_VALUE"""),-79177.5)</f>
        <v>-79177.5</v>
      </c>
      <c r="AA29" s="7">
        <f>IFERROR(__xludf.DUMMYFUNCTION("""COMPUTED_VALUE"""),-77979.0)</f>
        <v>-77979</v>
      </c>
      <c r="AB29" s="7">
        <f>IFERROR(__xludf.DUMMYFUNCTION("""COMPUTED_VALUE"""),-76576.5)</f>
        <v>-76576.5</v>
      </c>
      <c r="AC29" s="7">
        <f>IFERROR(__xludf.DUMMYFUNCTION("""COMPUTED_VALUE"""),-74970.0)</f>
        <v>-74970</v>
      </c>
      <c r="AD29" s="7">
        <f>IFERROR(__xludf.DUMMYFUNCTION("""COMPUTED_VALUE"""),-72998.0)</f>
        <v>-72998</v>
      </c>
      <c r="AE29" s="7">
        <f>IFERROR(__xludf.DUMMYFUNCTION("""COMPUTED_VALUE"""),-70839.0)</f>
        <v>-70839</v>
      </c>
      <c r="AF29" s="7">
        <f>IFERROR(__xludf.DUMMYFUNCTION("""COMPUTED_VALUE"""),-68493.0)</f>
        <v>-68493</v>
      </c>
      <c r="AG29" s="7">
        <f>IFERROR(__xludf.DUMMYFUNCTION("""COMPUTED_VALUE"""),-65824.0)</f>
        <v>-65824</v>
      </c>
      <c r="AH29" s="7">
        <f>IFERROR(__xludf.DUMMYFUNCTION("""COMPUTED_VALUE"""),-62985.0)</f>
        <v>-62985</v>
      </c>
      <c r="AI29" s="7">
        <f>IFERROR(__xludf.DUMMYFUNCTION("""COMPUTED_VALUE"""),-59976.0)</f>
        <v>-59976</v>
      </c>
      <c r="AJ29" s="7">
        <f>IFERROR(__xludf.DUMMYFUNCTION("""COMPUTED_VALUE"""),-870323.5)</f>
        <v>-870323.5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>
      <c r="A30" s="5" t="str">
        <f>IFERROR(__xludf.DUMMYFUNCTION("""COMPUTED_VALUE"""),"Earning Before CAC")</f>
        <v>Earning Before CAC</v>
      </c>
      <c r="B30" s="5" t="str">
        <f>IFERROR(__xludf.DUMMYFUNCTION("""COMPUTED_VALUE"""),"加總")</f>
        <v>加總</v>
      </c>
      <c r="C30" s="5" t="str">
        <f>IFERROR(__xludf.DUMMYFUNCTION("""COMPUTED_VALUE"""),"Earning Before CAC")</f>
        <v>Earning Before CAC</v>
      </c>
      <c r="D30" s="5"/>
      <c r="E30" s="5"/>
      <c r="F30" s="10" t="s">
        <v>2</v>
      </c>
      <c r="G30" s="6" t="s">
        <v>3</v>
      </c>
      <c r="H30" s="7">
        <f>IFERROR(__xludf.DUMMYFUNCTION("""COMPUTED_VALUE"""),-888744.0)</f>
        <v>-888744</v>
      </c>
      <c r="I30" s="7">
        <f>IFERROR(__xludf.DUMMYFUNCTION("""COMPUTED_VALUE"""),-861066.0)</f>
        <v>-861066</v>
      </c>
      <c r="J30" s="7">
        <f>IFERROR(__xludf.DUMMYFUNCTION("""COMPUTED_VALUE"""),-1309550.0)</f>
        <v>-1309550</v>
      </c>
      <c r="K30" s="7">
        <f>IFERROR(__xludf.DUMMYFUNCTION("""COMPUTED_VALUE"""),-955849.0)</f>
        <v>-955849</v>
      </c>
      <c r="L30" s="7">
        <f>IFERROR(__xludf.DUMMYFUNCTION("""COMPUTED_VALUE"""),-859188.0)</f>
        <v>-859188</v>
      </c>
      <c r="M30" s="7">
        <f>IFERROR(__xludf.DUMMYFUNCTION("""COMPUTED_VALUE"""),-133820.0)</f>
        <v>-133820</v>
      </c>
      <c r="N30" s="7">
        <f>IFERROR(__xludf.DUMMYFUNCTION("""COMPUTED_VALUE"""),-5008217.0)</f>
        <v>-5008217</v>
      </c>
      <c r="O30" s="7">
        <f>IFERROR(__xludf.DUMMYFUNCTION("""COMPUTED_VALUE"""),-0.4922735664283974)</f>
        <v>-0.4922735664</v>
      </c>
      <c r="P30" s="7">
        <f>IFERROR(__xludf.DUMMYFUNCTION("""COMPUTED_VALUE"""),-1192278.0)</f>
        <v>-1192278</v>
      </c>
      <c r="Q30" s="7">
        <f>IFERROR(__xludf.DUMMYFUNCTION("""COMPUTED_VALUE"""),-872404.0)</f>
        <v>-872404</v>
      </c>
      <c r="R30" s="7">
        <f>IFERROR(__xludf.DUMMYFUNCTION("""COMPUTED_VALUE"""),-696293.0)</f>
        <v>-696293</v>
      </c>
      <c r="S30" s="7">
        <f>IFERROR(__xludf.DUMMYFUNCTION("""COMPUTED_VALUE"""),-533341.0)</f>
        <v>-533341</v>
      </c>
      <c r="T30" s="7">
        <f>IFERROR(__xludf.DUMMYFUNCTION("""COMPUTED_VALUE"""),-302789.0)</f>
        <v>-302789</v>
      </c>
      <c r="U30" s="7">
        <f>IFERROR(__xludf.DUMMYFUNCTION("""COMPUTED_VALUE"""),-89133.0)</f>
        <v>-89133</v>
      </c>
      <c r="V30" s="7">
        <f>IFERROR(__xludf.DUMMYFUNCTION("""COMPUTED_VALUE"""),-8694455.0)</f>
        <v>-8694455</v>
      </c>
      <c r="W30" s="7">
        <f>IFERROR(__xludf.DUMMYFUNCTION("""COMPUTED_VALUE"""),-0.35607033753488543)</f>
        <v>-0.3560703375</v>
      </c>
      <c r="X30" s="7">
        <f>IFERROR(__xludf.DUMMYFUNCTION("""COMPUTED_VALUE"""),119195.49999999977)</f>
        <v>119195.5</v>
      </c>
      <c r="Y30" s="7">
        <f>IFERROR(__xludf.DUMMYFUNCTION("""COMPUTED_VALUE"""),217246.40000000002)</f>
        <v>217246.4</v>
      </c>
      <c r="Z30" s="7">
        <f>IFERROR(__xludf.DUMMYFUNCTION("""COMPUTED_VALUE"""),321529.5)</f>
        <v>321529.5</v>
      </c>
      <c r="AA30" s="7">
        <f>IFERROR(__xludf.DUMMYFUNCTION("""COMPUTED_VALUE"""),431011.19999999995)</f>
        <v>431011.2</v>
      </c>
      <c r="AB30" s="7">
        <f>IFERROR(__xludf.DUMMYFUNCTION("""COMPUTED_VALUE"""),546245.7)</f>
        <v>546245.7</v>
      </c>
      <c r="AC30" s="7">
        <f>IFERROR(__xludf.DUMMYFUNCTION("""COMPUTED_VALUE"""),667233.0)</f>
        <v>667233</v>
      </c>
      <c r="AD30" s="7">
        <f>IFERROR(__xludf.DUMMYFUNCTION("""COMPUTED_VALUE"""),715380.3999999999)</f>
        <v>715380.4</v>
      </c>
      <c r="AE30" s="7">
        <f>IFERROR(__xludf.DUMMYFUNCTION("""COMPUTED_VALUE"""),765061.2)</f>
        <v>765061.2</v>
      </c>
      <c r="AF30" s="7">
        <f>IFERROR(__xludf.DUMMYFUNCTION("""COMPUTED_VALUE"""),896855.3999999999)</f>
        <v>896855.4</v>
      </c>
      <c r="AG30" s="7">
        <f>IFERROR(__xludf.DUMMYFUNCTION("""COMPUTED_VALUE"""),949511.2)</f>
        <v>949511.2</v>
      </c>
      <c r="AH30" s="7">
        <f>IFERROR(__xludf.DUMMYFUNCTION("""COMPUTED_VALUE"""),1129531.0)</f>
        <v>1129531</v>
      </c>
      <c r="AI30" s="7">
        <f>IFERROR(__xludf.DUMMYFUNCTION("""COMPUTED_VALUE"""),1273204.7999999998)</f>
        <v>1273204.8</v>
      </c>
      <c r="AJ30" s="7">
        <f>IFERROR(__xludf.DUMMYFUNCTION("""COMPUTED_VALUE"""),8032005.299999999)</f>
        <v>8032005.3</v>
      </c>
      <c r="AK30" s="7">
        <f>IFERROR(__xludf.DUMMYFUNCTION("""COMPUTED_VALUE"""),0.17715444319460066)</f>
        <v>0.1771544432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>
      <c r="A31" s="5" t="str">
        <f>IFERROR(__xludf.DUMMYFUNCTION("""COMPUTED_VALUE"""),"Earning Before CAC %")</f>
        <v>Earning Before CAC %</v>
      </c>
      <c r="B31" s="5" t="str">
        <f>IFERROR(__xludf.DUMMYFUNCTION("""COMPUTED_VALUE"""),"加總")</f>
        <v>加總</v>
      </c>
      <c r="C31" s="5" t="str">
        <f>IFERROR(__xludf.DUMMYFUNCTION("""COMPUTED_VALUE"""),"Earning Before CAC %")</f>
        <v>Earning Before CAC %</v>
      </c>
      <c r="D31" s="5"/>
      <c r="E31" s="5"/>
      <c r="F31" s="10" t="s">
        <v>2</v>
      </c>
      <c r="G31" s="6" t="s">
        <v>3</v>
      </c>
      <c r="H31" s="7">
        <f>IFERROR(__xludf.DUMMYFUNCTION("""COMPUTED_VALUE"""),-0.5316262159442882)</f>
        <v>-0.5316262159</v>
      </c>
      <c r="I31" s="7">
        <f>IFERROR(__xludf.DUMMYFUNCTION("""COMPUTED_VALUE"""),-0.49954052755790396)</f>
        <v>-0.4995405276</v>
      </c>
      <c r="J31" s="7">
        <f>IFERROR(__xludf.DUMMYFUNCTION("""COMPUTED_VALUE"""),-0.7899748508636306)</f>
        <v>-0.7899748509</v>
      </c>
      <c r="K31" s="7">
        <f>IFERROR(__xludf.DUMMYFUNCTION("""COMPUTED_VALUE"""),-0.5778811867540316)</f>
        <v>-0.5778811868</v>
      </c>
      <c r="L31" s="7">
        <f>IFERROR(__xludf.DUMMYFUNCTION("""COMPUTED_VALUE"""),-0.4945638659409278)</f>
        <v>-0.4945638659</v>
      </c>
      <c r="M31" s="7">
        <f>IFERROR(__xludf.DUMMYFUNCTION("""COMPUTED_VALUE"""),-0.07739058069538172)</f>
        <v>-0.0773905807</v>
      </c>
      <c r="N31" s="7"/>
      <c r="O31" s="7"/>
      <c r="P31" s="7">
        <f>IFERROR(__xludf.DUMMYFUNCTION("""COMPUTED_VALUE"""),-0.6406132549159096)</f>
        <v>-0.6406132549</v>
      </c>
      <c r="Q31" s="7">
        <f>IFERROR(__xludf.DUMMYFUNCTION("""COMPUTED_VALUE"""),-0.426061522728305)</f>
        <v>-0.4260615227</v>
      </c>
      <c r="R31" s="7">
        <f>IFERROR(__xludf.DUMMYFUNCTION("""COMPUTED_VALUE"""),-0.30984211376477305)</f>
        <v>-0.3098421138</v>
      </c>
      <c r="S31" s="7">
        <f>IFERROR(__xludf.DUMMYFUNCTION("""COMPUTED_VALUE"""),-0.21737957310797917)</f>
        <v>-0.2173795731</v>
      </c>
      <c r="T31" s="7">
        <f>IFERROR(__xludf.DUMMYFUNCTION("""COMPUTED_VALUE"""),-0.11251491489914352)</f>
        <v>-0.1125149149</v>
      </c>
      <c r="U31" s="7">
        <f>IFERROR(__xludf.DUMMYFUNCTION("""COMPUTED_VALUE"""),-0.030280773120628792)</f>
        <v>-0.03028077312</v>
      </c>
      <c r="V31" s="7"/>
      <c r="W31" s="7"/>
      <c r="X31" s="7">
        <f>IFERROR(__xludf.DUMMYFUNCTION("""COMPUTED_VALUE"""),0.03699999999999993)</f>
        <v>0.037</v>
      </c>
      <c r="Y31" s="7">
        <f>IFERROR(__xludf.DUMMYFUNCTION("""COMPUTED_VALUE"""),0.06520000000000001)</f>
        <v>0.0652</v>
      </c>
      <c r="Z31" s="7">
        <f>IFERROR(__xludf.DUMMYFUNCTION("""COMPUTED_VALUE"""),0.0934)</f>
        <v>0.0934</v>
      </c>
      <c r="AA31" s="7">
        <f>IFERROR(__xludf.DUMMYFUNCTION("""COMPUTED_VALUE"""),0.12159999999999999)</f>
        <v>0.1216</v>
      </c>
      <c r="AB31" s="7">
        <f>IFERROR(__xludf.DUMMYFUNCTION("""COMPUTED_VALUE"""),0.1498)</f>
        <v>0.1498</v>
      </c>
      <c r="AC31" s="7">
        <f>IFERROR(__xludf.DUMMYFUNCTION("""COMPUTED_VALUE"""),0.178)</f>
        <v>0.178</v>
      </c>
      <c r="AD31" s="7">
        <f>IFERROR(__xludf.DUMMYFUNCTION("""COMPUTED_VALUE"""),0.18619999999999998)</f>
        <v>0.1862</v>
      </c>
      <c r="AE31" s="7">
        <f>IFERROR(__xludf.DUMMYFUNCTION("""COMPUTED_VALUE"""),0.1944)</f>
        <v>0.1944</v>
      </c>
      <c r="AF31" s="7">
        <f>IFERROR(__xludf.DUMMYFUNCTION("""COMPUTED_VALUE"""),0.22259999999999996)</f>
        <v>0.2226</v>
      </c>
      <c r="AG31" s="7">
        <f>IFERROR(__xludf.DUMMYFUNCTION("""COMPUTED_VALUE"""),0.23079999999999998)</f>
        <v>0.2308</v>
      </c>
      <c r="AH31" s="7">
        <f>IFERROR(__xludf.DUMMYFUNCTION("""COMPUTED_VALUE"""),0.269)</f>
        <v>0.269</v>
      </c>
      <c r="AI31" s="7">
        <f>IFERROR(__xludf.DUMMYFUNCTION("""COMPUTED_VALUE"""),0.29719999999999996)</f>
        <v>0.2972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>
      <c r="A32" s="5" t="str">
        <f>IFERROR(__xludf.DUMMYFUNCTION("""COMPUTED_VALUE"""),"Acquisition Cost")</f>
        <v>Acquisition Cost</v>
      </c>
      <c r="B32" s="5" t="str">
        <f>IFERROR(__xludf.DUMMYFUNCTION("""COMPUTED_VALUE"""),"加總")</f>
        <v>加總</v>
      </c>
      <c r="C32" s="5" t="str">
        <f>IFERROR(__xludf.DUMMYFUNCTION("""COMPUTED_VALUE"""),"Acquisition cost")</f>
        <v>Acquisition cost</v>
      </c>
      <c r="D32" s="5"/>
      <c r="E32" s="5"/>
      <c r="F32" s="10" t="s">
        <v>4</v>
      </c>
      <c r="G32" s="6" t="s">
        <v>5</v>
      </c>
      <c r="H32" s="7">
        <f>IFERROR(__xludf.DUMMYFUNCTION("""COMPUTED_VALUE"""),-1579531.0)</f>
        <v>-1579531</v>
      </c>
      <c r="I32" s="7">
        <f>IFERROR(__xludf.DUMMYFUNCTION("""COMPUTED_VALUE"""),-725626.0)</f>
        <v>-725626</v>
      </c>
      <c r="J32" s="7">
        <f>IFERROR(__xludf.DUMMYFUNCTION("""COMPUTED_VALUE"""),-1396013.0)</f>
        <v>-1396013</v>
      </c>
      <c r="K32" s="7">
        <f>IFERROR(__xludf.DUMMYFUNCTION("""COMPUTED_VALUE"""),-1578361.0)</f>
        <v>-1578361</v>
      </c>
      <c r="L32" s="7">
        <f>IFERROR(__xludf.DUMMYFUNCTION("""COMPUTED_VALUE"""),-1606912.0)</f>
        <v>-1606912</v>
      </c>
      <c r="M32" s="7">
        <f>IFERROR(__xludf.DUMMYFUNCTION("""COMPUTED_VALUE"""),-1526863.0)</f>
        <v>-1526863</v>
      </c>
      <c r="N32" s="7">
        <f>IFERROR(__xludf.DUMMYFUNCTION("""COMPUTED_VALUE"""),-8413306.0)</f>
        <v>-8413306</v>
      </c>
      <c r="O32" s="7">
        <f>IFERROR(__xludf.DUMMYFUNCTION("""COMPUTED_VALUE"""),-0.8269705865527461)</f>
        <v>-0.8269705866</v>
      </c>
      <c r="P32" s="7">
        <f>IFERROR(__xludf.DUMMYFUNCTION("""COMPUTED_VALUE"""),-2476609.0)</f>
        <v>-2476609</v>
      </c>
      <c r="Q32" s="7">
        <f>IFERROR(__xludf.DUMMYFUNCTION("""COMPUTED_VALUE"""),-2509424.0)</f>
        <v>-2509424</v>
      </c>
      <c r="R32" s="7">
        <f>IFERROR(__xludf.DUMMYFUNCTION("""COMPUTED_VALUE"""),-2395257.0)</f>
        <v>-2395257</v>
      </c>
      <c r="S32" s="7">
        <f>IFERROR(__xludf.DUMMYFUNCTION("""COMPUTED_VALUE"""),-2279418.0)</f>
        <v>-2279418</v>
      </c>
      <c r="T32" s="7">
        <f>IFERROR(__xludf.DUMMYFUNCTION("""COMPUTED_VALUE"""),-2271525.0)</f>
        <v>-2271525</v>
      </c>
      <c r="U32" s="7">
        <f>IFERROR(__xludf.DUMMYFUNCTION("""COMPUTED_VALUE"""),-2380275.0)</f>
        <v>-2380275</v>
      </c>
      <c r="V32" s="7">
        <f>IFERROR(__xludf.DUMMYFUNCTION("""COMPUTED_VALUE"""),-2.2725814E7)</f>
        <v>-22725814</v>
      </c>
      <c r="W32" s="7">
        <f>IFERROR(__xludf.DUMMYFUNCTION("""COMPUTED_VALUE"""),-0.9307067851561742)</f>
        <v>-0.9307067852</v>
      </c>
      <c r="X32" s="7">
        <f>IFERROR(__xludf.DUMMYFUNCTION("""COMPUTED_VALUE"""),-1400000.0)</f>
        <v>-1400000</v>
      </c>
      <c r="Y32" s="7">
        <f>IFERROR(__xludf.DUMMYFUNCTION("""COMPUTED_VALUE"""),-1400000.0)</f>
        <v>-1400000</v>
      </c>
      <c r="Z32" s="7">
        <f>IFERROR(__xludf.DUMMYFUNCTION("""COMPUTED_VALUE"""),-1400000.0)</f>
        <v>-1400000</v>
      </c>
      <c r="AA32" s="7">
        <f>IFERROR(__xludf.DUMMYFUNCTION("""COMPUTED_VALUE"""),-1400000.0)</f>
        <v>-1400000</v>
      </c>
      <c r="AB32" s="7">
        <f>IFERROR(__xludf.DUMMYFUNCTION("""COMPUTED_VALUE"""),-1400000.0)</f>
        <v>-1400000</v>
      </c>
      <c r="AC32" s="7">
        <f>IFERROR(__xludf.DUMMYFUNCTION("""COMPUTED_VALUE"""),-1400000.0)</f>
        <v>-1400000</v>
      </c>
      <c r="AD32" s="7">
        <f>IFERROR(__xludf.DUMMYFUNCTION("""COMPUTED_VALUE"""),-1400000.0)</f>
        <v>-1400000</v>
      </c>
      <c r="AE32" s="7">
        <f>IFERROR(__xludf.DUMMYFUNCTION("""COMPUTED_VALUE"""),-1400000.0)</f>
        <v>-1400000</v>
      </c>
      <c r="AF32" s="7">
        <f>IFERROR(__xludf.DUMMYFUNCTION("""COMPUTED_VALUE"""),-1400000.0)</f>
        <v>-1400000</v>
      </c>
      <c r="AG32" s="7">
        <f>IFERROR(__xludf.DUMMYFUNCTION("""COMPUTED_VALUE"""),-1400000.0)</f>
        <v>-1400000</v>
      </c>
      <c r="AH32" s="7">
        <f>IFERROR(__xludf.DUMMYFUNCTION("""COMPUTED_VALUE"""),-1400000.0)</f>
        <v>-1400000</v>
      </c>
      <c r="AI32" s="7">
        <f>IFERROR(__xludf.DUMMYFUNCTION("""COMPUTED_VALUE"""),-1400000.0)</f>
        <v>-1400000</v>
      </c>
      <c r="AJ32" s="7">
        <f>IFERROR(__xludf.DUMMYFUNCTION("""COMPUTED_VALUE"""),-1.68E7)</f>
        <v>-16800000</v>
      </c>
      <c r="AK32" s="7">
        <f>IFERROR(__xludf.DUMMYFUNCTION("""COMPUTED_VALUE"""),-0.37054191755442334)</f>
        <v>-0.3705419176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>
      <c r="A33" s="5"/>
      <c r="B33" s="5"/>
      <c r="C33" s="5" t="str">
        <f>IFERROR(__xludf.DUMMYFUNCTION("""COMPUTED_VALUE"""),"Acquisition cost")</f>
        <v>Acquisition cost</v>
      </c>
      <c r="D33" s="5" t="str">
        <f>IFERROR(__xludf.DUMMYFUNCTION("""COMPUTED_VALUE"""),"新客戶取得成本")</f>
        <v>新客戶取得成本</v>
      </c>
      <c r="E33" s="5" t="str">
        <f>IFERROR(__xludf.DUMMYFUNCTION("""COMPUTED_VALUE"""),"當月新增客戶數 x 平均客戶取得成本")</f>
        <v>當月新增客戶數 x 平均客戶取得成本</v>
      </c>
      <c r="F33" s="10" t="s">
        <v>4</v>
      </c>
      <c r="G33" s="6" t="s">
        <v>5</v>
      </c>
      <c r="H33" s="7">
        <f>IFERROR(__xludf.DUMMYFUNCTION("""COMPUTED_VALUE"""),-1579531.0)</f>
        <v>-1579531</v>
      </c>
      <c r="I33" s="7">
        <f>IFERROR(__xludf.DUMMYFUNCTION("""COMPUTED_VALUE"""),-725626.0)</f>
        <v>-725626</v>
      </c>
      <c r="J33" s="7">
        <f>IFERROR(__xludf.DUMMYFUNCTION("""COMPUTED_VALUE"""),-1396013.0)</f>
        <v>-1396013</v>
      </c>
      <c r="K33" s="7">
        <f>IFERROR(__xludf.DUMMYFUNCTION("""COMPUTED_VALUE"""),-1578361.0)</f>
        <v>-1578361</v>
      </c>
      <c r="L33" s="7">
        <f>IFERROR(__xludf.DUMMYFUNCTION("""COMPUTED_VALUE"""),-1606912.0)</f>
        <v>-1606912</v>
      </c>
      <c r="M33" s="7">
        <f>IFERROR(__xludf.DUMMYFUNCTION("""COMPUTED_VALUE"""),-1526863.0)</f>
        <v>-1526863</v>
      </c>
      <c r="N33" s="7">
        <f>IFERROR(__xludf.DUMMYFUNCTION("""COMPUTED_VALUE"""),-8413306.0)</f>
        <v>-8413306</v>
      </c>
      <c r="O33" s="7"/>
      <c r="P33" s="7">
        <f>IFERROR(__xludf.DUMMYFUNCTION("""COMPUTED_VALUE"""),-2476609.0)</f>
        <v>-2476609</v>
      </c>
      <c r="Q33" s="7">
        <f>IFERROR(__xludf.DUMMYFUNCTION("""COMPUTED_VALUE"""),-2509424.0)</f>
        <v>-2509424</v>
      </c>
      <c r="R33" s="7">
        <f>IFERROR(__xludf.DUMMYFUNCTION("""COMPUTED_VALUE"""),-2395257.0)</f>
        <v>-2395257</v>
      </c>
      <c r="S33" s="7">
        <f>IFERROR(__xludf.DUMMYFUNCTION("""COMPUTED_VALUE"""),-2279418.0)</f>
        <v>-2279418</v>
      </c>
      <c r="T33" s="7">
        <f>IFERROR(__xludf.DUMMYFUNCTION("""COMPUTED_VALUE"""),-2271525.0)</f>
        <v>-2271525</v>
      </c>
      <c r="U33" s="7">
        <f>IFERROR(__xludf.DUMMYFUNCTION("""COMPUTED_VALUE"""),-2380275.0)</f>
        <v>-2380275</v>
      </c>
      <c r="V33" s="7">
        <f>IFERROR(__xludf.DUMMYFUNCTION("""COMPUTED_VALUE"""),-2.2725814E7)</f>
        <v>-22725814</v>
      </c>
      <c r="W33" s="7"/>
      <c r="X33" s="7">
        <f>IFERROR(__xludf.DUMMYFUNCTION("""COMPUTED_VALUE"""),-1400000.0)</f>
        <v>-1400000</v>
      </c>
      <c r="Y33" s="7">
        <f>IFERROR(__xludf.DUMMYFUNCTION("""COMPUTED_VALUE"""),-1400000.0)</f>
        <v>-1400000</v>
      </c>
      <c r="Z33" s="7">
        <f>IFERROR(__xludf.DUMMYFUNCTION("""COMPUTED_VALUE"""),-1400000.0)</f>
        <v>-1400000</v>
      </c>
      <c r="AA33" s="7">
        <f>IFERROR(__xludf.DUMMYFUNCTION("""COMPUTED_VALUE"""),-1400000.0)</f>
        <v>-1400000</v>
      </c>
      <c r="AB33" s="7">
        <f>IFERROR(__xludf.DUMMYFUNCTION("""COMPUTED_VALUE"""),-1400000.0)</f>
        <v>-1400000</v>
      </c>
      <c r="AC33" s="7">
        <f>IFERROR(__xludf.DUMMYFUNCTION("""COMPUTED_VALUE"""),-1400000.0)</f>
        <v>-1400000</v>
      </c>
      <c r="AD33" s="7">
        <f>IFERROR(__xludf.DUMMYFUNCTION("""COMPUTED_VALUE"""),-1400000.0)</f>
        <v>-1400000</v>
      </c>
      <c r="AE33" s="7">
        <f>IFERROR(__xludf.DUMMYFUNCTION("""COMPUTED_VALUE"""),-1400000.0)</f>
        <v>-1400000</v>
      </c>
      <c r="AF33" s="7">
        <f>IFERROR(__xludf.DUMMYFUNCTION("""COMPUTED_VALUE"""),-1400000.0)</f>
        <v>-1400000</v>
      </c>
      <c r="AG33" s="7">
        <f>IFERROR(__xludf.DUMMYFUNCTION("""COMPUTED_VALUE"""),-1400000.0)</f>
        <v>-1400000</v>
      </c>
      <c r="AH33" s="7">
        <f>IFERROR(__xludf.DUMMYFUNCTION("""COMPUTED_VALUE"""),-1400000.0)</f>
        <v>-1400000</v>
      </c>
      <c r="AI33" s="7">
        <f>IFERROR(__xludf.DUMMYFUNCTION("""COMPUTED_VALUE"""),-1400000.0)</f>
        <v>-1400000</v>
      </c>
      <c r="AJ33" s="7">
        <f>IFERROR(__xludf.DUMMYFUNCTION("""COMPUTED_VALUE"""),-1.68E7)</f>
        <v>-16800000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>
      <c r="A34" s="5" t="str">
        <f>IFERROR(__xludf.DUMMYFUNCTION("""COMPUTED_VALUE"""),"Operating Margin	")</f>
        <v>Operating Margin	</v>
      </c>
      <c r="B34" s="5" t="str">
        <f>IFERROR(__xludf.DUMMYFUNCTION("""COMPUTED_VALUE"""),"加總")</f>
        <v>加總</v>
      </c>
      <c r="C34" s="5" t="str">
        <f>IFERROR(__xludf.DUMMYFUNCTION("""COMPUTED_VALUE"""),"Operation Margin")</f>
        <v>Operation Margin</v>
      </c>
      <c r="D34" s="5"/>
      <c r="E34" s="5"/>
      <c r="F34" s="10" t="s">
        <v>2</v>
      </c>
      <c r="G34" s="6" t="s">
        <v>3</v>
      </c>
      <c r="H34" s="7">
        <f>IFERROR(__xludf.DUMMYFUNCTION("""COMPUTED_VALUE"""),-2468275.0)</f>
        <v>-2468275</v>
      </c>
      <c r="I34" s="7">
        <f>IFERROR(__xludf.DUMMYFUNCTION("""COMPUTED_VALUE"""),-1586692.0)</f>
        <v>-1586692</v>
      </c>
      <c r="J34" s="7">
        <f>IFERROR(__xludf.DUMMYFUNCTION("""COMPUTED_VALUE"""),-2705563.0)</f>
        <v>-2705563</v>
      </c>
      <c r="K34" s="7">
        <f>IFERROR(__xludf.DUMMYFUNCTION("""COMPUTED_VALUE"""),-2534210.0)</f>
        <v>-2534210</v>
      </c>
      <c r="L34" s="7">
        <f>IFERROR(__xludf.DUMMYFUNCTION("""COMPUTED_VALUE"""),-2466100.0)</f>
        <v>-2466100</v>
      </c>
      <c r="M34" s="7">
        <f>IFERROR(__xludf.DUMMYFUNCTION("""COMPUTED_VALUE"""),-1660683.0)</f>
        <v>-1660683</v>
      </c>
      <c r="N34" s="7">
        <f>IFERROR(__xludf.DUMMYFUNCTION("""COMPUTED_VALUE"""),-1.3421523E7)</f>
        <v>-13421523</v>
      </c>
      <c r="O34" s="7">
        <f>IFERROR(__xludf.DUMMYFUNCTION("""COMPUTED_VALUE"""),-1.3192441529811436)</f>
        <v>-1.319244153</v>
      </c>
      <c r="P34" s="7">
        <f>IFERROR(__xludf.DUMMYFUNCTION("""COMPUTED_VALUE"""),-3668887.0)</f>
        <v>-3668887</v>
      </c>
      <c r="Q34" s="7">
        <f>IFERROR(__xludf.DUMMYFUNCTION("""COMPUTED_VALUE"""),-3381828.0)</f>
        <v>-3381828</v>
      </c>
      <c r="R34" s="7">
        <f>IFERROR(__xludf.DUMMYFUNCTION("""COMPUTED_VALUE"""),-3091550.0)</f>
        <v>-3091550</v>
      </c>
      <c r="S34" s="7">
        <f>IFERROR(__xludf.DUMMYFUNCTION("""COMPUTED_VALUE"""),-2812759.0)</f>
        <v>-2812759</v>
      </c>
      <c r="T34" s="7">
        <f>IFERROR(__xludf.DUMMYFUNCTION("""COMPUTED_VALUE"""),-2574314.0)</f>
        <v>-2574314</v>
      </c>
      <c r="U34" s="7">
        <f>IFERROR(__xludf.DUMMYFUNCTION("""COMPUTED_VALUE"""),-2469408.0)</f>
        <v>-2469408</v>
      </c>
      <c r="V34" s="7">
        <f>IFERROR(__xludf.DUMMYFUNCTION("""COMPUTED_VALUE"""),-3.1420269E7)</f>
        <v>-31420269</v>
      </c>
      <c r="W34" s="7">
        <f>IFERROR(__xludf.DUMMYFUNCTION("""COMPUTED_VALUE"""),-1.2867771226910596)</f>
        <v>-1.286777123</v>
      </c>
      <c r="X34" s="7">
        <f>IFERROR(__xludf.DUMMYFUNCTION("""COMPUTED_VALUE"""),-1280804.5000000002)</f>
        <v>-1280804.5</v>
      </c>
      <c r="Y34" s="7">
        <f>IFERROR(__xludf.DUMMYFUNCTION("""COMPUTED_VALUE"""),-1182753.6)</f>
        <v>-1182753.6</v>
      </c>
      <c r="Z34" s="7">
        <f>IFERROR(__xludf.DUMMYFUNCTION("""COMPUTED_VALUE"""),-1078470.5)</f>
        <v>-1078470.5</v>
      </c>
      <c r="AA34" s="7">
        <f>IFERROR(__xludf.DUMMYFUNCTION("""COMPUTED_VALUE"""),-968988.8)</f>
        <v>-968988.8</v>
      </c>
      <c r="AB34" s="7">
        <f>IFERROR(__xludf.DUMMYFUNCTION("""COMPUTED_VALUE"""),-853754.3)</f>
        <v>-853754.3</v>
      </c>
      <c r="AC34" s="7">
        <f>IFERROR(__xludf.DUMMYFUNCTION("""COMPUTED_VALUE"""),-732767.0)</f>
        <v>-732767</v>
      </c>
      <c r="AD34" s="7">
        <f>IFERROR(__xludf.DUMMYFUNCTION("""COMPUTED_VALUE"""),-684619.6000000001)</f>
        <v>-684619.6</v>
      </c>
      <c r="AE34" s="7">
        <f>IFERROR(__xludf.DUMMYFUNCTION("""COMPUTED_VALUE"""),-634938.8)</f>
        <v>-634938.8</v>
      </c>
      <c r="AF34" s="7">
        <f>IFERROR(__xludf.DUMMYFUNCTION("""COMPUTED_VALUE"""),-503144.6000000001)</f>
        <v>-503144.6</v>
      </c>
      <c r="AG34" s="7">
        <f>IFERROR(__xludf.DUMMYFUNCTION("""COMPUTED_VALUE"""),-450488.80000000005)</f>
        <v>-450488.8</v>
      </c>
      <c r="AH34" s="7">
        <f>IFERROR(__xludf.DUMMYFUNCTION("""COMPUTED_VALUE"""),-270469.0)</f>
        <v>-270469</v>
      </c>
      <c r="AI34" s="7">
        <f>IFERROR(__xludf.DUMMYFUNCTION("""COMPUTED_VALUE"""),-126795.20000000019)</f>
        <v>-126795.2</v>
      </c>
      <c r="AJ34" s="7">
        <f>IFERROR(__xludf.DUMMYFUNCTION("""COMPUTED_VALUE"""),-8767994.7)</f>
        <v>-8767994.7</v>
      </c>
      <c r="AK34" s="7">
        <f>IFERROR(__xludf.DUMMYFUNCTION("""COMPUTED_VALUE"""),-0.19338747435982265)</f>
        <v>-0.1933874744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>
      <c r="A35" s="5" t="str">
        <f>IFERROR(__xludf.DUMMYFUNCTION("""COMPUTED_VALUE"""),"Operation Margin %")</f>
        <v>Operation Margin %</v>
      </c>
      <c r="B35" s="5" t="str">
        <f>IFERROR(__xludf.DUMMYFUNCTION("""COMPUTED_VALUE"""),"加總")</f>
        <v>加總</v>
      </c>
      <c r="C35" s="5" t="str">
        <f>IFERROR(__xludf.DUMMYFUNCTION("""COMPUTED_VALUE"""),"Operation Margin %")</f>
        <v>Operation Margin %</v>
      </c>
      <c r="D35" s="5"/>
      <c r="E35" s="5"/>
      <c r="F35" s="10" t="s">
        <v>2</v>
      </c>
      <c r="G35" s="6" t="s">
        <v>3</v>
      </c>
      <c r="H35" s="7">
        <f>IFERROR(__xludf.DUMMYFUNCTION("""COMPUTED_VALUE"""),-1.4764653242777313)</f>
        <v>-1.476465324</v>
      </c>
      <c r="I35" s="7">
        <f>IFERROR(__xludf.DUMMYFUNCTION("""COMPUTED_VALUE"""),-0.9205066263816081)</f>
        <v>-0.9205066264</v>
      </c>
      <c r="J35" s="7">
        <f>IFERROR(__xludf.DUMMYFUNCTION("""COMPUTED_VALUE"""),-1.632107767879926)</f>
        <v>-1.632107768</v>
      </c>
      <c r="K35" s="7">
        <f>IFERROR(__xludf.DUMMYFUNCTION("""COMPUTED_VALUE"""),-1.532116769786791)</f>
        <v>-1.53211677</v>
      </c>
      <c r="L35" s="7">
        <f>IFERROR(__xludf.DUMMYFUNCTION("""COMPUTED_VALUE"""),-1.4195309406054577)</f>
        <v>-1.419530941</v>
      </c>
      <c r="M35" s="7">
        <f>IFERROR(__xludf.DUMMYFUNCTION("""COMPUTED_VALUE"""),-0.9604036894406561)</f>
        <v>-0.9604036894</v>
      </c>
      <c r="N35" s="7"/>
      <c r="O35" s="7"/>
      <c r="P35" s="7">
        <f>IFERROR(__xludf.DUMMYFUNCTION("""COMPUTED_VALUE"""),-1.9713000181070746)</f>
        <v>-1.971300018</v>
      </c>
      <c r="Q35" s="7">
        <f>IFERROR(__xludf.DUMMYFUNCTION("""COMPUTED_VALUE"""),-1.6516049757740887)</f>
        <v>-1.651604976</v>
      </c>
      <c r="R35" s="7">
        <f>IFERROR(__xludf.DUMMYFUNCTION("""COMPUTED_VALUE"""),-1.3757030256077314)</f>
        <v>-1.375703026</v>
      </c>
      <c r="S35" s="7">
        <f>IFERROR(__xludf.DUMMYFUNCTION("""COMPUTED_VALUE"""),-1.1464266776333085)</f>
        <v>-1.146426678</v>
      </c>
      <c r="T35" s="7">
        <f>IFERROR(__xludf.DUMMYFUNCTION("""COMPUTED_VALUE"""),-0.9566025206783395)</f>
        <v>-0.9566025207</v>
      </c>
      <c r="U35" s="7">
        <f>IFERROR(__xludf.DUMMYFUNCTION("""COMPUTED_VALUE"""),-0.838921425176598)</f>
        <v>-0.8389214252</v>
      </c>
      <c r="V35" s="7"/>
      <c r="W35" s="7"/>
      <c r="X35" s="7">
        <f>IFERROR(__xludf.DUMMYFUNCTION("""COMPUTED_VALUE"""),-0.3975801645196338)</f>
        <v>-0.3975801645</v>
      </c>
      <c r="Y35" s="7">
        <f>IFERROR(__xludf.DUMMYFUNCTION("""COMPUTED_VALUE"""),-0.3549680672268908)</f>
        <v>-0.3549680672</v>
      </c>
      <c r="Z35" s="7">
        <f>IFERROR(__xludf.DUMMYFUNCTION("""COMPUTED_VALUE"""),-0.31328119099491647)</f>
        <v>-0.313281191</v>
      </c>
      <c r="AA35" s="7">
        <f>IFERROR(__xludf.DUMMYFUNCTION("""COMPUTED_VALUE"""),-0.27337813513894765)</f>
        <v>-0.2733781351</v>
      </c>
      <c r="AB35" s="7">
        <f>IFERROR(__xludf.DUMMYFUNCTION("""COMPUTED_VALUE"""),-0.2341297956945016)</f>
        <v>-0.2341297957</v>
      </c>
      <c r="AC35" s="7">
        <f>IFERROR(__xludf.DUMMYFUNCTION("""COMPUTED_VALUE"""),-0.1954827264239029)</f>
        <v>-0.1954827264</v>
      </c>
      <c r="AD35" s="7">
        <f>IFERROR(__xludf.DUMMYFUNCTION("""COMPUTED_VALUE"""),-0.17819354502863094)</f>
        <v>-0.178193545</v>
      </c>
      <c r="AE35" s="7">
        <f>IFERROR(__xludf.DUMMYFUNCTION("""COMPUTED_VALUE"""),-0.16133624698259436)</f>
        <v>-0.161336247</v>
      </c>
      <c r="AF35" s="7">
        <f>IFERROR(__xludf.DUMMYFUNCTION("""COMPUTED_VALUE"""),-0.12488076445768183)</f>
        <v>-0.1248807645</v>
      </c>
      <c r="AG35" s="7">
        <f>IFERROR(__xludf.DUMMYFUNCTION("""COMPUTED_VALUE"""),-0.1095014098201264)</f>
        <v>-0.1095014098</v>
      </c>
      <c r="AH35" s="7">
        <f>IFERROR(__xludf.DUMMYFUNCTION("""COMPUTED_VALUE"""),-0.0644127173136461)</f>
        <v>-0.06441271731</v>
      </c>
      <c r="AI35" s="7">
        <f>IFERROR(__xludf.DUMMYFUNCTION("""COMPUTED_VALUE"""),-0.029597385620915077)</f>
        <v>-0.02959738562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>
      <c r="A36" s="5" t="str">
        <f>IFERROR(__xludf.DUMMYFUNCTION("""COMPUTED_VALUE"""),"Non Operating Income(Loss)")</f>
        <v>Non Operating Income(Loss)</v>
      </c>
      <c r="B36" s="5" t="str">
        <f>IFERROR(__xludf.DUMMYFUNCTION("""COMPUTED_VALUE"""),"加總")</f>
        <v>加總</v>
      </c>
      <c r="C36" s="5" t="str">
        <f>IFERROR(__xludf.DUMMYFUNCTION("""COMPUTED_VALUE"""),"Non Operating Income(Loss)")</f>
        <v>Non Operating Income(Loss)</v>
      </c>
      <c r="D36" s="5"/>
      <c r="E36" s="5"/>
      <c r="F36" s="10" t="s">
        <v>2</v>
      </c>
      <c r="G36" s="6" t="s">
        <v>3</v>
      </c>
      <c r="H36" s="7">
        <f>IFERROR(__xludf.DUMMYFUNCTION("""COMPUTED_VALUE"""),-8337.0)</f>
        <v>-8337</v>
      </c>
      <c r="I36" s="7">
        <f>IFERROR(__xludf.DUMMYFUNCTION("""COMPUTED_VALUE"""),-7888.0)</f>
        <v>-7888</v>
      </c>
      <c r="J36" s="7">
        <f>IFERROR(__xludf.DUMMYFUNCTION("""COMPUTED_VALUE"""),-7768.0)</f>
        <v>-7768</v>
      </c>
      <c r="K36" s="7">
        <f>IFERROR(__xludf.DUMMYFUNCTION("""COMPUTED_VALUE"""),-8070.0)</f>
        <v>-8070</v>
      </c>
      <c r="L36" s="7">
        <f>IFERROR(__xludf.DUMMYFUNCTION("""COMPUTED_VALUE"""),-6831.0)</f>
        <v>-6831</v>
      </c>
      <c r="M36" s="7">
        <f>IFERROR(__xludf.DUMMYFUNCTION("""COMPUTED_VALUE"""),21156.0)</f>
        <v>21156</v>
      </c>
      <c r="N36" s="7">
        <f>IFERROR(__xludf.DUMMYFUNCTION("""COMPUTED_VALUE"""),-17738.0)</f>
        <v>-17738</v>
      </c>
      <c r="O36" s="7">
        <f>IFERROR(__xludf.DUMMYFUNCTION("""COMPUTED_VALUE"""),-0.001743524396268555)</f>
        <v>-0.001743524396</v>
      </c>
      <c r="P36" s="7">
        <f>IFERROR(__xludf.DUMMYFUNCTION("""COMPUTED_VALUE"""),0.0)</f>
        <v>0</v>
      </c>
      <c r="Q36" s="7">
        <f>IFERROR(__xludf.DUMMYFUNCTION("""COMPUTED_VALUE"""),0.0)</f>
        <v>0</v>
      </c>
      <c r="R36" s="7">
        <f>IFERROR(__xludf.DUMMYFUNCTION("""COMPUTED_VALUE"""),0.0)</f>
        <v>0</v>
      </c>
      <c r="S36" s="7">
        <f>IFERROR(__xludf.DUMMYFUNCTION("""COMPUTED_VALUE"""),0.0)</f>
        <v>0</v>
      </c>
      <c r="T36" s="7">
        <f>IFERROR(__xludf.DUMMYFUNCTION("""COMPUTED_VALUE"""),0.0)</f>
        <v>0</v>
      </c>
      <c r="U36" s="7">
        <f>IFERROR(__xludf.DUMMYFUNCTION("""COMPUTED_VALUE"""),0.0)</f>
        <v>0</v>
      </c>
      <c r="V36" s="7">
        <f>IFERROR(__xludf.DUMMYFUNCTION("""COMPUTED_VALUE"""),-17738.0)</f>
        <v>-17738</v>
      </c>
      <c r="W36" s="7">
        <f>IFERROR(__xludf.DUMMYFUNCTION("""COMPUTED_VALUE"""),-7.264372116704035E-4)</f>
        <v>-0.0007264372117</v>
      </c>
      <c r="X36" s="7">
        <f>IFERROR(__xludf.DUMMYFUNCTION("""COMPUTED_VALUE"""),0.0)</f>
        <v>0</v>
      </c>
      <c r="Y36" s="7">
        <f>IFERROR(__xludf.DUMMYFUNCTION("""COMPUTED_VALUE"""),0.0)</f>
        <v>0</v>
      </c>
      <c r="Z36" s="7">
        <f>IFERROR(__xludf.DUMMYFUNCTION("""COMPUTED_VALUE"""),0.0)</f>
        <v>0</v>
      </c>
      <c r="AA36" s="7">
        <f>IFERROR(__xludf.DUMMYFUNCTION("""COMPUTED_VALUE"""),0.0)</f>
        <v>0</v>
      </c>
      <c r="AB36" s="7">
        <f>IFERROR(__xludf.DUMMYFUNCTION("""COMPUTED_VALUE"""),0.0)</f>
        <v>0</v>
      </c>
      <c r="AC36" s="7">
        <f>IFERROR(__xludf.DUMMYFUNCTION("""COMPUTED_VALUE"""),0.0)</f>
        <v>0</v>
      </c>
      <c r="AD36" s="7">
        <f>IFERROR(__xludf.DUMMYFUNCTION("""COMPUTED_VALUE"""),0.0)</f>
        <v>0</v>
      </c>
      <c r="AE36" s="7">
        <f>IFERROR(__xludf.DUMMYFUNCTION("""COMPUTED_VALUE"""),0.0)</f>
        <v>0</v>
      </c>
      <c r="AF36" s="7">
        <f>IFERROR(__xludf.DUMMYFUNCTION("""COMPUTED_VALUE"""),0.0)</f>
        <v>0</v>
      </c>
      <c r="AG36" s="7">
        <f>IFERROR(__xludf.DUMMYFUNCTION("""COMPUTED_VALUE"""),0.0)</f>
        <v>0</v>
      </c>
      <c r="AH36" s="7">
        <f>IFERROR(__xludf.DUMMYFUNCTION("""COMPUTED_VALUE"""),0.0)</f>
        <v>0</v>
      </c>
      <c r="AI36" s="7">
        <f>IFERROR(__xludf.DUMMYFUNCTION("""COMPUTED_VALUE"""),0.0)</f>
        <v>0</v>
      </c>
      <c r="AJ36" s="7">
        <f>IFERROR(__xludf.DUMMYFUNCTION("""COMPUTED_VALUE"""),0.0)</f>
        <v>0</v>
      </c>
      <c r="AK36" s="7">
        <f>IFERROR(__xludf.DUMMYFUNCTION("""COMPUTED_VALUE"""),0.0)</f>
        <v>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>
      <c r="A37" s="5"/>
      <c r="B37" s="5"/>
      <c r="C37" s="5" t="str">
        <f>IFERROR(__xludf.DUMMYFUNCTION("""COMPUTED_VALUE"""),"Non Operating Income(Loss)")</f>
        <v>Non Operating Income(Loss)</v>
      </c>
      <c r="D37" s="5" t="str">
        <f>IFERROR(__xludf.DUMMYFUNCTION("""COMPUTED_VALUE"""),"業外收益/損失")</f>
        <v>業外收益/損失</v>
      </c>
      <c r="E37" s="5"/>
      <c r="F37" s="10" t="s">
        <v>2</v>
      </c>
      <c r="G37" s="6" t="s">
        <v>3</v>
      </c>
      <c r="H37" s="7">
        <f>IFERROR(__xludf.DUMMYFUNCTION("""COMPUTED_VALUE"""),-8337.0)</f>
        <v>-8337</v>
      </c>
      <c r="I37" s="7">
        <f>IFERROR(__xludf.DUMMYFUNCTION("""COMPUTED_VALUE"""),-7888.0)</f>
        <v>-7888</v>
      </c>
      <c r="J37" s="7">
        <f>IFERROR(__xludf.DUMMYFUNCTION("""COMPUTED_VALUE"""),-7768.0)</f>
        <v>-7768</v>
      </c>
      <c r="K37" s="7">
        <f>IFERROR(__xludf.DUMMYFUNCTION("""COMPUTED_VALUE"""),-8070.0)</f>
        <v>-8070</v>
      </c>
      <c r="L37" s="7">
        <f>IFERROR(__xludf.DUMMYFUNCTION("""COMPUTED_VALUE"""),-6831.0)</f>
        <v>-6831</v>
      </c>
      <c r="M37" s="7">
        <f>IFERROR(__xludf.DUMMYFUNCTION("""COMPUTED_VALUE"""),21156.0)</f>
        <v>21156</v>
      </c>
      <c r="N37" s="7">
        <f>IFERROR(__xludf.DUMMYFUNCTION("""COMPUTED_VALUE"""),-17738.0)</f>
        <v>-17738</v>
      </c>
      <c r="O37" s="7"/>
      <c r="P37" s="7">
        <f>IFERROR(__xludf.DUMMYFUNCTION("""COMPUTED_VALUE"""),0.0)</f>
        <v>0</v>
      </c>
      <c r="Q37" s="7">
        <f>IFERROR(__xludf.DUMMYFUNCTION("""COMPUTED_VALUE"""),0.0)</f>
        <v>0</v>
      </c>
      <c r="R37" s="7">
        <f>IFERROR(__xludf.DUMMYFUNCTION("""COMPUTED_VALUE"""),0.0)</f>
        <v>0</v>
      </c>
      <c r="S37" s="7">
        <f>IFERROR(__xludf.DUMMYFUNCTION("""COMPUTED_VALUE"""),0.0)</f>
        <v>0</v>
      </c>
      <c r="T37" s="7">
        <f>IFERROR(__xludf.DUMMYFUNCTION("""COMPUTED_VALUE"""),0.0)</f>
        <v>0</v>
      </c>
      <c r="U37" s="7">
        <f>IFERROR(__xludf.DUMMYFUNCTION("""COMPUTED_VALUE"""),0.0)</f>
        <v>0</v>
      </c>
      <c r="V37" s="7">
        <f>IFERROR(__xludf.DUMMYFUNCTION("""COMPUTED_VALUE"""),-17738.0)</f>
        <v>-17738</v>
      </c>
      <c r="W37" s="7"/>
      <c r="X37" s="7">
        <f>IFERROR(__xludf.DUMMYFUNCTION("""COMPUTED_VALUE"""),0.0)</f>
        <v>0</v>
      </c>
      <c r="Y37" s="7">
        <f>IFERROR(__xludf.DUMMYFUNCTION("""COMPUTED_VALUE"""),0.0)</f>
        <v>0</v>
      </c>
      <c r="Z37" s="7">
        <f>IFERROR(__xludf.DUMMYFUNCTION("""COMPUTED_VALUE"""),0.0)</f>
        <v>0</v>
      </c>
      <c r="AA37" s="7">
        <f>IFERROR(__xludf.DUMMYFUNCTION("""COMPUTED_VALUE"""),0.0)</f>
        <v>0</v>
      </c>
      <c r="AB37" s="7">
        <f>IFERROR(__xludf.DUMMYFUNCTION("""COMPUTED_VALUE"""),0.0)</f>
        <v>0</v>
      </c>
      <c r="AC37" s="7">
        <f>IFERROR(__xludf.DUMMYFUNCTION("""COMPUTED_VALUE"""),0.0)</f>
        <v>0</v>
      </c>
      <c r="AD37" s="7">
        <f>IFERROR(__xludf.DUMMYFUNCTION("""COMPUTED_VALUE"""),0.0)</f>
        <v>0</v>
      </c>
      <c r="AE37" s="7">
        <f>IFERROR(__xludf.DUMMYFUNCTION("""COMPUTED_VALUE"""),0.0)</f>
        <v>0</v>
      </c>
      <c r="AF37" s="7">
        <f>IFERROR(__xludf.DUMMYFUNCTION("""COMPUTED_VALUE"""),0.0)</f>
        <v>0</v>
      </c>
      <c r="AG37" s="7">
        <f>IFERROR(__xludf.DUMMYFUNCTION("""COMPUTED_VALUE"""),0.0)</f>
        <v>0</v>
      </c>
      <c r="AH37" s="7">
        <f>IFERROR(__xludf.DUMMYFUNCTION("""COMPUTED_VALUE"""),0.0)</f>
        <v>0</v>
      </c>
      <c r="AI37" s="7">
        <f>IFERROR(__xludf.DUMMYFUNCTION("""COMPUTED_VALUE"""),0.0)</f>
        <v>0</v>
      </c>
      <c r="AJ37" s="7">
        <f>IFERROR(__xludf.DUMMYFUNCTION("""COMPUTED_VALUE"""),0.0)</f>
        <v>0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>
      <c r="A38" s="5" t="str">
        <f>IFERROR(__xludf.DUMMYFUNCTION("""COMPUTED_VALUE"""),"Net Income")</f>
        <v>Net Income</v>
      </c>
      <c r="B38" s="5" t="str">
        <f>IFERROR(__xludf.DUMMYFUNCTION("""COMPUTED_VALUE"""),"加總")</f>
        <v>加總</v>
      </c>
      <c r="C38" s="5" t="str">
        <f>IFERROR(__xludf.DUMMYFUNCTION("""COMPUTED_VALUE"""),"Net Income(Loss)")</f>
        <v>Net Income(Loss)</v>
      </c>
      <c r="D38" s="5"/>
      <c r="E38" s="5"/>
      <c r="F38" s="6" t="s">
        <v>2</v>
      </c>
      <c r="G38" s="6" t="s">
        <v>3</v>
      </c>
      <c r="H38" s="7">
        <f>IFERROR(__xludf.DUMMYFUNCTION("""COMPUTED_VALUE"""),-2476612.0)</f>
        <v>-2476612</v>
      </c>
      <c r="I38" s="7">
        <f>IFERROR(__xludf.DUMMYFUNCTION("""COMPUTED_VALUE"""),-1594580.0)</f>
        <v>-1594580</v>
      </c>
      <c r="J38" s="7">
        <f>IFERROR(__xludf.DUMMYFUNCTION("""COMPUTED_VALUE"""),-2713331.0)</f>
        <v>-2713331</v>
      </c>
      <c r="K38" s="7">
        <f>IFERROR(__xludf.DUMMYFUNCTION("""COMPUTED_VALUE"""),-2542280.0)</f>
        <v>-2542280</v>
      </c>
      <c r="L38" s="7">
        <f>IFERROR(__xludf.DUMMYFUNCTION("""COMPUTED_VALUE"""),-2472931.0)</f>
        <v>-2472931</v>
      </c>
      <c r="M38" s="7">
        <f>IFERROR(__xludf.DUMMYFUNCTION("""COMPUTED_VALUE"""),-1639527.0)</f>
        <v>-1639527</v>
      </c>
      <c r="N38" s="7">
        <f>IFERROR(__xludf.DUMMYFUNCTION("""COMPUTED_VALUE"""),-1.3439261E7)</f>
        <v>-13439261</v>
      </c>
      <c r="O38" s="7">
        <f>IFERROR(__xludf.DUMMYFUNCTION("""COMPUTED_VALUE"""),-1.3209876773774123)</f>
        <v>-1.320987677</v>
      </c>
      <c r="P38" s="7">
        <f>IFERROR(__xludf.DUMMYFUNCTION("""COMPUTED_VALUE"""),-3668887.0)</f>
        <v>-3668887</v>
      </c>
      <c r="Q38" s="7">
        <f>IFERROR(__xludf.DUMMYFUNCTION("""COMPUTED_VALUE"""),-3381828.0)</f>
        <v>-3381828</v>
      </c>
      <c r="R38" s="7">
        <f>IFERROR(__xludf.DUMMYFUNCTION("""COMPUTED_VALUE"""),-3091550.0)</f>
        <v>-3091550</v>
      </c>
      <c r="S38" s="7">
        <f>IFERROR(__xludf.DUMMYFUNCTION("""COMPUTED_VALUE"""),-2812759.0)</f>
        <v>-2812759</v>
      </c>
      <c r="T38" s="7">
        <f>IFERROR(__xludf.DUMMYFUNCTION("""COMPUTED_VALUE"""),-2574314.0)</f>
        <v>-2574314</v>
      </c>
      <c r="U38" s="7">
        <f>IFERROR(__xludf.DUMMYFUNCTION("""COMPUTED_VALUE"""),-2469408.0)</f>
        <v>-2469408</v>
      </c>
      <c r="V38" s="7">
        <f>IFERROR(__xludf.DUMMYFUNCTION("""COMPUTED_VALUE"""),-3.1438007E7)</f>
        <v>-31438007</v>
      </c>
      <c r="W38" s="7">
        <f>IFERROR(__xludf.DUMMYFUNCTION("""COMPUTED_VALUE"""),-1.28750355990273)</f>
        <v>-1.28750356</v>
      </c>
      <c r="X38" s="7">
        <f>IFERROR(__xludf.DUMMYFUNCTION("""COMPUTED_VALUE"""),-1280804.5000000002)</f>
        <v>-1280804.5</v>
      </c>
      <c r="Y38" s="7">
        <f>IFERROR(__xludf.DUMMYFUNCTION("""COMPUTED_VALUE"""),-1182753.6)</f>
        <v>-1182753.6</v>
      </c>
      <c r="Z38" s="7">
        <f>IFERROR(__xludf.DUMMYFUNCTION("""COMPUTED_VALUE"""),-1078470.5)</f>
        <v>-1078470.5</v>
      </c>
      <c r="AA38" s="7">
        <f>IFERROR(__xludf.DUMMYFUNCTION("""COMPUTED_VALUE"""),-968988.8)</f>
        <v>-968988.8</v>
      </c>
      <c r="AB38" s="7">
        <f>IFERROR(__xludf.DUMMYFUNCTION("""COMPUTED_VALUE"""),-853754.3)</f>
        <v>-853754.3</v>
      </c>
      <c r="AC38" s="7">
        <f>IFERROR(__xludf.DUMMYFUNCTION("""COMPUTED_VALUE"""),-732767.0)</f>
        <v>-732767</v>
      </c>
      <c r="AD38" s="7">
        <f>IFERROR(__xludf.DUMMYFUNCTION("""COMPUTED_VALUE"""),-684619.6000000001)</f>
        <v>-684619.6</v>
      </c>
      <c r="AE38" s="7">
        <f>IFERROR(__xludf.DUMMYFUNCTION("""COMPUTED_VALUE"""),-634938.8)</f>
        <v>-634938.8</v>
      </c>
      <c r="AF38" s="7">
        <f>IFERROR(__xludf.DUMMYFUNCTION("""COMPUTED_VALUE"""),-503144.6000000001)</f>
        <v>-503144.6</v>
      </c>
      <c r="AG38" s="7">
        <f>IFERROR(__xludf.DUMMYFUNCTION("""COMPUTED_VALUE"""),-450488.80000000005)</f>
        <v>-450488.8</v>
      </c>
      <c r="AH38" s="7">
        <f>IFERROR(__xludf.DUMMYFUNCTION("""COMPUTED_VALUE"""),-270469.0)</f>
        <v>-270469</v>
      </c>
      <c r="AI38" s="7">
        <f>IFERROR(__xludf.DUMMYFUNCTION("""COMPUTED_VALUE"""),-126795.20000000019)</f>
        <v>-126795.2</v>
      </c>
      <c r="AJ38" s="7">
        <f>IFERROR(__xludf.DUMMYFUNCTION("""COMPUTED_VALUE"""),-8767994.7)</f>
        <v>-8767994.7</v>
      </c>
      <c r="AK38" s="7">
        <f>IFERROR(__xludf.DUMMYFUNCTION("""COMPUTED_VALUE"""),-0.19338747435982265)</f>
        <v>-0.1933874744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>
      <c r="A39" s="5" t="str">
        <f>IFERROR(__xludf.DUMMYFUNCTION("""COMPUTED_VALUE"""),"Net Income %")</f>
        <v>Net Income %</v>
      </c>
      <c r="B39" s="5" t="str">
        <f>IFERROR(__xludf.DUMMYFUNCTION("""COMPUTED_VALUE"""),"加總")</f>
        <v>加總</v>
      </c>
      <c r="C39" s="5" t="str">
        <f>IFERROR(__xludf.DUMMYFUNCTION("""COMPUTED_VALUE"""),"Net Income(Loss) %")</f>
        <v>Net Income(Loss) %</v>
      </c>
      <c r="D39" s="5"/>
      <c r="E39" s="5"/>
      <c r="F39" s="6" t="s">
        <v>2</v>
      </c>
      <c r="G39" s="6" t="s">
        <v>3</v>
      </c>
      <c r="H39" s="7">
        <f>IFERROR(__xludf.DUMMYFUNCTION("""COMPUTED_VALUE"""),-1.4814523258916128)</f>
        <v>-1.481452326</v>
      </c>
      <c r="I39" s="7">
        <f>IFERROR(__xludf.DUMMYFUNCTION("""COMPUTED_VALUE"""),-0.9250827862594534)</f>
        <v>-0.9250827863</v>
      </c>
      <c r="J39" s="7">
        <f>IFERROR(__xludf.DUMMYFUNCTION("""COMPUTED_VALUE"""),-1.6367937475229397)</f>
        <v>-1.636793748</v>
      </c>
      <c r="K39" s="7">
        <f>IFERROR(__xludf.DUMMYFUNCTION("""COMPUTED_VALUE"""),-1.536995679716189)</f>
        <v>-1.53699568</v>
      </c>
      <c r="L39" s="7">
        <f>IFERROR(__xludf.DUMMYFUNCTION("""COMPUTED_VALUE"""),-1.4234629854760128)</f>
        <v>-1.423462985</v>
      </c>
      <c r="M39" s="7">
        <f>IFERROR(__xludf.DUMMYFUNCTION("""COMPUTED_VALUE"""),-0.9481687834087364)</f>
        <v>-0.9481687834</v>
      </c>
      <c r="N39" s="7"/>
      <c r="O39" s="7"/>
      <c r="P39" s="7">
        <f>IFERROR(__xludf.DUMMYFUNCTION("""COMPUTED_VALUE"""),-1.9713000181070746)</f>
        <v>-1.971300018</v>
      </c>
      <c r="Q39" s="7">
        <f>IFERROR(__xludf.DUMMYFUNCTION("""COMPUTED_VALUE"""),-1.6516049757740887)</f>
        <v>-1.651604976</v>
      </c>
      <c r="R39" s="7">
        <f>IFERROR(__xludf.DUMMYFUNCTION("""COMPUTED_VALUE"""),-1.3757030256077314)</f>
        <v>-1.375703026</v>
      </c>
      <c r="S39" s="7">
        <f>IFERROR(__xludf.DUMMYFUNCTION("""COMPUTED_VALUE"""),-1.1464266776333085)</f>
        <v>-1.146426678</v>
      </c>
      <c r="T39" s="7">
        <f>IFERROR(__xludf.DUMMYFUNCTION("""COMPUTED_VALUE"""),-0.9566025206783395)</f>
        <v>-0.9566025207</v>
      </c>
      <c r="U39" s="7">
        <f>IFERROR(__xludf.DUMMYFUNCTION("""COMPUTED_VALUE"""),-0.838921425176598)</f>
        <v>-0.8389214252</v>
      </c>
      <c r="V39" s="7"/>
      <c r="W39" s="7"/>
      <c r="X39" s="7">
        <f>IFERROR(__xludf.DUMMYFUNCTION("""COMPUTED_VALUE"""),-0.3975801645196338)</f>
        <v>-0.3975801645</v>
      </c>
      <c r="Y39" s="7">
        <f>IFERROR(__xludf.DUMMYFUNCTION("""COMPUTED_VALUE"""),-0.3549680672268908)</f>
        <v>-0.3549680672</v>
      </c>
      <c r="Z39" s="7">
        <f>IFERROR(__xludf.DUMMYFUNCTION("""COMPUTED_VALUE"""),-0.31328119099491647)</f>
        <v>-0.313281191</v>
      </c>
      <c r="AA39" s="7">
        <f>IFERROR(__xludf.DUMMYFUNCTION("""COMPUTED_VALUE"""),-0.27337813513894765)</f>
        <v>-0.2733781351</v>
      </c>
      <c r="AB39" s="7">
        <f>IFERROR(__xludf.DUMMYFUNCTION("""COMPUTED_VALUE"""),-0.2341297956945016)</f>
        <v>-0.2341297957</v>
      </c>
      <c r="AC39" s="7">
        <f>IFERROR(__xludf.DUMMYFUNCTION("""COMPUTED_VALUE"""),-0.1954827264239029)</f>
        <v>-0.1954827264</v>
      </c>
      <c r="AD39" s="7">
        <f>IFERROR(__xludf.DUMMYFUNCTION("""COMPUTED_VALUE"""),-0.17819354502863094)</f>
        <v>-0.178193545</v>
      </c>
      <c r="AE39" s="7">
        <f>IFERROR(__xludf.DUMMYFUNCTION("""COMPUTED_VALUE"""),-0.16133624698259436)</f>
        <v>-0.161336247</v>
      </c>
      <c r="AF39" s="7">
        <f>IFERROR(__xludf.DUMMYFUNCTION("""COMPUTED_VALUE"""),-0.12488076445768183)</f>
        <v>-0.1248807645</v>
      </c>
      <c r="AG39" s="7">
        <f>IFERROR(__xludf.DUMMYFUNCTION("""COMPUTED_VALUE"""),-0.1095014098201264)</f>
        <v>-0.1095014098</v>
      </c>
      <c r="AH39" s="7">
        <f>IFERROR(__xludf.DUMMYFUNCTION("""COMPUTED_VALUE"""),-0.0644127173136461)</f>
        <v>-0.06441271731</v>
      </c>
      <c r="AI39" s="7">
        <f>IFERROR(__xludf.DUMMYFUNCTION("""COMPUTED_VALUE"""),-0.029597385620915077)</f>
        <v>-0.02959738562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>
      <c r="A40" s="5"/>
      <c r="B40" s="5"/>
      <c r="C40" s="5"/>
      <c r="D40" s="5"/>
      <c r="E40" s="5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>
      <c r="A41" s="5" t="str">
        <f>IFERROR(__xludf.DUMMYFUNCTION("""COMPUTED_VALUE"""),"整體事業經營指標")</f>
        <v>整體事業經營指標</v>
      </c>
      <c r="B41" s="5"/>
      <c r="C41" s="5"/>
      <c r="D41" s="5"/>
      <c r="E41" s="5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>
      <c r="A42" s="11" t="str">
        <f>IFERROR(__xludf.DUMMYFUNCTION("""COMPUTED_VALUE"""),"Total Customer")</f>
        <v>Total Customer</v>
      </c>
      <c r="B42" s="11" t="str">
        <f>IFERROR(__xludf.DUMMYFUNCTION("""COMPUTED_VALUE"""),"指標")</f>
        <v>指標</v>
      </c>
      <c r="C42" s="11" t="str">
        <f>IFERROR(__xludf.DUMMYFUNCTION("""COMPUTED_VALUE"""),"Total Customer")</f>
        <v>Total Customer</v>
      </c>
      <c r="D42" s="11"/>
      <c r="E42" s="11"/>
      <c r="F42" s="13" t="s">
        <v>4</v>
      </c>
      <c r="G42" s="13" t="s">
        <v>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>
      <c r="A43" s="5" t="str">
        <f>IFERROR(__xludf.DUMMYFUNCTION("""COMPUTED_VALUE"""),"Freemium Customer")</f>
        <v>Freemium Customer</v>
      </c>
      <c r="B43" s="5" t="str">
        <f>IFERROR(__xludf.DUMMYFUNCTION("""COMPUTED_VALUE"""),"指標")</f>
        <v>指標</v>
      </c>
      <c r="C43" s="5" t="str">
        <f>IFERROR(__xludf.DUMMYFUNCTION("""COMPUTED_VALUE"""),"Freemium Customer")</f>
        <v>Freemium Customer</v>
      </c>
      <c r="D43" s="5"/>
      <c r="E43" s="5"/>
      <c r="F43" s="6" t="s">
        <v>4</v>
      </c>
      <c r="G43" s="6" t="s">
        <v>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>
      <c r="A44" s="5" t="str">
        <f>IFERROR(__xludf.DUMMYFUNCTION("""COMPUTED_VALUE"""),"Total Paid Customer")</f>
        <v>Total Paid Customer</v>
      </c>
      <c r="B44" s="5" t="str">
        <f>IFERROR(__xludf.DUMMYFUNCTION("""COMPUTED_VALUE"""),"指標")</f>
        <v>指標</v>
      </c>
      <c r="C44" s="5" t="str">
        <f>IFERROR(__xludf.DUMMYFUNCTION("""COMPUTED_VALUE"""),"Total Paid Customer")</f>
        <v>Total Paid Customer</v>
      </c>
      <c r="D44" s="5"/>
      <c r="E44" s="5"/>
      <c r="F44" s="6" t="s">
        <v>4</v>
      </c>
      <c r="G44" s="6" t="s">
        <v>5</v>
      </c>
      <c r="H44" s="7">
        <f>IFERROR(__xludf.DUMMYFUNCTION("""COMPUTED_VALUE"""),976.0)</f>
        <v>976</v>
      </c>
      <c r="I44" s="7">
        <f>IFERROR(__xludf.DUMMYFUNCTION("""COMPUTED_VALUE"""),988.0)</f>
        <v>988</v>
      </c>
      <c r="J44" s="7">
        <f>IFERROR(__xludf.DUMMYFUNCTION("""COMPUTED_VALUE"""),988.0)</f>
        <v>988</v>
      </c>
      <c r="K44" s="7">
        <f>IFERROR(__xludf.DUMMYFUNCTION("""COMPUTED_VALUE"""),1005.0)</f>
        <v>1005</v>
      </c>
      <c r="L44" s="7">
        <f>IFERROR(__xludf.DUMMYFUNCTION("""COMPUTED_VALUE"""),1042.0)</f>
        <v>1042</v>
      </c>
      <c r="M44" s="7">
        <f>IFERROR(__xludf.DUMMYFUNCTION("""COMPUTED_VALUE"""),1094.0)</f>
        <v>1094</v>
      </c>
      <c r="N44" s="7"/>
      <c r="O44" s="7"/>
      <c r="P44" s="7">
        <f>IFERROR(__xludf.DUMMYFUNCTION("""COMPUTED_VALUE"""),1174.0)</f>
        <v>1174</v>
      </c>
      <c r="Q44" s="7">
        <f>IFERROR(__xludf.DUMMYFUNCTION("""COMPUTED_VALUE"""),1287.0)</f>
        <v>1287</v>
      </c>
      <c r="R44" s="7">
        <f>IFERROR(__xludf.DUMMYFUNCTION("""COMPUTED_VALUE"""),1408.0)</f>
        <v>1408</v>
      </c>
      <c r="S44" s="7">
        <f>IFERROR(__xludf.DUMMYFUNCTION("""COMPUTED_VALUE"""),1533.0)</f>
        <v>1533</v>
      </c>
      <c r="T44" s="7">
        <f>IFERROR(__xludf.DUMMYFUNCTION("""COMPUTED_VALUE"""),1677.0)</f>
        <v>1677</v>
      </c>
      <c r="U44" s="7">
        <f>IFERROR(__xludf.DUMMYFUNCTION("""COMPUTED_VALUE"""),1830.0)</f>
        <v>1830</v>
      </c>
      <c r="V44" s="7"/>
      <c r="W44" s="7"/>
      <c r="X44" s="7">
        <f>IFERROR(__xludf.DUMMYFUNCTION("""COMPUTED_VALUE"""),1895.0)</f>
        <v>1895</v>
      </c>
      <c r="Y44" s="7">
        <f>IFERROR(__xludf.DUMMYFUNCTION("""COMPUTED_VALUE"""),1960.0)</f>
        <v>1960</v>
      </c>
      <c r="Z44" s="7">
        <f>IFERROR(__xludf.DUMMYFUNCTION("""COMPUTED_VALUE"""),2025.0)</f>
        <v>2025</v>
      </c>
      <c r="AA44" s="7">
        <f>IFERROR(__xludf.DUMMYFUNCTION("""COMPUTED_VALUE"""),2085.0)</f>
        <v>2085</v>
      </c>
      <c r="AB44" s="7">
        <f>IFERROR(__xludf.DUMMYFUNCTION("""COMPUTED_VALUE"""),2145.0)</f>
        <v>2145</v>
      </c>
      <c r="AC44" s="7">
        <f>IFERROR(__xludf.DUMMYFUNCTION("""COMPUTED_VALUE"""),2205.0)</f>
        <v>2205</v>
      </c>
      <c r="AD44" s="7">
        <f>IFERROR(__xludf.DUMMYFUNCTION("""COMPUTED_VALUE"""),2260.0)</f>
        <v>2260</v>
      </c>
      <c r="AE44" s="7">
        <f>IFERROR(__xludf.DUMMYFUNCTION("""COMPUTED_VALUE"""),2315.0)</f>
        <v>2315</v>
      </c>
      <c r="AF44" s="7">
        <f>IFERROR(__xludf.DUMMYFUNCTION("""COMPUTED_VALUE"""),2370.0)</f>
        <v>2370</v>
      </c>
      <c r="AG44" s="7">
        <f>IFERROR(__xludf.DUMMYFUNCTION("""COMPUTED_VALUE"""),2420.0)</f>
        <v>2420</v>
      </c>
      <c r="AH44" s="7">
        <f>IFERROR(__xludf.DUMMYFUNCTION("""COMPUTED_VALUE"""),2470.0)</f>
        <v>2470</v>
      </c>
      <c r="AI44" s="7">
        <f>IFERROR(__xludf.DUMMYFUNCTION("""COMPUTED_VALUE"""),2520.0)</f>
        <v>2520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>
      <c r="A45" s="5"/>
      <c r="B45" s="5" t="str">
        <f>IFERROR(__xludf.DUMMYFUNCTION("""COMPUTED_VALUE"""),"子項目指標")</f>
        <v>子項目指標</v>
      </c>
      <c r="C45" s="5" t="str">
        <f>IFERROR(__xludf.DUMMYFUNCTION("""COMPUTED_VALUE"""),"Paid Customer - Qlieer")</f>
        <v>Paid Customer - Qlieer</v>
      </c>
      <c r="D45" s="5" t="str">
        <f>IFERROR(__xludf.DUMMYFUNCTION("""COMPUTED_VALUE"""),"單店當月付費客戶數")</f>
        <v>單店當月付費客戶數</v>
      </c>
      <c r="E45" s="5"/>
      <c r="F45" s="6" t="s">
        <v>4</v>
      </c>
      <c r="G45" s="6" t="s">
        <v>5</v>
      </c>
      <c r="H45" s="7">
        <f>IFERROR(__xludf.DUMMYFUNCTION("""COMPUTED_VALUE"""),976.0)</f>
        <v>976</v>
      </c>
      <c r="I45" s="7">
        <f>IFERROR(__xludf.DUMMYFUNCTION("""COMPUTED_VALUE"""),988.0)</f>
        <v>988</v>
      </c>
      <c r="J45" s="7">
        <f>IFERROR(__xludf.DUMMYFUNCTION("""COMPUTED_VALUE"""),988.0)</f>
        <v>988</v>
      </c>
      <c r="K45" s="7">
        <f>IFERROR(__xludf.DUMMYFUNCTION("""COMPUTED_VALUE"""),1005.0)</f>
        <v>1005</v>
      </c>
      <c r="L45" s="7">
        <f>IFERROR(__xludf.DUMMYFUNCTION("""COMPUTED_VALUE"""),1042.0)</f>
        <v>1042</v>
      </c>
      <c r="M45" s="7">
        <f>IFERROR(__xludf.DUMMYFUNCTION("""COMPUTED_VALUE"""),1094.0)</f>
        <v>1094</v>
      </c>
      <c r="N45" s="7"/>
      <c r="O45" s="7"/>
      <c r="P45" s="7">
        <f>IFERROR(__xludf.DUMMYFUNCTION("""COMPUTED_VALUE"""),1174.0)</f>
        <v>1174</v>
      </c>
      <c r="Q45" s="7">
        <f>IFERROR(__xludf.DUMMYFUNCTION("""COMPUTED_VALUE"""),1287.0)</f>
        <v>1287</v>
      </c>
      <c r="R45" s="7">
        <f>IFERROR(__xludf.DUMMYFUNCTION("""COMPUTED_VALUE"""),1408.0)</f>
        <v>1408</v>
      </c>
      <c r="S45" s="7">
        <f>IFERROR(__xludf.DUMMYFUNCTION("""COMPUTED_VALUE"""),1533.0)</f>
        <v>1533</v>
      </c>
      <c r="T45" s="7">
        <f>IFERROR(__xludf.DUMMYFUNCTION("""COMPUTED_VALUE"""),1677.0)</f>
        <v>1677</v>
      </c>
      <c r="U45" s="7">
        <f>IFERROR(__xludf.DUMMYFUNCTION("""COMPUTED_VALUE"""),1830.0)</f>
        <v>1830</v>
      </c>
      <c r="V45" s="7"/>
      <c r="W45" s="7"/>
      <c r="X45" s="7">
        <f>IFERROR(__xludf.DUMMYFUNCTION("""COMPUTED_VALUE"""),1895.0)</f>
        <v>1895</v>
      </c>
      <c r="Y45" s="7">
        <f>IFERROR(__xludf.DUMMYFUNCTION("""COMPUTED_VALUE"""),1960.0)</f>
        <v>1960</v>
      </c>
      <c r="Z45" s="7">
        <f>IFERROR(__xludf.DUMMYFUNCTION("""COMPUTED_VALUE"""),2025.0)</f>
        <v>2025</v>
      </c>
      <c r="AA45" s="7">
        <f>IFERROR(__xludf.DUMMYFUNCTION("""COMPUTED_VALUE"""),2085.0)</f>
        <v>2085</v>
      </c>
      <c r="AB45" s="7">
        <f>IFERROR(__xludf.DUMMYFUNCTION("""COMPUTED_VALUE"""),2145.0)</f>
        <v>2145</v>
      </c>
      <c r="AC45" s="7">
        <f>IFERROR(__xludf.DUMMYFUNCTION("""COMPUTED_VALUE"""),2205.0)</f>
        <v>2205</v>
      </c>
      <c r="AD45" s="7">
        <f>IFERROR(__xludf.DUMMYFUNCTION("""COMPUTED_VALUE"""),2260.0)</f>
        <v>2260</v>
      </c>
      <c r="AE45" s="7">
        <f>IFERROR(__xludf.DUMMYFUNCTION("""COMPUTED_VALUE"""),2315.0)</f>
        <v>2315</v>
      </c>
      <c r="AF45" s="7">
        <f>IFERROR(__xludf.DUMMYFUNCTION("""COMPUTED_VALUE"""),2370.0)</f>
        <v>2370</v>
      </c>
      <c r="AG45" s="7">
        <f>IFERROR(__xludf.DUMMYFUNCTION("""COMPUTED_VALUE"""),2420.0)</f>
        <v>2420</v>
      </c>
      <c r="AH45" s="7">
        <f>IFERROR(__xludf.DUMMYFUNCTION("""COMPUTED_VALUE"""),2470.0)</f>
        <v>2470</v>
      </c>
      <c r="AI45" s="7">
        <f>IFERROR(__xludf.DUMMYFUNCTION("""COMPUTED_VALUE"""),2520.0)</f>
        <v>2520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>
      <c r="A46" s="11"/>
      <c r="B46" s="11"/>
      <c r="C46" s="11" t="str">
        <f>IFERROR(__xludf.DUMMYFUNCTION("""COMPUTED_VALUE"""),"Previous Paid Customer - Qlieer")</f>
        <v>Previous Paid Customer - Qlieer</v>
      </c>
      <c r="D46" s="11" t="str">
        <f>IFERROR(__xludf.DUMMYFUNCTION("""COMPUTED_VALUE"""),"單店前月付費客戶數")</f>
        <v>單店前月付費客戶數</v>
      </c>
      <c r="E46" s="11"/>
      <c r="F46" s="13" t="s">
        <v>4</v>
      </c>
      <c r="G46" s="13" t="s">
        <v>5</v>
      </c>
      <c r="H46" s="12">
        <f>IFERROR(__xludf.DUMMYFUNCTION("""COMPUTED_VALUE"""),988.0)</f>
        <v>988</v>
      </c>
      <c r="I46" s="12">
        <f>IFERROR(__xludf.DUMMYFUNCTION("""COMPUTED_VALUE"""),976.0)</f>
        <v>976</v>
      </c>
      <c r="J46" s="12">
        <f>IFERROR(__xludf.DUMMYFUNCTION("""COMPUTED_VALUE"""),988.0)</f>
        <v>988</v>
      </c>
      <c r="K46" s="12">
        <f>IFERROR(__xludf.DUMMYFUNCTION("""COMPUTED_VALUE"""),988.0)</f>
        <v>988</v>
      </c>
      <c r="L46" s="12">
        <f>IFERROR(__xludf.DUMMYFUNCTION("""COMPUTED_VALUE"""),1005.0)</f>
        <v>1005</v>
      </c>
      <c r="M46" s="12">
        <f>IFERROR(__xludf.DUMMYFUNCTION("""COMPUTED_VALUE"""),1042.0)</f>
        <v>1042</v>
      </c>
      <c r="N46" s="12"/>
      <c r="O46" s="12"/>
      <c r="P46" s="12">
        <f>IFERROR(__xludf.DUMMYFUNCTION("""COMPUTED_VALUE"""),1094.0)</f>
        <v>1094</v>
      </c>
      <c r="Q46" s="12">
        <f>IFERROR(__xludf.DUMMYFUNCTION("""COMPUTED_VALUE"""),1174.0)</f>
        <v>1174</v>
      </c>
      <c r="R46" s="12">
        <f>IFERROR(__xludf.DUMMYFUNCTION("""COMPUTED_VALUE"""),1287.0)</f>
        <v>1287</v>
      </c>
      <c r="S46" s="12">
        <f>IFERROR(__xludf.DUMMYFUNCTION("""COMPUTED_VALUE"""),1408.0)</f>
        <v>1408</v>
      </c>
      <c r="T46" s="12">
        <f>IFERROR(__xludf.DUMMYFUNCTION("""COMPUTED_VALUE"""),1533.0)</f>
        <v>1533</v>
      </c>
      <c r="U46" s="12">
        <f>IFERROR(__xludf.DUMMYFUNCTION("""COMPUTED_VALUE"""),1677.0)</f>
        <v>1677</v>
      </c>
      <c r="V46" s="12"/>
      <c r="W46" s="12"/>
      <c r="X46" s="12">
        <f>IFERROR(__xludf.DUMMYFUNCTION("""COMPUTED_VALUE"""),1830.0)</f>
        <v>1830</v>
      </c>
      <c r="Y46" s="12">
        <f>IFERROR(__xludf.DUMMYFUNCTION("""COMPUTED_VALUE"""),1895.0)</f>
        <v>1895</v>
      </c>
      <c r="Z46" s="12">
        <f>IFERROR(__xludf.DUMMYFUNCTION("""COMPUTED_VALUE"""),1960.0)</f>
        <v>1960</v>
      </c>
      <c r="AA46" s="12">
        <f>IFERROR(__xludf.DUMMYFUNCTION("""COMPUTED_VALUE"""),2025.0)</f>
        <v>2025</v>
      </c>
      <c r="AB46" s="12">
        <f>IFERROR(__xludf.DUMMYFUNCTION("""COMPUTED_VALUE"""),2085.0)</f>
        <v>2085</v>
      </c>
      <c r="AC46" s="12">
        <f>IFERROR(__xludf.DUMMYFUNCTION("""COMPUTED_VALUE"""),2145.0)</f>
        <v>2145</v>
      </c>
      <c r="AD46" s="12">
        <f>IFERROR(__xludf.DUMMYFUNCTION("""COMPUTED_VALUE"""),2205.0)</f>
        <v>2205</v>
      </c>
      <c r="AE46" s="12">
        <f>IFERROR(__xludf.DUMMYFUNCTION("""COMPUTED_VALUE"""),2260.0)</f>
        <v>2260</v>
      </c>
      <c r="AF46" s="12">
        <f>IFERROR(__xludf.DUMMYFUNCTION("""COMPUTED_VALUE"""),2315.0)</f>
        <v>2315</v>
      </c>
      <c r="AG46" s="12">
        <f>IFERROR(__xludf.DUMMYFUNCTION("""COMPUTED_VALUE"""),2370.0)</f>
        <v>2370</v>
      </c>
      <c r="AH46" s="12">
        <f>IFERROR(__xludf.DUMMYFUNCTION("""COMPUTED_VALUE"""),2420.0)</f>
        <v>2420</v>
      </c>
      <c r="AI46" s="12">
        <f>IFERROR(__xludf.DUMMYFUNCTION("""COMPUTED_VALUE"""),2470.0)</f>
        <v>2470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>
      <c r="A47" s="1"/>
      <c r="B47" s="1"/>
      <c r="C47" s="1" t="str">
        <f>IFERROR(__xludf.DUMMYFUNCTION("""COMPUTED_VALUE"""),"New Customer - Qlieer")</f>
        <v>New Customer - Qlieer</v>
      </c>
      <c r="D47" s="1" t="str">
        <f>IFERROR(__xludf.DUMMYFUNCTION("""COMPUTED_VALUE"""),"單店新增付費客戶數")</f>
        <v>單店新增付費客戶數</v>
      </c>
      <c r="E47" s="1"/>
      <c r="F47" s="14" t="s">
        <v>4</v>
      </c>
      <c r="G47" s="14" t="s">
        <v>5</v>
      </c>
      <c r="H47" s="3">
        <f>IFERROR(__xludf.DUMMYFUNCTION("""COMPUTED_VALUE"""),16.0)</f>
        <v>16</v>
      </c>
      <c r="I47" s="3">
        <f>IFERROR(__xludf.DUMMYFUNCTION("""COMPUTED_VALUE"""),23.0)</f>
        <v>23</v>
      </c>
      <c r="J47" s="3">
        <f>IFERROR(__xludf.DUMMYFUNCTION("""COMPUTED_VALUE"""),38.0)</f>
        <v>38</v>
      </c>
      <c r="K47" s="3">
        <f>IFERROR(__xludf.DUMMYFUNCTION("""COMPUTED_VALUE"""),37.0)</f>
        <v>37</v>
      </c>
      <c r="L47" s="3">
        <f>IFERROR(__xludf.DUMMYFUNCTION("""COMPUTED_VALUE"""),56.0)</f>
        <v>56</v>
      </c>
      <c r="M47" s="3">
        <f>IFERROR(__xludf.DUMMYFUNCTION("""COMPUTED_VALUE"""),72.0)</f>
        <v>72</v>
      </c>
      <c r="N47" s="3"/>
      <c r="O47" s="3"/>
      <c r="P47" s="3">
        <f>IFERROR(__xludf.DUMMYFUNCTION("""COMPUTED_VALUE"""),100.0)</f>
        <v>100</v>
      </c>
      <c r="Q47" s="3">
        <f>IFERROR(__xludf.DUMMYFUNCTION("""COMPUTED_VALUE"""),133.0)</f>
        <v>133</v>
      </c>
      <c r="R47" s="3">
        <f>IFERROR(__xludf.DUMMYFUNCTION("""COMPUTED_VALUE"""),146.0)</f>
        <v>146</v>
      </c>
      <c r="S47" s="3">
        <f>IFERROR(__xludf.DUMMYFUNCTION("""COMPUTED_VALUE"""),150.0)</f>
        <v>150</v>
      </c>
      <c r="T47" s="3">
        <f>IFERROR(__xludf.DUMMYFUNCTION("""COMPUTED_VALUE"""),174.0)</f>
        <v>174</v>
      </c>
      <c r="U47" s="3">
        <f>IFERROR(__xludf.DUMMYFUNCTION("""COMPUTED_VALUE"""),183.0)</f>
        <v>183</v>
      </c>
      <c r="V47" s="3"/>
      <c r="W47" s="3"/>
      <c r="X47" s="3">
        <f>IFERROR(__xludf.DUMMYFUNCTION("""COMPUTED_VALUE"""),100.0)</f>
        <v>100</v>
      </c>
      <c r="Y47" s="3">
        <f>IFERROR(__xludf.DUMMYFUNCTION("""COMPUTED_VALUE"""),100.0)</f>
        <v>100</v>
      </c>
      <c r="Z47" s="3">
        <f>IFERROR(__xludf.DUMMYFUNCTION("""COMPUTED_VALUE"""),100.0)</f>
        <v>100</v>
      </c>
      <c r="AA47" s="3">
        <f>IFERROR(__xludf.DUMMYFUNCTION("""COMPUTED_VALUE"""),100.0)</f>
        <v>100</v>
      </c>
      <c r="AB47" s="3">
        <f>IFERROR(__xludf.DUMMYFUNCTION("""COMPUTED_VALUE"""),100.0)</f>
        <v>100</v>
      </c>
      <c r="AC47" s="3">
        <f>IFERROR(__xludf.DUMMYFUNCTION("""COMPUTED_VALUE"""),100.0)</f>
        <v>100</v>
      </c>
      <c r="AD47" s="3">
        <f>IFERROR(__xludf.DUMMYFUNCTION("""COMPUTED_VALUE"""),100.0)</f>
        <v>100</v>
      </c>
      <c r="AE47" s="3">
        <f>IFERROR(__xludf.DUMMYFUNCTION("""COMPUTED_VALUE"""),100.0)</f>
        <v>100</v>
      </c>
      <c r="AF47" s="3">
        <f>IFERROR(__xludf.DUMMYFUNCTION("""COMPUTED_VALUE"""),100.0)</f>
        <v>100</v>
      </c>
      <c r="AG47" s="3">
        <f>IFERROR(__xludf.DUMMYFUNCTION("""COMPUTED_VALUE"""),100.0)</f>
        <v>100</v>
      </c>
      <c r="AH47" s="3">
        <f>IFERROR(__xludf.DUMMYFUNCTION("""COMPUTED_VALUE"""),100.0)</f>
        <v>100</v>
      </c>
      <c r="AI47" s="3">
        <f>IFERROR(__xludf.DUMMYFUNCTION("""COMPUTED_VALUE"""),100.0)</f>
        <v>100</v>
      </c>
      <c r="AJ47" s="3"/>
      <c r="AK47" s="3"/>
    </row>
    <row r="48">
      <c r="A48" s="1"/>
      <c r="B48" s="1"/>
      <c r="C48" s="1" t="str">
        <f>IFERROR(__xludf.DUMMYFUNCTION("""COMPUTED_VALUE"""),"Churn Customer - Qlieer")</f>
        <v>Churn Customer - Qlieer</v>
      </c>
      <c r="D48" s="1" t="str">
        <f>IFERROR(__xludf.DUMMYFUNCTION("""COMPUTED_VALUE"""),"單店流失付費客戶數")</f>
        <v>單店流失付費客戶數</v>
      </c>
      <c r="E48" s="1"/>
      <c r="F48" s="14" t="s">
        <v>4</v>
      </c>
      <c r="G48" s="14" t="s">
        <v>5</v>
      </c>
      <c r="H48" s="3">
        <f>IFERROR(__xludf.DUMMYFUNCTION("""COMPUTED_VALUE"""),-28.0)</f>
        <v>-28</v>
      </c>
      <c r="I48" s="3">
        <f>IFERROR(__xludf.DUMMYFUNCTION("""COMPUTED_VALUE"""),-11.0)</f>
        <v>-11</v>
      </c>
      <c r="J48" s="3">
        <f>IFERROR(__xludf.DUMMYFUNCTION("""COMPUTED_VALUE"""),-38.0)</f>
        <v>-38</v>
      </c>
      <c r="K48" s="3">
        <f>IFERROR(__xludf.DUMMYFUNCTION("""COMPUTED_VALUE"""),-20.0)</f>
        <v>-20</v>
      </c>
      <c r="L48" s="3">
        <f>IFERROR(__xludf.DUMMYFUNCTION("""COMPUTED_VALUE"""),-19.0)</f>
        <v>-19</v>
      </c>
      <c r="M48" s="3">
        <f>IFERROR(__xludf.DUMMYFUNCTION("""COMPUTED_VALUE"""),-20.0)</f>
        <v>-20</v>
      </c>
      <c r="N48" s="3"/>
      <c r="O48" s="3"/>
      <c r="P48" s="3">
        <f>IFERROR(__xludf.DUMMYFUNCTION("""COMPUTED_VALUE"""),-20.0)</f>
        <v>-20</v>
      </c>
      <c r="Q48" s="3">
        <f>IFERROR(__xludf.DUMMYFUNCTION("""COMPUTED_VALUE"""),-20.0)</f>
        <v>-20</v>
      </c>
      <c r="R48" s="3">
        <f>IFERROR(__xludf.DUMMYFUNCTION("""COMPUTED_VALUE"""),-25.0)</f>
        <v>-25</v>
      </c>
      <c r="S48" s="3">
        <f>IFERROR(__xludf.DUMMYFUNCTION("""COMPUTED_VALUE"""),-25.0)</f>
        <v>-25</v>
      </c>
      <c r="T48" s="3">
        <f>IFERROR(__xludf.DUMMYFUNCTION("""COMPUTED_VALUE"""),-30.0)</f>
        <v>-30</v>
      </c>
      <c r="U48" s="3">
        <f>IFERROR(__xludf.DUMMYFUNCTION("""COMPUTED_VALUE"""),-30.0)</f>
        <v>-30</v>
      </c>
      <c r="V48" s="3"/>
      <c r="W48" s="3"/>
      <c r="X48" s="3">
        <f>IFERROR(__xludf.DUMMYFUNCTION("""COMPUTED_VALUE"""),-35.0)</f>
        <v>-35</v>
      </c>
      <c r="Y48" s="3">
        <f>IFERROR(__xludf.DUMMYFUNCTION("""COMPUTED_VALUE"""),-35.0)</f>
        <v>-35</v>
      </c>
      <c r="Z48" s="3">
        <f>IFERROR(__xludf.DUMMYFUNCTION("""COMPUTED_VALUE"""),-35.0)</f>
        <v>-35</v>
      </c>
      <c r="AA48" s="3">
        <f>IFERROR(__xludf.DUMMYFUNCTION("""COMPUTED_VALUE"""),-40.0)</f>
        <v>-40</v>
      </c>
      <c r="AB48" s="3">
        <f>IFERROR(__xludf.DUMMYFUNCTION("""COMPUTED_VALUE"""),-40.0)</f>
        <v>-40</v>
      </c>
      <c r="AC48" s="3">
        <f>IFERROR(__xludf.DUMMYFUNCTION("""COMPUTED_VALUE"""),-40.0)</f>
        <v>-40</v>
      </c>
      <c r="AD48" s="3">
        <f>IFERROR(__xludf.DUMMYFUNCTION("""COMPUTED_VALUE"""),-45.0)</f>
        <v>-45</v>
      </c>
      <c r="AE48" s="3">
        <f>IFERROR(__xludf.DUMMYFUNCTION("""COMPUTED_VALUE"""),-45.0)</f>
        <v>-45</v>
      </c>
      <c r="AF48" s="3">
        <f>IFERROR(__xludf.DUMMYFUNCTION("""COMPUTED_VALUE"""),-45.0)</f>
        <v>-45</v>
      </c>
      <c r="AG48" s="3">
        <f>IFERROR(__xludf.DUMMYFUNCTION("""COMPUTED_VALUE"""),-50.0)</f>
        <v>-50</v>
      </c>
      <c r="AH48" s="3">
        <f>IFERROR(__xludf.DUMMYFUNCTION("""COMPUTED_VALUE"""),-50.0)</f>
        <v>-50</v>
      </c>
      <c r="AI48" s="3">
        <f>IFERROR(__xludf.DUMMYFUNCTION("""COMPUTED_VALUE"""),-50.0)</f>
        <v>-50</v>
      </c>
      <c r="AJ48" s="3"/>
      <c r="AK48" s="3"/>
    </row>
    <row r="49">
      <c r="A49" s="1"/>
      <c r="B49" s="1"/>
      <c r="C49" s="1" t="str">
        <f>IFERROR(__xludf.DUMMYFUNCTION("""COMPUTED_VALUE"""),"avg. Churn Customer Rate - SMB")</f>
        <v>avg. Churn Customer Rate - SMB</v>
      </c>
      <c r="D49" s="1" t="str">
        <f>IFERROR(__xludf.DUMMYFUNCTION("""COMPUTED_VALUE"""),"單店當月客戶流失率")</f>
        <v>單店當月客戶流失率</v>
      </c>
      <c r="E49" s="1"/>
      <c r="F49" s="14" t="s">
        <v>4</v>
      </c>
      <c r="G49" s="14" t="s">
        <v>5</v>
      </c>
      <c r="H49" s="12">
        <f>IFERROR(__xludf.DUMMYFUNCTION("""COMPUTED_VALUE"""),-0.029)</f>
        <v>-0.029</v>
      </c>
      <c r="I49" s="12">
        <f>IFERROR(__xludf.DUMMYFUNCTION("""COMPUTED_VALUE"""),-0.011270491803278689)</f>
        <v>-0.0112704918</v>
      </c>
      <c r="J49" s="12">
        <f>IFERROR(__xludf.DUMMYFUNCTION("""COMPUTED_VALUE"""),-0.038461538461538464)</f>
        <v>-0.03846153846</v>
      </c>
      <c r="K49" s="12">
        <f>IFERROR(__xludf.DUMMYFUNCTION("""COMPUTED_VALUE"""),-0.020242914979757085)</f>
        <v>-0.02024291498</v>
      </c>
      <c r="L49" s="12">
        <f>IFERROR(__xludf.DUMMYFUNCTION("""COMPUTED_VALUE"""),-0.01890547263681592)</f>
        <v>-0.01890547264</v>
      </c>
      <c r="M49" s="12">
        <f>IFERROR(__xludf.DUMMYFUNCTION("""COMPUTED_VALUE"""),-0.019193857965451054)</f>
        <v>-0.01919385797</v>
      </c>
      <c r="N49" s="3"/>
      <c r="O49" s="3"/>
      <c r="P49" s="12">
        <f>IFERROR(__xludf.DUMMYFUNCTION("""COMPUTED_VALUE"""),-0.018281535648994516)</f>
        <v>-0.01828153565</v>
      </c>
      <c r="Q49" s="12">
        <f>IFERROR(__xludf.DUMMYFUNCTION("""COMPUTED_VALUE"""),-0.017035775127768313)</f>
        <v>-0.01703577513</v>
      </c>
      <c r="R49" s="12">
        <f>IFERROR(__xludf.DUMMYFUNCTION("""COMPUTED_VALUE"""),-0.019425019425019424)</f>
        <v>-0.01942501943</v>
      </c>
      <c r="S49" s="12">
        <f>IFERROR(__xludf.DUMMYFUNCTION("""COMPUTED_VALUE"""),-0.01775568181818182)</f>
        <v>-0.01775568182</v>
      </c>
      <c r="T49" s="12">
        <f>IFERROR(__xludf.DUMMYFUNCTION("""COMPUTED_VALUE"""),-0.019569471624266144)</f>
        <v>-0.01956947162</v>
      </c>
      <c r="U49" s="12">
        <f>IFERROR(__xludf.DUMMYFUNCTION("""COMPUTED_VALUE"""),-0.017889087656529516)</f>
        <v>-0.01788908766</v>
      </c>
      <c r="V49" s="3"/>
      <c r="W49" s="3"/>
      <c r="X49" s="12">
        <f>IFERROR(__xludf.DUMMYFUNCTION("""COMPUTED_VALUE"""),-0.01912568306010929)</f>
        <v>-0.01912568306</v>
      </c>
      <c r="Y49" s="12">
        <f>IFERROR(__xludf.DUMMYFUNCTION("""COMPUTED_VALUE"""),-0.018469656992084433)</f>
        <v>-0.01846965699</v>
      </c>
      <c r="Z49" s="12">
        <f>IFERROR(__xludf.DUMMYFUNCTION("""COMPUTED_VALUE"""),-0.017857142857142856)</f>
        <v>-0.01785714286</v>
      </c>
      <c r="AA49" s="12">
        <f>IFERROR(__xludf.DUMMYFUNCTION("""COMPUTED_VALUE"""),-0.019753086419753086)</f>
        <v>-0.01975308642</v>
      </c>
      <c r="AB49" s="12">
        <f>IFERROR(__xludf.DUMMYFUNCTION("""COMPUTED_VALUE"""),-0.019184652278177457)</f>
        <v>-0.01918465228</v>
      </c>
      <c r="AC49" s="12">
        <f>IFERROR(__xludf.DUMMYFUNCTION("""COMPUTED_VALUE"""),-0.018648018648018648)</f>
        <v>-0.01864801865</v>
      </c>
      <c r="AD49" s="12">
        <f>IFERROR(__xludf.DUMMYFUNCTION("""COMPUTED_VALUE"""),-0.02040816326530612)</f>
        <v>-0.02040816327</v>
      </c>
      <c r="AE49" s="12">
        <f>IFERROR(__xludf.DUMMYFUNCTION("""COMPUTED_VALUE"""),-0.01991150442477876)</f>
        <v>-0.01991150442</v>
      </c>
      <c r="AF49" s="12">
        <f>IFERROR(__xludf.DUMMYFUNCTION("""COMPUTED_VALUE"""),-0.019438444924406047)</f>
        <v>-0.01943844492</v>
      </c>
      <c r="AG49" s="12">
        <f>IFERROR(__xludf.DUMMYFUNCTION("""COMPUTED_VALUE"""),-0.02109704641350211)</f>
        <v>-0.02109704641</v>
      </c>
      <c r="AH49" s="12">
        <f>IFERROR(__xludf.DUMMYFUNCTION("""COMPUTED_VALUE"""),-0.02066115702479339)</f>
        <v>-0.02066115702</v>
      </c>
      <c r="AI49" s="12">
        <f>IFERROR(__xludf.DUMMYFUNCTION("""COMPUTED_VALUE"""),-0.020242914979757085)</f>
        <v>-0.02024291498</v>
      </c>
      <c r="AJ49" s="3"/>
      <c r="AK49" s="3"/>
    </row>
    <row r="50">
      <c r="A50" s="1" t="str">
        <f>IFERROR(__xludf.DUMMYFUNCTION("""COMPUTED_VALUE"""),"ARPA")</f>
        <v>ARPA</v>
      </c>
      <c r="B50" s="1" t="str">
        <f>IFERROR(__xludf.DUMMYFUNCTION("""COMPUTED_VALUE"""),"指標")</f>
        <v>指標</v>
      </c>
      <c r="C50" s="1" t="str">
        <f>IFERROR(__xludf.DUMMYFUNCTION("""COMPUTED_VALUE"""),"Average Revenue per customer Account")</f>
        <v>Average Revenue per customer Account</v>
      </c>
      <c r="D50" s="1"/>
      <c r="E50" s="1"/>
      <c r="F50" s="14" t="s">
        <v>4</v>
      </c>
      <c r="G50" s="14" t="s">
        <v>5</v>
      </c>
      <c r="H50" s="3">
        <f>IFERROR(__xludf.DUMMYFUNCTION("""COMPUTED_VALUE"""),1712.0)</f>
        <v>1712</v>
      </c>
      <c r="I50" s="3">
        <f>IFERROR(__xludf.DUMMYFUNCTION("""COMPUTED_VALUE"""),1760.0)</f>
        <v>1760</v>
      </c>
      <c r="J50" s="3">
        <f>IFERROR(__xludf.DUMMYFUNCTION("""COMPUTED_VALUE"""),1696.0)</f>
        <v>1696</v>
      </c>
      <c r="K50" s="3">
        <f>IFERROR(__xludf.DUMMYFUNCTION("""COMPUTED_VALUE"""),1669.0)</f>
        <v>1669</v>
      </c>
      <c r="L50" s="3">
        <f>IFERROR(__xludf.DUMMYFUNCTION("""COMPUTED_VALUE"""),1701.0)</f>
        <v>1701</v>
      </c>
      <c r="M50" s="3">
        <f>IFERROR(__xludf.DUMMYFUNCTION("""COMPUTED_VALUE"""),1629.0)</f>
        <v>1629</v>
      </c>
      <c r="N50" s="3"/>
      <c r="O50" s="3"/>
      <c r="P50" s="3">
        <f>IFERROR(__xludf.DUMMYFUNCTION("""COMPUTED_VALUE"""),1650.0)</f>
        <v>1650</v>
      </c>
      <c r="Q50" s="3">
        <f>IFERROR(__xludf.DUMMYFUNCTION("""COMPUTED_VALUE"""),1650.0)</f>
        <v>1650</v>
      </c>
      <c r="R50" s="3">
        <f>IFERROR(__xludf.DUMMYFUNCTION("""COMPUTED_VALUE"""),1650.0)</f>
        <v>1650</v>
      </c>
      <c r="S50" s="3">
        <f>IFERROR(__xludf.DUMMYFUNCTION("""COMPUTED_VALUE"""),1650.0)</f>
        <v>1650</v>
      </c>
      <c r="T50" s="3">
        <f>IFERROR(__xludf.DUMMYFUNCTION("""COMPUTED_VALUE"""),1650.0)</f>
        <v>1650</v>
      </c>
      <c r="U50" s="3">
        <f>IFERROR(__xludf.DUMMYFUNCTION("""COMPUTED_VALUE"""),1650.0)</f>
        <v>1650</v>
      </c>
      <c r="V50" s="3"/>
      <c r="W50" s="3"/>
      <c r="X50" s="3">
        <f>IFERROR(__xludf.DUMMYFUNCTION("""COMPUTED_VALUE"""),1700.0)</f>
        <v>1700</v>
      </c>
      <c r="Y50" s="3">
        <f>IFERROR(__xludf.DUMMYFUNCTION("""COMPUTED_VALUE"""),1700.0)</f>
        <v>1700</v>
      </c>
      <c r="Z50" s="3">
        <f>IFERROR(__xludf.DUMMYFUNCTION("""COMPUTED_VALUE"""),1700.0)</f>
        <v>1700</v>
      </c>
      <c r="AA50" s="3">
        <f>IFERROR(__xludf.DUMMYFUNCTION("""COMPUTED_VALUE"""),1700.0)</f>
        <v>1700</v>
      </c>
      <c r="AB50" s="3">
        <f>IFERROR(__xludf.DUMMYFUNCTION("""COMPUTED_VALUE"""),1700.0)</f>
        <v>1700</v>
      </c>
      <c r="AC50" s="3">
        <f>IFERROR(__xludf.DUMMYFUNCTION("""COMPUTED_VALUE"""),1700.0)</f>
        <v>1700</v>
      </c>
      <c r="AD50" s="3">
        <f>IFERROR(__xludf.DUMMYFUNCTION("""COMPUTED_VALUE"""),1700.0)</f>
        <v>1700</v>
      </c>
      <c r="AE50" s="3">
        <f>IFERROR(__xludf.DUMMYFUNCTION("""COMPUTED_VALUE"""),1700.0)</f>
        <v>1700</v>
      </c>
      <c r="AF50" s="3">
        <f>IFERROR(__xludf.DUMMYFUNCTION("""COMPUTED_VALUE"""),1700.0)</f>
        <v>1700</v>
      </c>
      <c r="AG50" s="3">
        <f>IFERROR(__xludf.DUMMYFUNCTION("""COMPUTED_VALUE"""),1700.0)</f>
        <v>1700</v>
      </c>
      <c r="AH50" s="3">
        <f>IFERROR(__xludf.DUMMYFUNCTION("""COMPUTED_VALUE"""),1700.0)</f>
        <v>1700</v>
      </c>
      <c r="AI50" s="3">
        <f>IFERROR(__xludf.DUMMYFUNCTION("""COMPUTED_VALUE"""),1700.0)</f>
        <v>1700</v>
      </c>
      <c r="AJ50" s="3"/>
      <c r="AK50" s="3"/>
    </row>
    <row r="51">
      <c r="A51" s="1"/>
      <c r="B51" s="1"/>
      <c r="C51" s="1" t="str">
        <f>IFERROR(__xludf.DUMMYFUNCTION("""COMPUTED_VALUE"""),"Average Revenue per customer Account - Qlieer")</f>
        <v>Average Revenue per customer Account - Qlieer</v>
      </c>
      <c r="D51" s="1" t="str">
        <f>IFERROR(__xludf.DUMMYFUNCTION("""COMPUTED_VALUE"""),"平均單店客戶單價")</f>
        <v>平均單店客戶單價</v>
      </c>
      <c r="E51" s="1"/>
      <c r="F51" s="14" t="s">
        <v>4</v>
      </c>
      <c r="G51" s="14" t="s">
        <v>5</v>
      </c>
      <c r="H51" s="3">
        <f>IFERROR(__xludf.DUMMYFUNCTION("""COMPUTED_VALUE"""),1712.0)</f>
        <v>1712</v>
      </c>
      <c r="I51" s="3">
        <f>IFERROR(__xludf.DUMMYFUNCTION("""COMPUTED_VALUE"""),1760.0)</f>
        <v>1760</v>
      </c>
      <c r="J51" s="3">
        <f>IFERROR(__xludf.DUMMYFUNCTION("""COMPUTED_VALUE"""),1696.0)</f>
        <v>1696</v>
      </c>
      <c r="K51" s="3">
        <f>IFERROR(__xludf.DUMMYFUNCTION("""COMPUTED_VALUE"""),1669.0)</f>
        <v>1669</v>
      </c>
      <c r="L51" s="3">
        <f>IFERROR(__xludf.DUMMYFUNCTION("""COMPUTED_VALUE"""),1701.0)</f>
        <v>1701</v>
      </c>
      <c r="M51" s="3">
        <f>IFERROR(__xludf.DUMMYFUNCTION("""COMPUTED_VALUE"""),1629.0)</f>
        <v>1629</v>
      </c>
      <c r="N51" s="3"/>
      <c r="O51" s="3"/>
      <c r="P51" s="3">
        <f>IFERROR(__xludf.DUMMYFUNCTION("""COMPUTED_VALUE"""),1650.0)</f>
        <v>1650</v>
      </c>
      <c r="Q51" s="3">
        <f>IFERROR(__xludf.DUMMYFUNCTION("""COMPUTED_VALUE"""),1650.0)</f>
        <v>1650</v>
      </c>
      <c r="R51" s="3">
        <f>IFERROR(__xludf.DUMMYFUNCTION("""COMPUTED_VALUE"""),1650.0)</f>
        <v>1650</v>
      </c>
      <c r="S51" s="3">
        <f>IFERROR(__xludf.DUMMYFUNCTION("""COMPUTED_VALUE"""),1650.0)</f>
        <v>1650</v>
      </c>
      <c r="T51" s="3">
        <f>IFERROR(__xludf.DUMMYFUNCTION("""COMPUTED_VALUE"""),1650.0)</f>
        <v>1650</v>
      </c>
      <c r="U51" s="3">
        <f>IFERROR(__xludf.DUMMYFUNCTION("""COMPUTED_VALUE"""),1650.0)</f>
        <v>1650</v>
      </c>
      <c r="V51" s="3"/>
      <c r="W51" s="3"/>
      <c r="X51" s="3">
        <f>IFERROR(__xludf.DUMMYFUNCTION("""COMPUTED_VALUE"""),1700.0)</f>
        <v>1700</v>
      </c>
      <c r="Y51" s="3">
        <f>IFERROR(__xludf.DUMMYFUNCTION("""COMPUTED_VALUE"""),1700.0)</f>
        <v>1700</v>
      </c>
      <c r="Z51" s="3">
        <f>IFERROR(__xludf.DUMMYFUNCTION("""COMPUTED_VALUE"""),1700.0)</f>
        <v>1700</v>
      </c>
      <c r="AA51" s="3">
        <f>IFERROR(__xludf.DUMMYFUNCTION("""COMPUTED_VALUE"""),1700.0)</f>
        <v>1700</v>
      </c>
      <c r="AB51" s="3">
        <f>IFERROR(__xludf.DUMMYFUNCTION("""COMPUTED_VALUE"""),1700.0)</f>
        <v>1700</v>
      </c>
      <c r="AC51" s="3">
        <f>IFERROR(__xludf.DUMMYFUNCTION("""COMPUTED_VALUE"""),1700.0)</f>
        <v>1700</v>
      </c>
      <c r="AD51" s="3">
        <f>IFERROR(__xludf.DUMMYFUNCTION("""COMPUTED_VALUE"""),1700.0)</f>
        <v>1700</v>
      </c>
      <c r="AE51" s="3">
        <f>IFERROR(__xludf.DUMMYFUNCTION("""COMPUTED_VALUE"""),1700.0)</f>
        <v>1700</v>
      </c>
      <c r="AF51" s="3">
        <f>IFERROR(__xludf.DUMMYFUNCTION("""COMPUTED_VALUE"""),1700.0)</f>
        <v>1700</v>
      </c>
      <c r="AG51" s="3">
        <f>IFERROR(__xludf.DUMMYFUNCTION("""COMPUTED_VALUE"""),1700.0)</f>
        <v>1700</v>
      </c>
      <c r="AH51" s="3">
        <f>IFERROR(__xludf.DUMMYFUNCTION("""COMPUTED_VALUE"""),1700.0)</f>
        <v>1700</v>
      </c>
      <c r="AI51" s="3">
        <f>IFERROR(__xludf.DUMMYFUNCTION("""COMPUTED_VALUE"""),1700.0)</f>
        <v>1700</v>
      </c>
      <c r="AJ51" s="3"/>
      <c r="AK51" s="3"/>
    </row>
    <row r="52">
      <c r="A52" s="1" t="str">
        <f>IFERROR(__xludf.DUMMYFUNCTION("""COMPUTED_VALUE"""),"Cost-AWS %")</f>
        <v>Cost-AWS %</v>
      </c>
      <c r="B52" s="1" t="str">
        <f>IFERROR(__xludf.DUMMYFUNCTION("""COMPUTED_VALUE"""),"指標")</f>
        <v>指標</v>
      </c>
      <c r="C52" s="1" t="str">
        <f>IFERROR(__xludf.DUMMYFUNCTION("""COMPUTED_VALUE"""),"Cost-AWS %")</f>
        <v>Cost-AWS %</v>
      </c>
      <c r="D52" s="1"/>
      <c r="E52" s="1"/>
      <c r="F52" s="14" t="s">
        <v>4</v>
      </c>
      <c r="G52" s="14" t="s">
        <v>5</v>
      </c>
      <c r="H52" s="12">
        <f>IFERROR(__xludf.DUMMYFUNCTION("""COMPUTED_VALUE"""),-0.053518297636124146)</f>
        <v>-0.05351829764</v>
      </c>
      <c r="I52" s="12">
        <f>IFERROR(__xludf.DUMMYFUNCTION("""COMPUTED_VALUE"""),-0.046098081122412274)</f>
        <v>-0.04609808112</v>
      </c>
      <c r="J52" s="12">
        <f>IFERROR(__xludf.DUMMYFUNCTION("""COMPUTED_VALUE"""),-0.046073772810821666)</f>
        <v>-0.04607377281</v>
      </c>
      <c r="K52" s="12">
        <f>IFERROR(__xludf.DUMMYFUNCTION("""COMPUTED_VALUE"""),-0.04320404725831863)</f>
        <v>-0.04320404726</v>
      </c>
      <c r="L52" s="12">
        <f>IFERROR(__xludf.DUMMYFUNCTION("""COMPUTED_VALUE"""),-0.06467986443050681)</f>
        <v>-0.06467986443</v>
      </c>
      <c r="M52" s="12">
        <f>IFERROR(__xludf.DUMMYFUNCTION("""COMPUTED_VALUE"""),-0.03599222971273185)</f>
        <v>-0.03599222971</v>
      </c>
      <c r="N52" s="12">
        <f>IFERROR(__xludf.DUMMYFUNCTION("""COMPUTED_VALUE"""),-0.04829831900972375)</f>
        <v>-0.04829831901</v>
      </c>
      <c r="O52" s="3"/>
      <c r="P52" s="12">
        <f>IFERROR(__xludf.DUMMYFUNCTION("""COMPUTED_VALUE"""),-0.062184637356130695)</f>
        <v>-0.06218463736</v>
      </c>
      <c r="Q52" s="12">
        <f>IFERROR(__xludf.DUMMYFUNCTION("""COMPUTED_VALUE"""),-0.06765087534143614)</f>
        <v>-0.06765087534</v>
      </c>
      <c r="R52" s="12">
        <f>IFERROR(__xludf.DUMMYFUNCTION("""COMPUTED_VALUE"""),-0.04765110795367317)</f>
        <v>-0.04765110795</v>
      </c>
      <c r="S52" s="12">
        <f>IFERROR(__xludf.DUMMYFUNCTION("""COMPUTED_VALUE"""),-0.04413489132468257)</f>
        <v>-0.04413489132</v>
      </c>
      <c r="T52" s="12">
        <f>IFERROR(__xludf.DUMMYFUNCTION("""COMPUTED_VALUE"""),-0.040641729909059524)</f>
        <v>-0.04064172991</v>
      </c>
      <c r="U52" s="12">
        <f>IFERROR(__xludf.DUMMYFUNCTION("""COMPUTED_VALUE"""),-0.03759370909489933)</f>
        <v>-0.03759370909</v>
      </c>
      <c r="V52" s="12">
        <f>IFERROR(__xludf.DUMMYFUNCTION("""COMPUTED_VALUE"""),-0.04836741652668)</f>
        <v>-0.04836741653</v>
      </c>
      <c r="W52" s="3"/>
      <c r="X52" s="15">
        <f>IFERROR(__xludf.DUMMYFUNCTION("""COMPUTED_VALUE"""),-0.048)</f>
        <v>-0.048</v>
      </c>
      <c r="Y52" s="15">
        <f>IFERROR(__xludf.DUMMYFUNCTION("""COMPUTED_VALUE"""),-0.048)</f>
        <v>-0.048</v>
      </c>
      <c r="Z52" s="15">
        <f>IFERROR(__xludf.DUMMYFUNCTION("""COMPUTED_VALUE"""),-0.048)</f>
        <v>-0.048</v>
      </c>
      <c r="AA52" s="15">
        <f>IFERROR(__xludf.DUMMYFUNCTION("""COMPUTED_VALUE"""),-0.048)</f>
        <v>-0.048</v>
      </c>
      <c r="AB52" s="15">
        <f>IFERROR(__xludf.DUMMYFUNCTION("""COMPUTED_VALUE"""),-0.048)</f>
        <v>-0.048</v>
      </c>
      <c r="AC52" s="15">
        <f>IFERROR(__xludf.DUMMYFUNCTION("""COMPUTED_VALUE"""),-0.048)</f>
        <v>-0.048</v>
      </c>
      <c r="AD52" s="15">
        <f>IFERROR(__xludf.DUMMYFUNCTION("""COMPUTED_VALUE"""),-0.048)</f>
        <v>-0.048</v>
      </c>
      <c r="AE52" s="15">
        <f>IFERROR(__xludf.DUMMYFUNCTION("""COMPUTED_VALUE"""),-0.048)</f>
        <v>-0.048</v>
      </c>
      <c r="AF52" s="15">
        <f>IFERROR(__xludf.DUMMYFUNCTION("""COMPUTED_VALUE"""),-0.048)</f>
        <v>-0.048</v>
      </c>
      <c r="AG52" s="15">
        <f>IFERROR(__xludf.DUMMYFUNCTION("""COMPUTED_VALUE"""),-0.048)</f>
        <v>-0.048</v>
      </c>
      <c r="AH52" s="15">
        <f>IFERROR(__xludf.DUMMYFUNCTION("""COMPUTED_VALUE"""),-0.048)</f>
        <v>-0.048</v>
      </c>
      <c r="AI52" s="15">
        <f>IFERROR(__xludf.DUMMYFUNCTION("""COMPUTED_VALUE"""),-0.048)</f>
        <v>-0.048</v>
      </c>
      <c r="AJ52" s="3"/>
      <c r="AK52" s="3"/>
    </row>
    <row r="53">
      <c r="A53" s="1"/>
      <c r="B53" s="1"/>
      <c r="C53" s="1" t="str">
        <f>IFERROR(__xludf.DUMMYFUNCTION("""COMPUTED_VALUE"""),"Cost-AWS %")</f>
        <v>Cost-AWS %</v>
      </c>
      <c r="D53" s="1" t="str">
        <f>IFERROR(__xludf.DUMMYFUNCTION("""COMPUTED_VALUE"""),"AWS 成本率")</f>
        <v>AWS 成本率</v>
      </c>
      <c r="E53" s="1"/>
      <c r="F53" s="14" t="s">
        <v>4</v>
      </c>
      <c r="G53" s="14" t="s">
        <v>5</v>
      </c>
      <c r="H53" s="12">
        <f>IFERROR(__xludf.DUMMYFUNCTION("""COMPUTED_VALUE"""),-0.053518297636124146)</f>
        <v>-0.05351829764</v>
      </c>
      <c r="I53" s="12">
        <f>IFERROR(__xludf.DUMMYFUNCTION("""COMPUTED_VALUE"""),-0.046098081122412274)</f>
        <v>-0.04609808112</v>
      </c>
      <c r="J53" s="12">
        <f>IFERROR(__xludf.DUMMYFUNCTION("""COMPUTED_VALUE"""),-0.046073772810821666)</f>
        <v>-0.04607377281</v>
      </c>
      <c r="K53" s="12">
        <f>IFERROR(__xludf.DUMMYFUNCTION("""COMPUTED_VALUE"""),-0.04320404725831863)</f>
        <v>-0.04320404726</v>
      </c>
      <c r="L53" s="12">
        <f>IFERROR(__xludf.DUMMYFUNCTION("""COMPUTED_VALUE"""),-0.06467986443050681)</f>
        <v>-0.06467986443</v>
      </c>
      <c r="M53" s="12">
        <f>IFERROR(__xludf.DUMMYFUNCTION("""COMPUTED_VALUE"""),-0.03599222971273185)</f>
        <v>-0.03599222971</v>
      </c>
      <c r="N53" s="12">
        <f>IFERROR(__xludf.DUMMYFUNCTION("""COMPUTED_VALUE"""),-0.04829831900972375)</f>
        <v>-0.04829831901</v>
      </c>
      <c r="O53" s="3"/>
      <c r="P53" s="12">
        <f>IFERROR(__xludf.DUMMYFUNCTION("""COMPUTED_VALUE"""),-0.062184637356130695)</f>
        <v>-0.06218463736</v>
      </c>
      <c r="Q53" s="12">
        <f>IFERROR(__xludf.DUMMYFUNCTION("""COMPUTED_VALUE"""),-0.06765087534143614)</f>
        <v>-0.06765087534</v>
      </c>
      <c r="R53" s="12">
        <f>IFERROR(__xludf.DUMMYFUNCTION("""COMPUTED_VALUE"""),-0.04765110795367317)</f>
        <v>-0.04765110795</v>
      </c>
      <c r="S53" s="12">
        <f>IFERROR(__xludf.DUMMYFUNCTION("""COMPUTED_VALUE"""),-0.04413489132468257)</f>
        <v>-0.04413489132</v>
      </c>
      <c r="T53" s="12">
        <f>IFERROR(__xludf.DUMMYFUNCTION("""COMPUTED_VALUE"""),-0.040641729909059524)</f>
        <v>-0.04064172991</v>
      </c>
      <c r="U53" s="12">
        <f>IFERROR(__xludf.DUMMYFUNCTION("""COMPUTED_VALUE"""),-0.03759370909489933)</f>
        <v>-0.03759370909</v>
      </c>
      <c r="V53" s="12">
        <f>IFERROR(__xludf.DUMMYFUNCTION("""COMPUTED_VALUE"""),-0.04836741652668)</f>
        <v>-0.04836741653</v>
      </c>
      <c r="W53" s="3"/>
      <c r="X53" s="15">
        <f>IFERROR(__xludf.DUMMYFUNCTION("""COMPUTED_VALUE"""),-0.048)</f>
        <v>-0.048</v>
      </c>
      <c r="Y53" s="15">
        <f>IFERROR(__xludf.DUMMYFUNCTION("""COMPUTED_VALUE"""),-0.048)</f>
        <v>-0.048</v>
      </c>
      <c r="Z53" s="15">
        <f>IFERROR(__xludf.DUMMYFUNCTION("""COMPUTED_VALUE"""),-0.048)</f>
        <v>-0.048</v>
      </c>
      <c r="AA53" s="15">
        <f>IFERROR(__xludf.DUMMYFUNCTION("""COMPUTED_VALUE"""),-0.048)</f>
        <v>-0.048</v>
      </c>
      <c r="AB53" s="15">
        <f>IFERROR(__xludf.DUMMYFUNCTION("""COMPUTED_VALUE"""),-0.048)</f>
        <v>-0.048</v>
      </c>
      <c r="AC53" s="15">
        <f>IFERROR(__xludf.DUMMYFUNCTION("""COMPUTED_VALUE"""),-0.048)</f>
        <v>-0.048</v>
      </c>
      <c r="AD53" s="15">
        <f>IFERROR(__xludf.DUMMYFUNCTION("""COMPUTED_VALUE"""),-0.048)</f>
        <v>-0.048</v>
      </c>
      <c r="AE53" s="15">
        <f>IFERROR(__xludf.DUMMYFUNCTION("""COMPUTED_VALUE"""),-0.048)</f>
        <v>-0.048</v>
      </c>
      <c r="AF53" s="15">
        <f>IFERROR(__xludf.DUMMYFUNCTION("""COMPUTED_VALUE"""),-0.048)</f>
        <v>-0.048</v>
      </c>
      <c r="AG53" s="15">
        <f>IFERROR(__xludf.DUMMYFUNCTION("""COMPUTED_VALUE"""),-0.048)</f>
        <v>-0.048</v>
      </c>
      <c r="AH53" s="15">
        <f>IFERROR(__xludf.DUMMYFUNCTION("""COMPUTED_VALUE"""),-0.048)</f>
        <v>-0.048</v>
      </c>
      <c r="AI53" s="15">
        <f>IFERROR(__xludf.DUMMYFUNCTION("""COMPUTED_VALUE"""),-0.048)</f>
        <v>-0.048</v>
      </c>
      <c r="AJ53" s="3"/>
      <c r="AK53" s="3"/>
    </row>
    <row r="54">
      <c r="A54" s="1" t="str">
        <f>IFERROR(__xludf.DUMMYFUNCTION("""COMPUTED_VALUE"""),"Cost-Maintenance %")</f>
        <v>Cost-Maintenance %</v>
      </c>
      <c r="B54" s="1" t="str">
        <f>IFERROR(__xludf.DUMMYFUNCTION("""COMPUTED_VALUE"""),"指標")</f>
        <v>指標</v>
      </c>
      <c r="C54" s="1" t="str">
        <f>IFERROR(__xludf.DUMMYFUNCTION("""COMPUTED_VALUE"""),"Cost-Maintenance %")</f>
        <v>Cost-Maintenance %</v>
      </c>
      <c r="D54" s="1"/>
      <c r="E54" s="1"/>
      <c r="F54" s="16" t="s">
        <v>4</v>
      </c>
      <c r="G54" s="17" t="s">
        <v>5</v>
      </c>
      <c r="H54" s="12">
        <f>IFERROR(__xludf.DUMMYFUNCTION("""COMPUTED_VALUE"""),-0.16117819333798317)</f>
        <v>-0.1611781933</v>
      </c>
      <c r="I54" s="12">
        <f>IFERROR(__xludf.DUMMYFUNCTION("""COMPUTED_VALUE"""),-0.14094723260676353)</f>
        <v>-0.1409472326</v>
      </c>
      <c r="J54" s="12">
        <f>IFERROR(__xludf.DUMMYFUNCTION("""COMPUTED_VALUE"""),-0.1787549216962426)</f>
        <v>-0.1787549217</v>
      </c>
      <c r="K54" s="12">
        <f>IFERROR(__xludf.DUMMYFUNCTION("""COMPUTED_VALUE"""),-0.1733476093341346)</f>
        <v>-0.1733476093</v>
      </c>
      <c r="L54" s="12">
        <f>IFERROR(__xludf.DUMMYFUNCTION("""COMPUTED_VALUE"""),-0.1415403761316645)</f>
        <v>-0.1415403761</v>
      </c>
      <c r="M54" s="12">
        <f>IFERROR(__xludf.DUMMYFUNCTION("""COMPUTED_VALUE"""),-0.1654985596977939)</f>
        <v>-0.1654985597</v>
      </c>
      <c r="N54" s="12">
        <f>IFERROR(__xludf.DUMMYFUNCTION("""COMPUTED_VALUE"""),-0.15997391692221255)</f>
        <v>-0.1599739169</v>
      </c>
      <c r="O54" s="3"/>
      <c r="P54" s="12">
        <f>IFERROR(__xludf.DUMMYFUNCTION("""COMPUTED_VALUE"""),-0.18291369158117746)</f>
        <v>-0.1829136916</v>
      </c>
      <c r="Q54" s="12">
        <f>IFERROR(__xludf.DUMMYFUNCTION("""COMPUTED_VALUE"""),-0.09875507972500502)</f>
        <v>-0.09875507973</v>
      </c>
      <c r="R54" s="12">
        <f>IFERROR(__xludf.DUMMYFUNCTION("""COMPUTED_VALUE"""),-0.11364729618542833)</f>
        <v>-0.1136472962</v>
      </c>
      <c r="S54" s="12">
        <f>IFERROR(__xludf.DUMMYFUNCTION("""COMPUTED_VALUE"""),-0.121538568763575)</f>
        <v>-0.1215385688</v>
      </c>
      <c r="T54" s="12">
        <f>IFERROR(__xludf.DUMMYFUNCTION("""COMPUTED_VALUE"""),-0.11342086380258488)</f>
        <v>-0.1134208638</v>
      </c>
      <c r="U54" s="12">
        <f>IFERROR(__xludf.DUMMYFUNCTION("""COMPUTED_VALUE"""),-0.11565282884516015)</f>
        <v>-0.1156528288</v>
      </c>
      <c r="V54" s="12">
        <f>IFERROR(__xludf.DUMMYFUNCTION("""COMPUTED_VALUE"""),-0.13798969292977312)</f>
        <v>-0.1379896929</v>
      </c>
      <c r="W54" s="3"/>
      <c r="X54" s="15">
        <f>IFERROR(__xludf.DUMMYFUNCTION("""COMPUTED_VALUE"""),-0.12)</f>
        <v>-0.12</v>
      </c>
      <c r="Y54" s="15">
        <f>IFERROR(__xludf.DUMMYFUNCTION("""COMPUTED_VALUE"""),-0.118)</f>
        <v>-0.118</v>
      </c>
      <c r="Z54" s="15">
        <f>IFERROR(__xludf.DUMMYFUNCTION("""COMPUTED_VALUE"""),-0.116)</f>
        <v>-0.116</v>
      </c>
      <c r="AA54" s="15">
        <f>IFERROR(__xludf.DUMMYFUNCTION("""COMPUTED_VALUE"""),-0.114)</f>
        <v>-0.114</v>
      </c>
      <c r="AB54" s="15">
        <f>IFERROR(__xludf.DUMMYFUNCTION("""COMPUTED_VALUE"""),-0.112)</f>
        <v>-0.112</v>
      </c>
      <c r="AC54" s="15">
        <f>IFERROR(__xludf.DUMMYFUNCTION("""COMPUTED_VALUE"""),-0.11)</f>
        <v>-0.11</v>
      </c>
      <c r="AD54" s="15">
        <f>IFERROR(__xludf.DUMMYFUNCTION("""COMPUTED_VALUE"""),-0.108)</f>
        <v>-0.108</v>
      </c>
      <c r="AE54" s="15">
        <f>IFERROR(__xludf.DUMMYFUNCTION("""COMPUTED_VALUE"""),-0.106)</f>
        <v>-0.106</v>
      </c>
      <c r="AF54" s="15">
        <f>IFERROR(__xludf.DUMMYFUNCTION("""COMPUTED_VALUE"""),-0.104)</f>
        <v>-0.104</v>
      </c>
      <c r="AG54" s="15">
        <f>IFERROR(__xludf.DUMMYFUNCTION("""COMPUTED_VALUE"""),-0.102)</f>
        <v>-0.102</v>
      </c>
      <c r="AH54" s="15">
        <f>IFERROR(__xludf.DUMMYFUNCTION("""COMPUTED_VALUE"""),-0.1)</f>
        <v>-0.1</v>
      </c>
      <c r="AI54" s="15">
        <f>IFERROR(__xludf.DUMMYFUNCTION("""COMPUTED_VALUE"""),-0.098)</f>
        <v>-0.098</v>
      </c>
      <c r="AJ54" s="3"/>
      <c r="AK54" s="3"/>
    </row>
    <row r="55">
      <c r="A55" s="1"/>
      <c r="B55" s="1"/>
      <c r="C55" s="1" t="str">
        <f>IFERROR(__xludf.DUMMYFUNCTION("""COMPUTED_VALUE"""),"Cost-Maintenance-CVM %")</f>
        <v>Cost-Maintenance-CVM %</v>
      </c>
      <c r="D55" s="1" t="str">
        <f>IFERROR(__xludf.DUMMYFUNCTION("""COMPUTED_VALUE"""),"客戶價值中心營運成本率")</f>
        <v>客戶價值中心營運成本率</v>
      </c>
      <c r="E55" s="1"/>
      <c r="F55" s="14" t="s">
        <v>4</v>
      </c>
      <c r="G55" s="14" t="s">
        <v>5</v>
      </c>
      <c r="H55" s="12">
        <f>IFERROR(__xludf.DUMMYFUNCTION("""COMPUTED_VALUE"""),-0.16117819333798317)</f>
        <v>-0.1611781933</v>
      </c>
      <c r="I55" s="12">
        <f>IFERROR(__xludf.DUMMYFUNCTION("""COMPUTED_VALUE"""),-0.14094723260676353)</f>
        <v>-0.1409472326</v>
      </c>
      <c r="J55" s="12">
        <f>IFERROR(__xludf.DUMMYFUNCTION("""COMPUTED_VALUE"""),-0.1787549216962426)</f>
        <v>-0.1787549217</v>
      </c>
      <c r="K55" s="12">
        <f>IFERROR(__xludf.DUMMYFUNCTION("""COMPUTED_VALUE"""),-0.1733476093341346)</f>
        <v>-0.1733476093</v>
      </c>
      <c r="L55" s="12">
        <f>IFERROR(__xludf.DUMMYFUNCTION("""COMPUTED_VALUE"""),-0.1415403761316645)</f>
        <v>-0.1415403761</v>
      </c>
      <c r="M55" s="12">
        <f>IFERROR(__xludf.DUMMYFUNCTION("""COMPUTED_VALUE"""),-0.1654985596977939)</f>
        <v>-0.1654985597</v>
      </c>
      <c r="N55" s="12">
        <f>IFERROR(__xludf.DUMMYFUNCTION("""COMPUTED_VALUE"""),-0.15997391692221255)</f>
        <v>-0.1599739169</v>
      </c>
      <c r="O55" s="3"/>
      <c r="P55" s="12">
        <f>IFERROR(__xludf.DUMMYFUNCTION("""COMPUTED_VALUE"""),-0.18291369158117746)</f>
        <v>-0.1829136916</v>
      </c>
      <c r="Q55" s="12">
        <f>IFERROR(__xludf.DUMMYFUNCTION("""COMPUTED_VALUE"""),-0.09875507972500502)</f>
        <v>-0.09875507973</v>
      </c>
      <c r="R55" s="12">
        <f>IFERROR(__xludf.DUMMYFUNCTION("""COMPUTED_VALUE"""),-0.11364729618542833)</f>
        <v>-0.1136472962</v>
      </c>
      <c r="S55" s="12">
        <f>IFERROR(__xludf.DUMMYFUNCTION("""COMPUTED_VALUE"""),-0.121538568763575)</f>
        <v>-0.1215385688</v>
      </c>
      <c r="T55" s="12">
        <f>IFERROR(__xludf.DUMMYFUNCTION("""COMPUTED_VALUE"""),-0.11342086380258488)</f>
        <v>-0.1134208638</v>
      </c>
      <c r="U55" s="12">
        <f>IFERROR(__xludf.DUMMYFUNCTION("""COMPUTED_VALUE"""),-0.11565282884516015)</f>
        <v>-0.1156528288</v>
      </c>
      <c r="V55" s="12">
        <f>IFERROR(__xludf.DUMMYFUNCTION("""COMPUTED_VALUE"""),-0.13798969292977312)</f>
        <v>-0.1379896929</v>
      </c>
      <c r="W55" s="3"/>
      <c r="X55" s="15">
        <f>IFERROR(__xludf.DUMMYFUNCTION("""COMPUTED_VALUE"""),-0.12)</f>
        <v>-0.12</v>
      </c>
      <c r="Y55" s="15">
        <f>IFERROR(__xludf.DUMMYFUNCTION("""COMPUTED_VALUE"""),-0.118)</f>
        <v>-0.118</v>
      </c>
      <c r="Z55" s="15">
        <f>IFERROR(__xludf.DUMMYFUNCTION("""COMPUTED_VALUE"""),-0.116)</f>
        <v>-0.116</v>
      </c>
      <c r="AA55" s="15">
        <f>IFERROR(__xludf.DUMMYFUNCTION("""COMPUTED_VALUE"""),-0.114)</f>
        <v>-0.114</v>
      </c>
      <c r="AB55" s="15">
        <f>IFERROR(__xludf.DUMMYFUNCTION("""COMPUTED_VALUE"""),-0.112)</f>
        <v>-0.112</v>
      </c>
      <c r="AC55" s="15">
        <f>IFERROR(__xludf.DUMMYFUNCTION("""COMPUTED_VALUE"""),-0.11)</f>
        <v>-0.11</v>
      </c>
      <c r="AD55" s="15">
        <f>IFERROR(__xludf.DUMMYFUNCTION("""COMPUTED_VALUE"""),-0.108)</f>
        <v>-0.108</v>
      </c>
      <c r="AE55" s="15">
        <f>IFERROR(__xludf.DUMMYFUNCTION("""COMPUTED_VALUE"""),-0.106)</f>
        <v>-0.106</v>
      </c>
      <c r="AF55" s="15">
        <f>IFERROR(__xludf.DUMMYFUNCTION("""COMPUTED_VALUE"""),-0.104)</f>
        <v>-0.104</v>
      </c>
      <c r="AG55" s="15">
        <f>IFERROR(__xludf.DUMMYFUNCTION("""COMPUTED_VALUE"""),-0.102)</f>
        <v>-0.102</v>
      </c>
      <c r="AH55" s="15">
        <f>IFERROR(__xludf.DUMMYFUNCTION("""COMPUTED_VALUE"""),-0.1)</f>
        <v>-0.1</v>
      </c>
      <c r="AI55" s="15">
        <f>IFERROR(__xludf.DUMMYFUNCTION("""COMPUTED_VALUE"""),-0.098)</f>
        <v>-0.098</v>
      </c>
      <c r="AJ55" s="3"/>
      <c r="AK55" s="3"/>
    </row>
    <row r="56">
      <c r="A56" s="1"/>
      <c r="B56" s="1"/>
      <c r="C56" s="1" t="str">
        <f>IFERROR(__xludf.DUMMYFUNCTION("""COMPUTED_VALUE"""),"Cost-Maintenance-RD %")</f>
        <v>Cost-Maintenance-RD %</v>
      </c>
      <c r="D56" s="1" t="str">
        <f>IFERROR(__xludf.DUMMYFUNCTION("""COMPUTED_VALUE"""),"產品營運團隊營運成本率")</f>
        <v>產品營運團隊營運成本率</v>
      </c>
      <c r="E56" s="1"/>
      <c r="F56" s="14" t="s">
        <v>4</v>
      </c>
      <c r="G56" s="14" t="s">
        <v>5</v>
      </c>
      <c r="H56" s="12">
        <f>IFERROR(__xludf.DUMMYFUNCTION("""COMPUTED_VALUE"""),0.0)</f>
        <v>0</v>
      </c>
      <c r="I56" s="12">
        <f>IFERROR(__xludf.DUMMYFUNCTION("""COMPUTED_VALUE"""),0.0)</f>
        <v>0</v>
      </c>
      <c r="J56" s="12">
        <f>IFERROR(__xludf.DUMMYFUNCTION("""COMPUTED_VALUE"""),0.0)</f>
        <v>0</v>
      </c>
      <c r="K56" s="12">
        <f>IFERROR(__xludf.DUMMYFUNCTION("""COMPUTED_VALUE"""),0.0)</f>
        <v>0</v>
      </c>
      <c r="L56" s="12">
        <f>IFERROR(__xludf.DUMMYFUNCTION("""COMPUTED_VALUE"""),0.0)</f>
        <v>0</v>
      </c>
      <c r="M56" s="12">
        <f>IFERROR(__xludf.DUMMYFUNCTION("""COMPUTED_VALUE"""),0.0)</f>
        <v>0</v>
      </c>
      <c r="N56" s="12">
        <f>IFERROR(__xludf.DUMMYFUNCTION("""COMPUTED_VALUE"""),0.0)</f>
        <v>0</v>
      </c>
      <c r="O56" s="3"/>
      <c r="P56" s="12">
        <f>IFERROR(__xludf.DUMMYFUNCTION("""COMPUTED_VALUE"""),0.0)</f>
        <v>0</v>
      </c>
      <c r="Q56" s="12">
        <f>IFERROR(__xludf.DUMMYFUNCTION("""COMPUTED_VALUE"""),0.0)</f>
        <v>0</v>
      </c>
      <c r="R56" s="12">
        <f>IFERROR(__xludf.DUMMYFUNCTION("""COMPUTED_VALUE"""),0.0)</f>
        <v>0</v>
      </c>
      <c r="S56" s="12">
        <f>IFERROR(__xludf.DUMMYFUNCTION("""COMPUTED_VALUE"""),0.0)</f>
        <v>0</v>
      </c>
      <c r="T56" s="12">
        <f>IFERROR(__xludf.DUMMYFUNCTION("""COMPUTED_VALUE"""),0.0)</f>
        <v>0</v>
      </c>
      <c r="U56" s="12">
        <f>IFERROR(__xludf.DUMMYFUNCTION("""COMPUTED_VALUE"""),0.0)</f>
        <v>0</v>
      </c>
      <c r="V56" s="12">
        <f>IFERROR(__xludf.DUMMYFUNCTION("""COMPUTED_VALUE"""),0.0)</f>
        <v>0</v>
      </c>
      <c r="W56" s="3"/>
      <c r="X56" s="15">
        <f>IFERROR(__xludf.DUMMYFUNCTION("""COMPUTED_VALUE"""),0.0)</f>
        <v>0</v>
      </c>
      <c r="Y56" s="15">
        <f>IFERROR(__xludf.DUMMYFUNCTION("""COMPUTED_VALUE"""),0.0)</f>
        <v>0</v>
      </c>
      <c r="Z56" s="15">
        <f>IFERROR(__xludf.DUMMYFUNCTION("""COMPUTED_VALUE"""),0.0)</f>
        <v>0</v>
      </c>
      <c r="AA56" s="15">
        <f>IFERROR(__xludf.DUMMYFUNCTION("""COMPUTED_VALUE"""),0.0)</f>
        <v>0</v>
      </c>
      <c r="AB56" s="15">
        <f>IFERROR(__xludf.DUMMYFUNCTION("""COMPUTED_VALUE"""),0.0)</f>
        <v>0</v>
      </c>
      <c r="AC56" s="15">
        <f>IFERROR(__xludf.DUMMYFUNCTION("""COMPUTED_VALUE"""),0.0)</f>
        <v>0</v>
      </c>
      <c r="AD56" s="15">
        <f>IFERROR(__xludf.DUMMYFUNCTION("""COMPUTED_VALUE"""),0.0)</f>
        <v>0</v>
      </c>
      <c r="AE56" s="15">
        <f>IFERROR(__xludf.DUMMYFUNCTION("""COMPUTED_VALUE"""),0.0)</f>
        <v>0</v>
      </c>
      <c r="AF56" s="15">
        <f>IFERROR(__xludf.DUMMYFUNCTION("""COMPUTED_VALUE"""),0.0)</f>
        <v>0</v>
      </c>
      <c r="AG56" s="15">
        <f>IFERROR(__xludf.DUMMYFUNCTION("""COMPUTED_VALUE"""),0.0)</f>
        <v>0</v>
      </c>
      <c r="AH56" s="15">
        <f>IFERROR(__xludf.DUMMYFUNCTION("""COMPUTED_VALUE"""),0.0)</f>
        <v>0</v>
      </c>
      <c r="AI56" s="15">
        <f>IFERROR(__xludf.DUMMYFUNCTION("""COMPUTED_VALUE"""),0.0)</f>
        <v>0</v>
      </c>
      <c r="AJ56" s="3"/>
      <c r="AK56" s="3"/>
    </row>
    <row r="57">
      <c r="A57" s="1"/>
      <c r="B57" s="1"/>
      <c r="C57" s="1" t="str">
        <f>IFERROR(__xludf.DUMMYFUNCTION("""COMPUTED_VALUE"""),"Cost-Maintenance-MKT %")</f>
        <v>Cost-Maintenance-MKT %</v>
      </c>
      <c r="D57" s="1" t="str">
        <f>IFERROR(__xludf.DUMMYFUNCTION("""COMPUTED_VALUE"""),"行銷營運中心營運成本率")</f>
        <v>行銷營運中心營運成本率</v>
      </c>
      <c r="E57" s="1"/>
      <c r="F57" s="14" t="s">
        <v>4</v>
      </c>
      <c r="G57" s="14" t="s">
        <v>5</v>
      </c>
      <c r="H57" s="12">
        <f>IFERROR(__xludf.DUMMYFUNCTION("""COMPUTED_VALUE"""),0.0)</f>
        <v>0</v>
      </c>
      <c r="I57" s="12">
        <f>IFERROR(__xludf.DUMMYFUNCTION("""COMPUTED_VALUE"""),0.0)</f>
        <v>0</v>
      </c>
      <c r="J57" s="12">
        <f>IFERROR(__xludf.DUMMYFUNCTION("""COMPUTED_VALUE"""),0.0)</f>
        <v>0</v>
      </c>
      <c r="K57" s="12">
        <f>IFERROR(__xludf.DUMMYFUNCTION("""COMPUTED_VALUE"""),0.0)</f>
        <v>0</v>
      </c>
      <c r="L57" s="12">
        <f>IFERROR(__xludf.DUMMYFUNCTION("""COMPUTED_VALUE"""),0.0)</f>
        <v>0</v>
      </c>
      <c r="M57" s="12">
        <f>IFERROR(__xludf.DUMMYFUNCTION("""COMPUTED_VALUE"""),0.0)</f>
        <v>0</v>
      </c>
      <c r="N57" s="12">
        <f>IFERROR(__xludf.DUMMYFUNCTION("""COMPUTED_VALUE"""),0.0)</f>
        <v>0</v>
      </c>
      <c r="O57" s="3"/>
      <c r="P57" s="12">
        <f>IFERROR(__xludf.DUMMYFUNCTION("""COMPUTED_VALUE"""),0.0)</f>
        <v>0</v>
      </c>
      <c r="Q57" s="12">
        <f>IFERROR(__xludf.DUMMYFUNCTION("""COMPUTED_VALUE"""),0.0)</f>
        <v>0</v>
      </c>
      <c r="R57" s="12">
        <f>IFERROR(__xludf.DUMMYFUNCTION("""COMPUTED_VALUE"""),0.0)</f>
        <v>0</v>
      </c>
      <c r="S57" s="12">
        <f>IFERROR(__xludf.DUMMYFUNCTION("""COMPUTED_VALUE"""),0.0)</f>
        <v>0</v>
      </c>
      <c r="T57" s="12">
        <f>IFERROR(__xludf.DUMMYFUNCTION("""COMPUTED_VALUE"""),0.0)</f>
        <v>0</v>
      </c>
      <c r="U57" s="12">
        <f>IFERROR(__xludf.DUMMYFUNCTION("""COMPUTED_VALUE"""),0.0)</f>
        <v>0</v>
      </c>
      <c r="V57" s="12">
        <f>IFERROR(__xludf.DUMMYFUNCTION("""COMPUTED_VALUE"""),0.0)</f>
        <v>0</v>
      </c>
      <c r="W57" s="3"/>
      <c r="X57" s="15">
        <f>IFERROR(__xludf.DUMMYFUNCTION("""COMPUTED_VALUE"""),0.0)</f>
        <v>0</v>
      </c>
      <c r="Y57" s="15">
        <f>IFERROR(__xludf.DUMMYFUNCTION("""COMPUTED_VALUE"""),0.0)</f>
        <v>0</v>
      </c>
      <c r="Z57" s="15">
        <f>IFERROR(__xludf.DUMMYFUNCTION("""COMPUTED_VALUE"""),0.0)</f>
        <v>0</v>
      </c>
      <c r="AA57" s="15">
        <f>IFERROR(__xludf.DUMMYFUNCTION("""COMPUTED_VALUE"""),0.0)</f>
        <v>0</v>
      </c>
      <c r="AB57" s="15">
        <f>IFERROR(__xludf.DUMMYFUNCTION("""COMPUTED_VALUE"""),0.0)</f>
        <v>0</v>
      </c>
      <c r="AC57" s="15">
        <f>IFERROR(__xludf.DUMMYFUNCTION("""COMPUTED_VALUE"""),0.0)</f>
        <v>0</v>
      </c>
      <c r="AD57" s="15">
        <f>IFERROR(__xludf.DUMMYFUNCTION("""COMPUTED_VALUE"""),0.0)</f>
        <v>0</v>
      </c>
      <c r="AE57" s="15">
        <f>IFERROR(__xludf.DUMMYFUNCTION("""COMPUTED_VALUE"""),0.0)</f>
        <v>0</v>
      </c>
      <c r="AF57" s="15">
        <f>IFERROR(__xludf.DUMMYFUNCTION("""COMPUTED_VALUE"""),0.0)</f>
        <v>0</v>
      </c>
      <c r="AG57" s="15">
        <f>IFERROR(__xludf.DUMMYFUNCTION("""COMPUTED_VALUE"""),0.0)</f>
        <v>0</v>
      </c>
      <c r="AH57" s="15">
        <f>IFERROR(__xludf.DUMMYFUNCTION("""COMPUTED_VALUE"""),0.0)</f>
        <v>0</v>
      </c>
      <c r="AI57" s="15">
        <f>IFERROR(__xludf.DUMMYFUNCTION("""COMPUTED_VALUE"""),0.0)</f>
        <v>0</v>
      </c>
      <c r="AJ57" s="3"/>
      <c r="AK57" s="3"/>
    </row>
    <row r="58">
      <c r="A58" s="1" t="str">
        <f>IFERROR(__xludf.DUMMYFUNCTION("""COMPUTED_VALUE"""),"Cost-Biz Infra %")</f>
        <v>Cost-Biz Infra %</v>
      </c>
      <c r="B58" s="1" t="str">
        <f>IFERROR(__xludf.DUMMYFUNCTION("""COMPUTED_VALUE"""),"指標")</f>
        <v>指標</v>
      </c>
      <c r="C58" s="1" t="str">
        <f>IFERROR(__xludf.DUMMYFUNCTION("""COMPUTED_VALUE"""),"Cost-Biz Infra %")</f>
        <v>Cost-Biz Infra %</v>
      </c>
      <c r="D58" s="1"/>
      <c r="E58" s="1"/>
      <c r="F58" s="14" t="s">
        <v>4</v>
      </c>
      <c r="G58" s="14" t="s">
        <v>5</v>
      </c>
      <c r="H58" s="12">
        <f>IFERROR(__xludf.DUMMYFUNCTION("""COMPUTED_VALUE"""),0.0)</f>
        <v>0</v>
      </c>
      <c r="I58" s="12">
        <f>IFERROR(__xludf.DUMMYFUNCTION("""COMPUTED_VALUE"""),0.0)</f>
        <v>0</v>
      </c>
      <c r="J58" s="12">
        <f>IFERROR(__xludf.DUMMYFUNCTION("""COMPUTED_VALUE"""),0.0)</f>
        <v>0</v>
      </c>
      <c r="K58" s="12">
        <f>IFERROR(__xludf.DUMMYFUNCTION("""COMPUTED_VALUE"""),0.0)</f>
        <v>0</v>
      </c>
      <c r="L58" s="12">
        <f>IFERROR(__xludf.DUMMYFUNCTION("""COMPUTED_VALUE"""),0.0)</f>
        <v>0</v>
      </c>
      <c r="M58" s="12">
        <f>IFERROR(__xludf.DUMMYFUNCTION("""COMPUTED_VALUE"""),0.0)</f>
        <v>0</v>
      </c>
      <c r="N58" s="12">
        <f>IFERROR(__xludf.DUMMYFUNCTION("""COMPUTED_VALUE"""),0.0)</f>
        <v>0</v>
      </c>
      <c r="O58" s="3"/>
      <c r="P58" s="12">
        <f>IFERROR(__xludf.DUMMYFUNCTION("""COMPUTED_VALUE"""),-0.019370808709234234)</f>
        <v>-0.01937080871</v>
      </c>
      <c r="Q58" s="12">
        <f>IFERROR(__xludf.DUMMYFUNCTION("""COMPUTED_VALUE"""),-0.0073803441197772416)</f>
        <v>-0.00738034412</v>
      </c>
      <c r="R58" s="12">
        <f>IFERROR(__xludf.DUMMYFUNCTION("""COMPUTED_VALUE"""),-0.006724660485188348)</f>
        <v>-0.006724660485</v>
      </c>
      <c r="S58" s="12">
        <f>IFERROR(__xludf.DUMMYFUNCTION("""COMPUTED_VALUE"""),-0.0061593616631906815)</f>
        <v>-0.006159361663</v>
      </c>
      <c r="T58" s="12">
        <f>IFERROR(__xludf.DUMMYFUNCTION("""COMPUTED_VALUE"""),-0.005615545458903252)</f>
        <v>-0.005615545459</v>
      </c>
      <c r="U58" s="12">
        <f>IFERROR(__xludf.DUMMYFUNCTION("""COMPUTED_VALUE"""),-0.004831579272789906)</f>
        <v>-0.004831579273</v>
      </c>
      <c r="V58" s="12">
        <f>IFERROR(__xludf.DUMMYFUNCTION("""COMPUTED_VALUE"""),-0.004534478574279536)</f>
        <v>-0.004534478574</v>
      </c>
      <c r="W58" s="3"/>
      <c r="X58" s="12">
        <f>IFERROR(__xludf.DUMMYFUNCTION("""COMPUTED_VALUE"""),-0.005)</f>
        <v>-0.005</v>
      </c>
      <c r="Y58" s="12">
        <f>IFERROR(__xludf.DUMMYFUNCTION("""COMPUTED_VALUE"""),-0.005)</f>
        <v>-0.005</v>
      </c>
      <c r="Z58" s="12">
        <f>IFERROR(__xludf.DUMMYFUNCTION("""COMPUTED_VALUE"""),-0.005)</f>
        <v>-0.005</v>
      </c>
      <c r="AA58" s="12">
        <f>IFERROR(__xludf.DUMMYFUNCTION("""COMPUTED_VALUE"""),-0.005)</f>
        <v>-0.005</v>
      </c>
      <c r="AB58" s="12">
        <f>IFERROR(__xludf.DUMMYFUNCTION("""COMPUTED_VALUE"""),-0.005)</f>
        <v>-0.005</v>
      </c>
      <c r="AC58" s="12">
        <f>IFERROR(__xludf.DUMMYFUNCTION("""COMPUTED_VALUE"""),-0.005)</f>
        <v>-0.005</v>
      </c>
      <c r="AD58" s="12">
        <f>IFERROR(__xludf.DUMMYFUNCTION("""COMPUTED_VALUE"""),-0.005)</f>
        <v>-0.005</v>
      </c>
      <c r="AE58" s="12">
        <f>IFERROR(__xludf.DUMMYFUNCTION("""COMPUTED_VALUE"""),-0.005)</f>
        <v>-0.005</v>
      </c>
      <c r="AF58" s="12">
        <f>IFERROR(__xludf.DUMMYFUNCTION("""COMPUTED_VALUE"""),-0.005)</f>
        <v>-0.005</v>
      </c>
      <c r="AG58" s="12">
        <f>IFERROR(__xludf.DUMMYFUNCTION("""COMPUTED_VALUE"""),-0.005)</f>
        <v>-0.005</v>
      </c>
      <c r="AH58" s="12">
        <f>IFERROR(__xludf.DUMMYFUNCTION("""COMPUTED_VALUE"""),-0.005)</f>
        <v>-0.005</v>
      </c>
      <c r="AI58" s="12">
        <f>IFERROR(__xludf.DUMMYFUNCTION("""COMPUTED_VALUE"""),-0.005)</f>
        <v>-0.005</v>
      </c>
      <c r="AJ58" s="3"/>
      <c r="AK58" s="3"/>
    </row>
    <row r="59">
      <c r="A59" s="1"/>
      <c r="B59" s="1"/>
      <c r="C59" s="1" t="str">
        <f>IFERROR(__xludf.DUMMYFUNCTION("""COMPUTED_VALUE"""),"Cost-Biz Infra %")</f>
        <v>Cost-Biz Infra %</v>
      </c>
      <c r="D59" s="1" t="str">
        <f>IFERROR(__xludf.DUMMYFUNCTION("""COMPUTED_VALUE"""),"管理中心 - 資訊軟體攤分成本率")</f>
        <v>管理中心 - 資訊軟體攤分成本率</v>
      </c>
      <c r="E59" s="1"/>
      <c r="F59" s="14" t="s">
        <v>4</v>
      </c>
      <c r="G59" s="14" t="s">
        <v>5</v>
      </c>
      <c r="H59" s="12">
        <f>IFERROR(__xludf.DUMMYFUNCTION("""COMPUTED_VALUE"""),0.0)</f>
        <v>0</v>
      </c>
      <c r="I59" s="12">
        <f>IFERROR(__xludf.DUMMYFUNCTION("""COMPUTED_VALUE"""),0.0)</f>
        <v>0</v>
      </c>
      <c r="J59" s="12">
        <f>IFERROR(__xludf.DUMMYFUNCTION("""COMPUTED_VALUE"""),0.0)</f>
        <v>0</v>
      </c>
      <c r="K59" s="12">
        <f>IFERROR(__xludf.DUMMYFUNCTION("""COMPUTED_VALUE"""),0.0)</f>
        <v>0</v>
      </c>
      <c r="L59" s="12">
        <f>IFERROR(__xludf.DUMMYFUNCTION("""COMPUTED_VALUE"""),0.0)</f>
        <v>0</v>
      </c>
      <c r="M59" s="12">
        <f>IFERROR(__xludf.DUMMYFUNCTION("""COMPUTED_VALUE"""),0.0)</f>
        <v>0</v>
      </c>
      <c r="N59" s="12">
        <f>IFERROR(__xludf.DUMMYFUNCTION("""COMPUTED_VALUE"""),0.0)</f>
        <v>0</v>
      </c>
      <c r="O59" s="3"/>
      <c r="P59" s="12">
        <f>IFERROR(__xludf.DUMMYFUNCTION("""COMPUTED_VALUE"""),-0.019370808709234234)</f>
        <v>-0.01937080871</v>
      </c>
      <c r="Q59" s="12">
        <f>IFERROR(__xludf.DUMMYFUNCTION("""COMPUTED_VALUE"""),-0.0073803441197772416)</f>
        <v>-0.00738034412</v>
      </c>
      <c r="R59" s="12">
        <f>IFERROR(__xludf.DUMMYFUNCTION("""COMPUTED_VALUE"""),-0.006724660485188348)</f>
        <v>-0.006724660485</v>
      </c>
      <c r="S59" s="12">
        <f>IFERROR(__xludf.DUMMYFUNCTION("""COMPUTED_VALUE"""),-0.0061593616631906815)</f>
        <v>-0.006159361663</v>
      </c>
      <c r="T59" s="12">
        <f>IFERROR(__xludf.DUMMYFUNCTION("""COMPUTED_VALUE"""),-0.005615545458903252)</f>
        <v>-0.005615545459</v>
      </c>
      <c r="U59" s="12">
        <f>IFERROR(__xludf.DUMMYFUNCTION("""COMPUTED_VALUE"""),-0.004831579272789906)</f>
        <v>-0.004831579273</v>
      </c>
      <c r="V59" s="12">
        <f>IFERROR(__xludf.DUMMYFUNCTION("""COMPUTED_VALUE"""),-0.004534478574279536)</f>
        <v>-0.004534478574</v>
      </c>
      <c r="W59" s="3"/>
      <c r="X59" s="12">
        <f>IFERROR(__xludf.DUMMYFUNCTION("""COMPUTED_VALUE"""),-0.005)</f>
        <v>-0.005</v>
      </c>
      <c r="Y59" s="12">
        <f>IFERROR(__xludf.DUMMYFUNCTION("""COMPUTED_VALUE"""),-0.005)</f>
        <v>-0.005</v>
      </c>
      <c r="Z59" s="12">
        <f>IFERROR(__xludf.DUMMYFUNCTION("""COMPUTED_VALUE"""),-0.005)</f>
        <v>-0.005</v>
      </c>
      <c r="AA59" s="12">
        <f>IFERROR(__xludf.DUMMYFUNCTION("""COMPUTED_VALUE"""),-0.005)</f>
        <v>-0.005</v>
      </c>
      <c r="AB59" s="12">
        <f>IFERROR(__xludf.DUMMYFUNCTION("""COMPUTED_VALUE"""),-0.005)</f>
        <v>-0.005</v>
      </c>
      <c r="AC59" s="12">
        <f>IFERROR(__xludf.DUMMYFUNCTION("""COMPUTED_VALUE"""),-0.005)</f>
        <v>-0.005</v>
      </c>
      <c r="AD59" s="12">
        <f>IFERROR(__xludf.DUMMYFUNCTION("""COMPUTED_VALUE"""),-0.005)</f>
        <v>-0.005</v>
      </c>
      <c r="AE59" s="12">
        <f>IFERROR(__xludf.DUMMYFUNCTION("""COMPUTED_VALUE"""),-0.005)</f>
        <v>-0.005</v>
      </c>
      <c r="AF59" s="12">
        <f>IFERROR(__xludf.DUMMYFUNCTION("""COMPUTED_VALUE"""),-0.005)</f>
        <v>-0.005</v>
      </c>
      <c r="AG59" s="12">
        <f>IFERROR(__xludf.DUMMYFUNCTION("""COMPUTED_VALUE"""),-0.005)</f>
        <v>-0.005</v>
      </c>
      <c r="AH59" s="12">
        <f>IFERROR(__xludf.DUMMYFUNCTION("""COMPUTED_VALUE"""),-0.005)</f>
        <v>-0.005</v>
      </c>
      <c r="AI59" s="12">
        <f>IFERROR(__xludf.DUMMYFUNCTION("""COMPUTED_VALUE"""),-0.005)</f>
        <v>-0.005</v>
      </c>
      <c r="AJ59" s="3"/>
      <c r="AK59" s="3"/>
    </row>
    <row r="60">
      <c r="A60" s="1" t="str">
        <f>IFERROR(__xludf.DUMMYFUNCTION("""COMPUTED_VALUE"""),"Non recurring ARPA per New Customer")</f>
        <v>Non recurring ARPA per New Customer</v>
      </c>
      <c r="B60" s="1" t="str">
        <f>IFERROR(__xludf.DUMMYFUNCTION("""COMPUTED_VALUE"""),"指標")</f>
        <v>指標</v>
      </c>
      <c r="C60" s="1" t="str">
        <f>IFERROR(__xludf.DUMMYFUNCTION("""COMPUTED_VALUE"""),"Non recurring ARPA per New Customer")</f>
        <v>Non recurring ARPA per New Customer</v>
      </c>
      <c r="D60" s="1"/>
      <c r="E60" s="1"/>
      <c r="F60" s="14" t="s">
        <v>4</v>
      </c>
      <c r="G60" s="14" t="s">
        <v>5</v>
      </c>
      <c r="H60" s="3">
        <f>IFERROR(__xludf.DUMMYFUNCTION("""COMPUTED_VALUE"""),0.0)</f>
        <v>0</v>
      </c>
      <c r="I60" s="3">
        <f>IFERROR(__xludf.DUMMYFUNCTION("""COMPUTED_VALUE"""),0.0)</f>
        <v>0</v>
      </c>
      <c r="J60" s="3">
        <f>IFERROR(__xludf.DUMMYFUNCTION("""COMPUTED_VALUE"""),0.0)</f>
        <v>0</v>
      </c>
      <c r="K60" s="3">
        <f>IFERROR(__xludf.DUMMYFUNCTION("""COMPUTED_VALUE"""),0.0)</f>
        <v>0</v>
      </c>
      <c r="L60" s="3">
        <f>IFERROR(__xludf.DUMMYFUNCTION("""COMPUTED_VALUE"""),0.0)</f>
        <v>0</v>
      </c>
      <c r="M60" s="3">
        <f>IFERROR(__xludf.DUMMYFUNCTION("""COMPUTED_VALUE"""),0.0)</f>
        <v>0</v>
      </c>
      <c r="N60" s="3">
        <f>IFERROR(__xludf.DUMMYFUNCTION("""COMPUTED_VALUE"""),0.0)</f>
        <v>0</v>
      </c>
      <c r="O60" s="3"/>
      <c r="P60" s="3">
        <f>IFERROR(__xludf.DUMMYFUNCTION("""COMPUTED_VALUE"""),0.0)</f>
        <v>0</v>
      </c>
      <c r="Q60" s="3">
        <f>IFERROR(__xludf.DUMMYFUNCTION("""COMPUTED_VALUE"""),0.0)</f>
        <v>0</v>
      </c>
      <c r="R60" s="3">
        <f>IFERROR(__xludf.DUMMYFUNCTION("""COMPUTED_VALUE"""),0.0)</f>
        <v>0</v>
      </c>
      <c r="S60" s="3">
        <f>IFERROR(__xludf.DUMMYFUNCTION("""COMPUTED_VALUE"""),0.0)</f>
        <v>0</v>
      </c>
      <c r="T60" s="3">
        <f>IFERROR(__xludf.DUMMYFUNCTION("""COMPUTED_VALUE"""),0.0)</f>
        <v>0</v>
      </c>
      <c r="U60" s="3">
        <f>IFERROR(__xludf.DUMMYFUNCTION("""COMPUTED_VALUE"""),0.0)</f>
        <v>0</v>
      </c>
      <c r="V60" s="3"/>
      <c r="W60" s="3"/>
      <c r="X60" s="3">
        <f>IFERROR(__xludf.DUMMYFUNCTION("""COMPUTED_VALUE"""),0.0)</f>
        <v>0</v>
      </c>
      <c r="Y60" s="3">
        <f>IFERROR(__xludf.DUMMYFUNCTION("""COMPUTED_VALUE"""),0.0)</f>
        <v>0</v>
      </c>
      <c r="Z60" s="3">
        <f>IFERROR(__xludf.DUMMYFUNCTION("""COMPUTED_VALUE"""),0.0)</f>
        <v>0</v>
      </c>
      <c r="AA60" s="3">
        <f>IFERROR(__xludf.DUMMYFUNCTION("""COMPUTED_VALUE"""),0.0)</f>
        <v>0</v>
      </c>
      <c r="AB60" s="3">
        <f>IFERROR(__xludf.DUMMYFUNCTION("""COMPUTED_VALUE"""),0.0)</f>
        <v>0</v>
      </c>
      <c r="AC60" s="3">
        <f>IFERROR(__xludf.DUMMYFUNCTION("""COMPUTED_VALUE"""),0.0)</f>
        <v>0</v>
      </c>
      <c r="AD60" s="3">
        <f>IFERROR(__xludf.DUMMYFUNCTION("""COMPUTED_VALUE"""),0.0)</f>
        <v>0</v>
      </c>
      <c r="AE60" s="3">
        <f>IFERROR(__xludf.DUMMYFUNCTION("""COMPUTED_VALUE"""),0.0)</f>
        <v>0</v>
      </c>
      <c r="AF60" s="3">
        <f>IFERROR(__xludf.DUMMYFUNCTION("""COMPUTED_VALUE"""),0.0)</f>
        <v>0</v>
      </c>
      <c r="AG60" s="3">
        <f>IFERROR(__xludf.DUMMYFUNCTION("""COMPUTED_VALUE"""),0.0)</f>
        <v>0</v>
      </c>
      <c r="AH60" s="3">
        <f>IFERROR(__xludf.DUMMYFUNCTION("""COMPUTED_VALUE"""),0.0)</f>
        <v>0</v>
      </c>
      <c r="AI60" s="3">
        <f>IFERROR(__xludf.DUMMYFUNCTION("""COMPUTED_VALUE"""),0.0)</f>
        <v>0</v>
      </c>
      <c r="AJ60" s="3"/>
      <c r="AK60" s="3"/>
    </row>
    <row r="61">
      <c r="A61" s="1"/>
      <c r="B61" s="1"/>
      <c r="C61" s="1" t="str">
        <f>IFERROR(__xludf.DUMMYFUNCTION("""COMPUTED_VALUE"""),"Non recurring ARPA per New Customer")</f>
        <v>Non recurring ARPA per New Customer</v>
      </c>
      <c r="D61" s="1" t="str">
        <f>IFERROR(__xludf.DUMMYFUNCTION("""COMPUTED_VALUE"""),"平均當月新增客戶購買一次性服務單價")</f>
        <v>平均當月新增客戶購買一次性服務單價</v>
      </c>
      <c r="E61" s="1"/>
      <c r="F61" s="14" t="s">
        <v>4</v>
      </c>
      <c r="G61" s="14" t="s">
        <v>5</v>
      </c>
      <c r="H61" s="3">
        <f>IFERROR(__xludf.DUMMYFUNCTION("""COMPUTED_VALUE"""),0.0)</f>
        <v>0</v>
      </c>
      <c r="I61" s="3">
        <f>IFERROR(__xludf.DUMMYFUNCTION("""COMPUTED_VALUE"""),0.0)</f>
        <v>0</v>
      </c>
      <c r="J61" s="3">
        <f>IFERROR(__xludf.DUMMYFUNCTION("""COMPUTED_VALUE"""),0.0)</f>
        <v>0</v>
      </c>
      <c r="K61" s="3">
        <f>IFERROR(__xludf.DUMMYFUNCTION("""COMPUTED_VALUE"""),0.0)</f>
        <v>0</v>
      </c>
      <c r="L61" s="3">
        <f>IFERROR(__xludf.DUMMYFUNCTION("""COMPUTED_VALUE"""),0.0)</f>
        <v>0</v>
      </c>
      <c r="M61" s="3">
        <f>IFERROR(__xludf.DUMMYFUNCTION("""COMPUTED_VALUE"""),0.0)</f>
        <v>0</v>
      </c>
      <c r="N61" s="3">
        <f>IFERROR(__xludf.DUMMYFUNCTION("""COMPUTED_VALUE"""),0.0)</f>
        <v>0</v>
      </c>
      <c r="O61" s="3"/>
      <c r="P61" s="3">
        <f>IFERROR(__xludf.DUMMYFUNCTION("""COMPUTED_VALUE"""),0.0)</f>
        <v>0</v>
      </c>
      <c r="Q61" s="3">
        <f>IFERROR(__xludf.DUMMYFUNCTION("""COMPUTED_VALUE"""),0.0)</f>
        <v>0</v>
      </c>
      <c r="R61" s="3">
        <f>IFERROR(__xludf.DUMMYFUNCTION("""COMPUTED_VALUE"""),0.0)</f>
        <v>0</v>
      </c>
      <c r="S61" s="3">
        <f>IFERROR(__xludf.DUMMYFUNCTION("""COMPUTED_VALUE"""),0.0)</f>
        <v>0</v>
      </c>
      <c r="T61" s="3">
        <f>IFERROR(__xludf.DUMMYFUNCTION("""COMPUTED_VALUE"""),0.0)</f>
        <v>0</v>
      </c>
      <c r="U61" s="3">
        <f>IFERROR(__xludf.DUMMYFUNCTION("""COMPUTED_VALUE"""),0.0)</f>
        <v>0</v>
      </c>
      <c r="V61" s="3"/>
      <c r="W61" s="3"/>
      <c r="X61" s="3">
        <f>IFERROR(__xludf.DUMMYFUNCTION("""COMPUTED_VALUE"""),0.0)</f>
        <v>0</v>
      </c>
      <c r="Y61" s="3">
        <f>IFERROR(__xludf.DUMMYFUNCTION("""COMPUTED_VALUE"""),0.0)</f>
        <v>0</v>
      </c>
      <c r="Z61" s="3">
        <f>IFERROR(__xludf.DUMMYFUNCTION("""COMPUTED_VALUE"""),0.0)</f>
        <v>0</v>
      </c>
      <c r="AA61" s="3">
        <f>IFERROR(__xludf.DUMMYFUNCTION("""COMPUTED_VALUE"""),0.0)</f>
        <v>0</v>
      </c>
      <c r="AB61" s="3">
        <f>IFERROR(__xludf.DUMMYFUNCTION("""COMPUTED_VALUE"""),0.0)</f>
        <v>0</v>
      </c>
      <c r="AC61" s="3">
        <f>IFERROR(__xludf.DUMMYFUNCTION("""COMPUTED_VALUE"""),0.0)</f>
        <v>0</v>
      </c>
      <c r="AD61" s="3">
        <f>IFERROR(__xludf.DUMMYFUNCTION("""COMPUTED_VALUE"""),0.0)</f>
        <v>0</v>
      </c>
      <c r="AE61" s="3">
        <f>IFERROR(__xludf.DUMMYFUNCTION("""COMPUTED_VALUE"""),0.0)</f>
        <v>0</v>
      </c>
      <c r="AF61" s="3">
        <f>IFERROR(__xludf.DUMMYFUNCTION("""COMPUTED_VALUE"""),0.0)</f>
        <v>0</v>
      </c>
      <c r="AG61" s="3">
        <f>IFERROR(__xludf.DUMMYFUNCTION("""COMPUTED_VALUE"""),0.0)</f>
        <v>0</v>
      </c>
      <c r="AH61" s="3">
        <f>IFERROR(__xludf.DUMMYFUNCTION("""COMPUTED_VALUE"""),0.0)</f>
        <v>0</v>
      </c>
      <c r="AI61" s="3">
        <f>IFERROR(__xludf.DUMMYFUNCTION("""COMPUTED_VALUE"""),0.0)</f>
        <v>0</v>
      </c>
      <c r="AJ61" s="3"/>
      <c r="AK61" s="3"/>
    </row>
    <row r="62">
      <c r="A62" s="1" t="str">
        <f>IFERROR(__xludf.DUMMYFUNCTION("""COMPUTED_VALUE"""),"Hardware SRPA per New Customer")</f>
        <v>Hardware SRPA per New Customer</v>
      </c>
      <c r="B62" s="1" t="str">
        <f>IFERROR(__xludf.DUMMYFUNCTION("""COMPUTED_VALUE"""),"指標")</f>
        <v>指標</v>
      </c>
      <c r="C62" s="1" t="str">
        <f>IFERROR(__xludf.DUMMYFUNCTION("""COMPUTED_VALUE"""),"Hardware ARPA per New Customer")</f>
        <v>Hardware ARPA per New Customer</v>
      </c>
      <c r="D62" s="1"/>
      <c r="E62" s="1"/>
      <c r="F62" s="14" t="s">
        <v>4</v>
      </c>
      <c r="G62" s="14" t="s">
        <v>5</v>
      </c>
      <c r="H62" s="3">
        <f>IFERROR(__xludf.DUMMYFUNCTION("""COMPUTED_VALUE"""),0.0)</f>
        <v>0</v>
      </c>
      <c r="I62" s="3">
        <f>IFERROR(__xludf.DUMMYFUNCTION("""COMPUTED_VALUE"""),0.0)</f>
        <v>0</v>
      </c>
      <c r="J62" s="3">
        <f>IFERROR(__xludf.DUMMYFUNCTION("""COMPUTED_VALUE"""),0.0)</f>
        <v>0</v>
      </c>
      <c r="K62" s="3">
        <f>IFERROR(__xludf.DUMMYFUNCTION("""COMPUTED_VALUE"""),0.0)</f>
        <v>0</v>
      </c>
      <c r="L62" s="3">
        <f>IFERROR(__xludf.DUMMYFUNCTION("""COMPUTED_VALUE"""),0.0)</f>
        <v>0</v>
      </c>
      <c r="M62" s="3">
        <f>IFERROR(__xludf.DUMMYFUNCTION("""COMPUTED_VALUE"""),0.0)</f>
        <v>0</v>
      </c>
      <c r="N62" s="3">
        <f>IFERROR(__xludf.DUMMYFUNCTION("""COMPUTED_VALUE"""),0.0)</f>
        <v>0</v>
      </c>
      <c r="O62" s="3"/>
      <c r="P62" s="3">
        <f>IFERROR(__xludf.DUMMYFUNCTION("""COMPUTED_VALUE"""),0.0)</f>
        <v>0</v>
      </c>
      <c r="Q62" s="3">
        <f>IFERROR(__xludf.DUMMYFUNCTION("""COMPUTED_VALUE"""),0.0)</f>
        <v>0</v>
      </c>
      <c r="R62" s="3">
        <f>IFERROR(__xludf.DUMMYFUNCTION("""COMPUTED_VALUE"""),0.0)</f>
        <v>0</v>
      </c>
      <c r="S62" s="3">
        <f>IFERROR(__xludf.DUMMYFUNCTION("""COMPUTED_VALUE"""),0.0)</f>
        <v>0</v>
      </c>
      <c r="T62" s="3">
        <f>IFERROR(__xludf.DUMMYFUNCTION("""COMPUTED_VALUE"""),0.0)</f>
        <v>0</v>
      </c>
      <c r="U62" s="3">
        <f>IFERROR(__xludf.DUMMYFUNCTION("""COMPUTED_VALUE"""),0.0)</f>
        <v>0</v>
      </c>
      <c r="V62" s="3"/>
      <c r="W62" s="3"/>
      <c r="X62" s="3">
        <f>IFERROR(__xludf.DUMMYFUNCTION("""COMPUTED_VALUE"""),0.0)</f>
        <v>0</v>
      </c>
      <c r="Y62" s="3">
        <f>IFERROR(__xludf.DUMMYFUNCTION("""COMPUTED_VALUE"""),0.0)</f>
        <v>0</v>
      </c>
      <c r="Z62" s="3">
        <f>IFERROR(__xludf.DUMMYFUNCTION("""COMPUTED_VALUE"""),0.0)</f>
        <v>0</v>
      </c>
      <c r="AA62" s="3">
        <f>IFERROR(__xludf.DUMMYFUNCTION("""COMPUTED_VALUE"""),0.0)</f>
        <v>0</v>
      </c>
      <c r="AB62" s="3">
        <f>IFERROR(__xludf.DUMMYFUNCTION("""COMPUTED_VALUE"""),0.0)</f>
        <v>0</v>
      </c>
      <c r="AC62" s="3">
        <f>IFERROR(__xludf.DUMMYFUNCTION("""COMPUTED_VALUE"""),0.0)</f>
        <v>0</v>
      </c>
      <c r="AD62" s="3">
        <f>IFERROR(__xludf.DUMMYFUNCTION("""COMPUTED_VALUE"""),0.0)</f>
        <v>0</v>
      </c>
      <c r="AE62" s="3">
        <f>IFERROR(__xludf.DUMMYFUNCTION("""COMPUTED_VALUE"""),0.0)</f>
        <v>0</v>
      </c>
      <c r="AF62" s="3">
        <f>IFERROR(__xludf.DUMMYFUNCTION("""COMPUTED_VALUE"""),0.0)</f>
        <v>0</v>
      </c>
      <c r="AG62" s="3">
        <f>IFERROR(__xludf.DUMMYFUNCTION("""COMPUTED_VALUE"""),0.0)</f>
        <v>0</v>
      </c>
      <c r="AH62" s="3">
        <f>IFERROR(__xludf.DUMMYFUNCTION("""COMPUTED_VALUE"""),0.0)</f>
        <v>0</v>
      </c>
      <c r="AI62" s="3">
        <f>IFERROR(__xludf.DUMMYFUNCTION("""COMPUTED_VALUE"""),0.0)</f>
        <v>0</v>
      </c>
      <c r="AJ62" s="3"/>
      <c r="AK62" s="3"/>
    </row>
    <row r="63">
      <c r="A63" s="1"/>
      <c r="B63" s="1"/>
      <c r="C63" s="1" t="str">
        <f>IFERROR(__xludf.DUMMYFUNCTION("""COMPUTED_VALUE"""),"Hardware ARPA per New Customer")</f>
        <v>Hardware ARPA per New Customer</v>
      </c>
      <c r="D63" s="1" t="str">
        <f>IFERROR(__xludf.DUMMYFUNCTION("""COMPUTED_VALUE"""),"平均當月新增客戶購買硬體毛利額")</f>
        <v>平均當月新增客戶購買硬體毛利額</v>
      </c>
      <c r="E63" s="1"/>
      <c r="F63" s="14" t="s">
        <v>4</v>
      </c>
      <c r="G63" s="14" t="s">
        <v>5</v>
      </c>
      <c r="H63" s="3">
        <f>IFERROR(__xludf.DUMMYFUNCTION("""COMPUTED_VALUE"""),0.0)</f>
        <v>0</v>
      </c>
      <c r="I63" s="3">
        <f>IFERROR(__xludf.DUMMYFUNCTION("""COMPUTED_VALUE"""),0.0)</f>
        <v>0</v>
      </c>
      <c r="J63" s="3">
        <f>IFERROR(__xludf.DUMMYFUNCTION("""COMPUTED_VALUE"""),0.0)</f>
        <v>0</v>
      </c>
      <c r="K63" s="3">
        <f>IFERROR(__xludf.DUMMYFUNCTION("""COMPUTED_VALUE"""),0.0)</f>
        <v>0</v>
      </c>
      <c r="L63" s="3">
        <f>IFERROR(__xludf.DUMMYFUNCTION("""COMPUTED_VALUE"""),0.0)</f>
        <v>0</v>
      </c>
      <c r="M63" s="3">
        <f>IFERROR(__xludf.DUMMYFUNCTION("""COMPUTED_VALUE"""),0.0)</f>
        <v>0</v>
      </c>
      <c r="N63" s="3">
        <f>IFERROR(__xludf.DUMMYFUNCTION("""COMPUTED_VALUE"""),0.0)</f>
        <v>0</v>
      </c>
      <c r="O63" s="3"/>
      <c r="P63" s="3">
        <f>IFERROR(__xludf.DUMMYFUNCTION("""COMPUTED_VALUE"""),0.0)</f>
        <v>0</v>
      </c>
      <c r="Q63" s="3">
        <f>IFERROR(__xludf.DUMMYFUNCTION("""COMPUTED_VALUE"""),0.0)</f>
        <v>0</v>
      </c>
      <c r="R63" s="3">
        <f>IFERROR(__xludf.DUMMYFUNCTION("""COMPUTED_VALUE"""),0.0)</f>
        <v>0</v>
      </c>
      <c r="S63" s="3">
        <f>IFERROR(__xludf.DUMMYFUNCTION("""COMPUTED_VALUE"""),0.0)</f>
        <v>0</v>
      </c>
      <c r="T63" s="3">
        <f>IFERROR(__xludf.DUMMYFUNCTION("""COMPUTED_VALUE"""),0.0)</f>
        <v>0</v>
      </c>
      <c r="U63" s="3">
        <f>IFERROR(__xludf.DUMMYFUNCTION("""COMPUTED_VALUE"""),0.0)</f>
        <v>0</v>
      </c>
      <c r="V63" s="3"/>
      <c r="W63" s="3"/>
      <c r="X63" s="3">
        <f>IFERROR(__xludf.DUMMYFUNCTION("""COMPUTED_VALUE"""),0.0)</f>
        <v>0</v>
      </c>
      <c r="Y63" s="3">
        <f>IFERROR(__xludf.DUMMYFUNCTION("""COMPUTED_VALUE"""),0.0)</f>
        <v>0</v>
      </c>
      <c r="Z63" s="3">
        <f>IFERROR(__xludf.DUMMYFUNCTION("""COMPUTED_VALUE"""),0.0)</f>
        <v>0</v>
      </c>
      <c r="AA63" s="3">
        <f>IFERROR(__xludf.DUMMYFUNCTION("""COMPUTED_VALUE"""),0.0)</f>
        <v>0</v>
      </c>
      <c r="AB63" s="3">
        <f>IFERROR(__xludf.DUMMYFUNCTION("""COMPUTED_VALUE"""),0.0)</f>
        <v>0</v>
      </c>
      <c r="AC63" s="3">
        <f>IFERROR(__xludf.DUMMYFUNCTION("""COMPUTED_VALUE"""),0.0)</f>
        <v>0</v>
      </c>
      <c r="AD63" s="3">
        <f>IFERROR(__xludf.DUMMYFUNCTION("""COMPUTED_VALUE"""),0.0)</f>
        <v>0</v>
      </c>
      <c r="AE63" s="3">
        <f>IFERROR(__xludf.DUMMYFUNCTION("""COMPUTED_VALUE"""),0.0)</f>
        <v>0</v>
      </c>
      <c r="AF63" s="3">
        <f>IFERROR(__xludf.DUMMYFUNCTION("""COMPUTED_VALUE"""),0.0)</f>
        <v>0</v>
      </c>
      <c r="AG63" s="3">
        <f>IFERROR(__xludf.DUMMYFUNCTION("""COMPUTED_VALUE"""),0.0)</f>
        <v>0</v>
      </c>
      <c r="AH63" s="3">
        <f>IFERROR(__xludf.DUMMYFUNCTION("""COMPUTED_VALUE"""),0.0)</f>
        <v>0</v>
      </c>
      <c r="AI63" s="3">
        <f>IFERROR(__xludf.DUMMYFUNCTION("""COMPUTED_VALUE"""),0.0)</f>
        <v>0</v>
      </c>
      <c r="AJ63" s="3"/>
      <c r="AK63" s="3"/>
    </row>
    <row r="64">
      <c r="A64" s="1" t="str">
        <f>IFERROR(__xludf.DUMMYFUNCTION("""COMPUTED_VALUE"""),"Fixed Overhead-RD %")</f>
        <v>Fixed Overhead-RD %</v>
      </c>
      <c r="B64" s="1" t="str">
        <f>IFERROR(__xludf.DUMMYFUNCTION("""COMPUTED_VALUE"""),"指標")</f>
        <v>指標</v>
      </c>
      <c r="C64" s="1" t="str">
        <f>IFERROR(__xludf.DUMMYFUNCTION("""COMPUTED_VALUE"""),"Fixed Overhead-RD %")</f>
        <v>Fixed Overhead-RD %</v>
      </c>
      <c r="D64" s="1"/>
      <c r="E64" s="1"/>
      <c r="F64" s="14" t="s">
        <v>4</v>
      </c>
      <c r="G64" s="14" t="s">
        <v>5</v>
      </c>
      <c r="H64" s="12">
        <f>IFERROR(__xludf.DUMMYFUNCTION("""COMPUTED_VALUE"""),-0.872414230391459)</f>
        <v>-0.8724142304</v>
      </c>
      <c r="I64" s="12">
        <f>IFERROR(__xludf.DUMMYFUNCTION("""COMPUTED_VALUE"""),-0.8481867082512432)</f>
        <v>-0.8481867083</v>
      </c>
      <c r="J64" s="12">
        <f>IFERROR(__xludf.DUMMYFUNCTION("""COMPUTED_VALUE"""),-1.059333623291394)</f>
        <v>-1.059333623</v>
      </c>
      <c r="K64" s="12">
        <f>IFERROR(__xludf.DUMMYFUNCTION("""COMPUTED_VALUE"""),-0.9428466232743955)</f>
        <v>-0.9428466233</v>
      </c>
      <c r="L64" s="12">
        <f>IFERROR(__xludf.DUMMYFUNCTION("""COMPUTED_VALUE"""),-0.8979343381316829)</f>
        <v>-0.8979343381</v>
      </c>
      <c r="M64" s="12">
        <f>IFERROR(__xludf.DUMMYFUNCTION("""COMPUTED_VALUE"""),-0.8885724844157624)</f>
        <v>-0.8885724844</v>
      </c>
      <c r="N64" s="12">
        <f>IFERROR(__xludf.DUMMYFUNCTION("""COMPUTED_VALUE"""),-0.9173215777313266)</f>
        <v>-0.9173215777</v>
      </c>
      <c r="O64" s="3"/>
      <c r="P64" s="12">
        <f>IFERROR(__xludf.DUMMYFUNCTION("""COMPUTED_VALUE"""),-0.9134132587844833)</f>
        <v>-0.9134132588</v>
      </c>
      <c r="Q64" s="12">
        <f>IFERROR(__xludf.DUMMYFUNCTION("""COMPUTED_VALUE"""),-0.8302398758351847)</f>
        <v>-0.8302398758</v>
      </c>
      <c r="R64" s="12">
        <f>IFERROR(__xludf.DUMMYFUNCTION("""COMPUTED_VALUE"""),-0.7564798057715849)</f>
        <v>-0.7564798058</v>
      </c>
      <c r="S64" s="12">
        <f>IFERROR(__xludf.DUMMYFUNCTION("""COMPUTED_VALUE"""),-0.6928874290248914)</f>
        <v>-0.692887429</v>
      </c>
      <c r="T64" s="12">
        <f>IFERROR(__xludf.DUMMYFUNCTION("""COMPUTED_VALUE"""),-0.6317117046145797)</f>
        <v>-0.6317117046</v>
      </c>
      <c r="U64" s="12">
        <f>IFERROR(__xludf.DUMMYFUNCTION("""COMPUTED_VALUE"""),-0.5775337339152609)</f>
        <v>-0.5775337339</v>
      </c>
      <c r="V64" s="12">
        <f>IFERROR(__xludf.DUMMYFUNCTION("""COMPUTED_VALUE"""),-0.7999288797574818)</f>
        <v>-0.7999288798</v>
      </c>
      <c r="W64" s="3"/>
      <c r="X64" s="18">
        <f>IFERROR(__xludf.DUMMYFUNCTION("""COMPUTED_VALUE"""),-0.55)</f>
        <v>-0.55</v>
      </c>
      <c r="Y64" s="18">
        <f>IFERROR(__xludf.DUMMYFUNCTION("""COMPUTED_VALUE"""),-0.53)</f>
        <v>-0.53</v>
      </c>
      <c r="Z64" s="18">
        <f>IFERROR(__xludf.DUMMYFUNCTION("""COMPUTED_VALUE"""),-0.51)</f>
        <v>-0.51</v>
      </c>
      <c r="AA64" s="18">
        <f>IFERROR(__xludf.DUMMYFUNCTION("""COMPUTED_VALUE"""),-0.49)</f>
        <v>-0.49</v>
      </c>
      <c r="AB64" s="18">
        <f>IFERROR(__xludf.DUMMYFUNCTION("""COMPUTED_VALUE"""),-0.47)</f>
        <v>-0.47</v>
      </c>
      <c r="AC64" s="18">
        <f>IFERROR(__xludf.DUMMYFUNCTION("""COMPUTED_VALUE"""),-0.45)</f>
        <v>-0.45</v>
      </c>
      <c r="AD64" s="18">
        <f>IFERROR(__xludf.DUMMYFUNCTION("""COMPUTED_VALUE"""),-0.45)</f>
        <v>-0.45</v>
      </c>
      <c r="AE64" s="18">
        <f>IFERROR(__xludf.DUMMYFUNCTION("""COMPUTED_VALUE"""),-0.45)</f>
        <v>-0.45</v>
      </c>
      <c r="AF64" s="18">
        <f>IFERROR(__xludf.DUMMYFUNCTION("""COMPUTED_VALUE"""),-0.43)</f>
        <v>-0.43</v>
      </c>
      <c r="AG64" s="18">
        <f>IFERROR(__xludf.DUMMYFUNCTION("""COMPUTED_VALUE"""),-0.43)</f>
        <v>-0.43</v>
      </c>
      <c r="AH64" s="18">
        <f>IFERROR(__xludf.DUMMYFUNCTION("""COMPUTED_VALUE"""),-0.4)</f>
        <v>-0.4</v>
      </c>
      <c r="AI64" s="18">
        <f>IFERROR(__xludf.DUMMYFUNCTION("""COMPUTED_VALUE"""),-0.38)</f>
        <v>-0.38</v>
      </c>
      <c r="AJ64" s="3"/>
      <c r="AK64" s="3"/>
    </row>
    <row r="65">
      <c r="A65" s="1"/>
      <c r="B65" s="1"/>
      <c r="C65" s="1" t="str">
        <f>IFERROR(__xludf.DUMMYFUNCTION("""COMPUTED_VALUE"""),"Fixed Overhead-RD %")</f>
        <v>Fixed Overhead-RD %</v>
      </c>
      <c r="D65" s="1" t="str">
        <f>IFERROR(__xludf.DUMMYFUNCTION("""COMPUTED_VALUE"""),"研發中心費用率")</f>
        <v>研發中心費用率</v>
      </c>
      <c r="E65" s="1"/>
      <c r="F65" s="14" t="s">
        <v>4</v>
      </c>
      <c r="G65" s="14" t="s">
        <v>5</v>
      </c>
      <c r="H65" s="12">
        <f>IFERROR(__xludf.DUMMYFUNCTION("""COMPUTED_VALUE"""),-0.872414230391459)</f>
        <v>-0.8724142304</v>
      </c>
      <c r="I65" s="12">
        <f>IFERROR(__xludf.DUMMYFUNCTION("""COMPUTED_VALUE"""),-0.8481867082512432)</f>
        <v>-0.8481867083</v>
      </c>
      <c r="J65" s="12">
        <f>IFERROR(__xludf.DUMMYFUNCTION("""COMPUTED_VALUE"""),-1.059333623291394)</f>
        <v>-1.059333623</v>
      </c>
      <c r="K65" s="12">
        <f>IFERROR(__xludf.DUMMYFUNCTION("""COMPUTED_VALUE"""),-0.9428466232743955)</f>
        <v>-0.9428466233</v>
      </c>
      <c r="L65" s="12">
        <f>IFERROR(__xludf.DUMMYFUNCTION("""COMPUTED_VALUE"""),-0.8979343381316829)</f>
        <v>-0.8979343381</v>
      </c>
      <c r="M65" s="12">
        <f>IFERROR(__xludf.DUMMYFUNCTION("""COMPUTED_VALUE"""),-0.8885724844157624)</f>
        <v>-0.8885724844</v>
      </c>
      <c r="N65" s="12">
        <f>IFERROR(__xludf.DUMMYFUNCTION("""COMPUTED_VALUE"""),-0.9173215777313266)</f>
        <v>-0.9173215777</v>
      </c>
      <c r="O65" s="3"/>
      <c r="P65" s="12">
        <f>IFERROR(__xludf.DUMMYFUNCTION("""COMPUTED_VALUE"""),-0.9134132587844833)</f>
        <v>-0.9134132588</v>
      </c>
      <c r="Q65" s="12">
        <f>IFERROR(__xludf.DUMMYFUNCTION("""COMPUTED_VALUE"""),-0.8302398758351847)</f>
        <v>-0.8302398758</v>
      </c>
      <c r="R65" s="12">
        <f>IFERROR(__xludf.DUMMYFUNCTION("""COMPUTED_VALUE"""),-0.7564798057715849)</f>
        <v>-0.7564798058</v>
      </c>
      <c r="S65" s="12">
        <f>IFERROR(__xludf.DUMMYFUNCTION("""COMPUTED_VALUE"""),-0.6928874290248914)</f>
        <v>-0.692887429</v>
      </c>
      <c r="T65" s="12">
        <f>IFERROR(__xludf.DUMMYFUNCTION("""COMPUTED_VALUE"""),-0.6317117046145797)</f>
        <v>-0.6317117046</v>
      </c>
      <c r="U65" s="12">
        <f>IFERROR(__xludf.DUMMYFUNCTION("""COMPUTED_VALUE"""),-0.5775337339152609)</f>
        <v>-0.5775337339</v>
      </c>
      <c r="V65" s="12">
        <f>IFERROR(__xludf.DUMMYFUNCTION("""COMPUTED_VALUE"""),-0.7999288797574818)</f>
        <v>-0.7999288798</v>
      </c>
      <c r="W65" s="3"/>
      <c r="X65" s="18">
        <f>IFERROR(__xludf.DUMMYFUNCTION("""COMPUTED_VALUE"""),-0.55)</f>
        <v>-0.55</v>
      </c>
      <c r="Y65" s="18">
        <f>IFERROR(__xludf.DUMMYFUNCTION("""COMPUTED_VALUE"""),-0.53)</f>
        <v>-0.53</v>
      </c>
      <c r="Z65" s="18">
        <f>IFERROR(__xludf.DUMMYFUNCTION("""COMPUTED_VALUE"""),-0.51)</f>
        <v>-0.51</v>
      </c>
      <c r="AA65" s="18">
        <f>IFERROR(__xludf.DUMMYFUNCTION("""COMPUTED_VALUE"""),-0.49)</f>
        <v>-0.49</v>
      </c>
      <c r="AB65" s="18">
        <f>IFERROR(__xludf.DUMMYFUNCTION("""COMPUTED_VALUE"""),-0.47)</f>
        <v>-0.47</v>
      </c>
      <c r="AC65" s="18">
        <f>IFERROR(__xludf.DUMMYFUNCTION("""COMPUTED_VALUE"""),-0.45)</f>
        <v>-0.45</v>
      </c>
      <c r="AD65" s="18">
        <f>IFERROR(__xludf.DUMMYFUNCTION("""COMPUTED_VALUE"""),-0.45)</f>
        <v>-0.45</v>
      </c>
      <c r="AE65" s="18">
        <f>IFERROR(__xludf.DUMMYFUNCTION("""COMPUTED_VALUE"""),-0.45)</f>
        <v>-0.45</v>
      </c>
      <c r="AF65" s="18">
        <f>IFERROR(__xludf.DUMMYFUNCTION("""COMPUTED_VALUE"""),-0.43)</f>
        <v>-0.43</v>
      </c>
      <c r="AG65" s="18">
        <f>IFERROR(__xludf.DUMMYFUNCTION("""COMPUTED_VALUE"""),-0.43)</f>
        <v>-0.43</v>
      </c>
      <c r="AH65" s="18">
        <f>IFERROR(__xludf.DUMMYFUNCTION("""COMPUTED_VALUE"""),-0.4)</f>
        <v>-0.4</v>
      </c>
      <c r="AI65" s="18">
        <f>IFERROR(__xludf.DUMMYFUNCTION("""COMPUTED_VALUE"""),-0.38)</f>
        <v>-0.38</v>
      </c>
      <c r="AJ65" s="3"/>
      <c r="AK65" s="3"/>
    </row>
    <row r="66">
      <c r="A66" s="1" t="str">
        <f>IFERROR(__xludf.DUMMYFUNCTION("""COMPUTED_VALUE"""),"Fixed Overhead-Admin %")</f>
        <v>Fixed Overhead-Admin %</v>
      </c>
      <c r="B66" s="1" t="str">
        <f>IFERROR(__xludf.DUMMYFUNCTION("""COMPUTED_VALUE"""),"指標")</f>
        <v>指標</v>
      </c>
      <c r="C66" s="1" t="str">
        <f>IFERROR(__xludf.DUMMYFUNCTION("""COMPUTED_VALUE"""),"Fixed Overhead-Admin %")</f>
        <v>Fixed Overhead-Admin %</v>
      </c>
      <c r="D66" s="1"/>
      <c r="E66" s="1"/>
      <c r="F66" s="14" t="s">
        <v>4</v>
      </c>
      <c r="G66" s="14" t="s">
        <v>5</v>
      </c>
      <c r="H66" s="12">
        <f>IFERROR(__xludf.DUMMYFUNCTION("""COMPUTED_VALUE"""),-0.4666851303966033)</f>
        <v>-0.4666851304</v>
      </c>
      <c r="I66" s="12">
        <f>IFERROR(__xludf.DUMMYFUNCTION("""COMPUTED_VALUE"""),-0.5176954904404206)</f>
        <v>-0.5176954904</v>
      </c>
      <c r="J66" s="12">
        <f>IFERROR(__xludf.DUMMYFUNCTION("""COMPUTED_VALUE"""),-0.5456898096230284)</f>
        <v>-0.5456898096</v>
      </c>
      <c r="K66" s="12">
        <f>IFERROR(__xludf.DUMMYFUNCTION("""COMPUTED_VALUE"""),-0.47634605316137646)</f>
        <v>-0.4763460532</v>
      </c>
      <c r="L66" s="12">
        <f>IFERROR(__xludf.DUMMYFUNCTION("""COMPUTED_VALUE"""),-0.4247477643006475)</f>
        <v>-0.4247477643</v>
      </c>
      <c r="M66" s="12">
        <f>IFERROR(__xludf.DUMMYFUNCTION("""COMPUTED_VALUE"""),-0.034676555141800805)</f>
        <v>-0.03467655514</v>
      </c>
      <c r="N66" s="12">
        <f>IFERROR(__xludf.DUMMYFUNCTION("""COMPUTED_VALUE"""),-0.4091845735540631)</f>
        <v>-0.4091845736</v>
      </c>
      <c r="O66" s="3"/>
      <c r="P66" s="12">
        <f>IFERROR(__xludf.DUMMYFUNCTION("""COMPUTED_VALUE"""),-0.4627308584848838)</f>
        <v>-0.4627308585</v>
      </c>
      <c r="Q66" s="12">
        <f>IFERROR(__xludf.DUMMYFUNCTION("""COMPUTED_VALUE"""),-0.4220353477069019)</f>
        <v>-0.4220353477</v>
      </c>
      <c r="R66" s="12">
        <f>IFERROR(__xludf.DUMMYFUNCTION("""COMPUTED_VALUE"""),-0.38533924336889824)</f>
        <v>-0.3853392434</v>
      </c>
      <c r="S66" s="12">
        <f>IFERROR(__xludf.DUMMYFUNCTION("""COMPUTED_VALUE"""),-0.35265932233163955)</f>
        <v>-0.3526593223</v>
      </c>
      <c r="T66" s="12">
        <f>IFERROR(__xludf.DUMMYFUNCTION("""COMPUTED_VALUE"""),-0.32112507111401617)</f>
        <v>-0.3211250711</v>
      </c>
      <c r="U66" s="12">
        <f>IFERROR(__xludf.DUMMYFUNCTION("""COMPUTED_VALUE"""),-0.29466892199251854)</f>
        <v>-0.294668922</v>
      </c>
      <c r="V66" s="12">
        <f>IFERROR(__xludf.DUMMYFUNCTION("""COMPUTED_VALUE"""),-0.3829594490118316)</f>
        <v>-0.382959449</v>
      </c>
      <c r="W66" s="3"/>
      <c r="X66" s="15">
        <f>IFERROR(__xludf.DUMMYFUNCTION("""COMPUTED_VALUE"""),-0.24000000000000002)</f>
        <v>-0.24</v>
      </c>
      <c r="Y66" s="15">
        <f>IFERROR(__xludf.DUMMYFUNCTION("""COMPUTED_VALUE"""),-0.2338)</f>
        <v>-0.2338</v>
      </c>
      <c r="Z66" s="15">
        <f>IFERROR(__xludf.DUMMYFUNCTION("""COMPUTED_VALUE"""),-0.2276)</f>
        <v>-0.2276</v>
      </c>
      <c r="AA66" s="15">
        <f>IFERROR(__xludf.DUMMYFUNCTION("""COMPUTED_VALUE"""),-0.22139999999999999)</f>
        <v>-0.2214</v>
      </c>
      <c r="AB66" s="15">
        <f>IFERROR(__xludf.DUMMYFUNCTION("""COMPUTED_VALUE"""),-0.21519999999999997)</f>
        <v>-0.2152</v>
      </c>
      <c r="AC66" s="15">
        <f>IFERROR(__xludf.DUMMYFUNCTION("""COMPUTED_VALUE"""),-0.209)</f>
        <v>-0.209</v>
      </c>
      <c r="AD66" s="15">
        <f>IFERROR(__xludf.DUMMYFUNCTION("""COMPUTED_VALUE"""),-0.2028)</f>
        <v>-0.2028</v>
      </c>
      <c r="AE66" s="15">
        <f>IFERROR(__xludf.DUMMYFUNCTION("""COMPUTED_VALUE"""),-0.19660000000000002)</f>
        <v>-0.1966</v>
      </c>
      <c r="AF66" s="15">
        <f>IFERROR(__xludf.DUMMYFUNCTION("""COMPUTED_VALUE"""),-0.1904)</f>
        <v>-0.1904</v>
      </c>
      <c r="AG66" s="15">
        <f>IFERROR(__xludf.DUMMYFUNCTION("""COMPUTED_VALUE"""),-0.18420000000000003)</f>
        <v>-0.1842</v>
      </c>
      <c r="AH66" s="15">
        <f>IFERROR(__xludf.DUMMYFUNCTION("""COMPUTED_VALUE"""),-0.178)</f>
        <v>-0.178</v>
      </c>
      <c r="AI66" s="15">
        <f>IFERROR(__xludf.DUMMYFUNCTION("""COMPUTED_VALUE"""),-0.1718)</f>
        <v>-0.1718</v>
      </c>
      <c r="AJ66" s="3"/>
      <c r="AK66" s="3"/>
    </row>
    <row r="67">
      <c r="A67" s="1"/>
      <c r="B67" s="1"/>
      <c r="C67" s="1" t="str">
        <f>IFERROR(__xludf.DUMMYFUNCTION("""COMPUTED_VALUE"""),"Fixed Overhead-Admin-MC %")</f>
        <v>Fixed Overhead-Admin-MC %</v>
      </c>
      <c r="D67" s="1" t="str">
        <f>IFERROR(__xludf.DUMMYFUNCTION("""COMPUTED_VALUE"""),"管理中心費用率")</f>
        <v>管理中心費用率</v>
      </c>
      <c r="E67" s="1"/>
      <c r="F67" s="16" t="s">
        <v>4</v>
      </c>
      <c r="G67" s="17" t="s">
        <v>5</v>
      </c>
      <c r="H67" s="12">
        <f>IFERROR(__xludf.DUMMYFUNCTION("""COMPUTED_VALUE"""),-0.4666851303966033)</f>
        <v>-0.4666851304</v>
      </c>
      <c r="I67" s="12">
        <f>IFERROR(__xludf.DUMMYFUNCTION("""COMPUTED_VALUE"""),-0.5176954904404206)</f>
        <v>-0.5176954904</v>
      </c>
      <c r="J67" s="12">
        <f>IFERROR(__xludf.DUMMYFUNCTION("""COMPUTED_VALUE"""),-0.5456898096230284)</f>
        <v>-0.5456898096</v>
      </c>
      <c r="K67" s="12">
        <f>IFERROR(__xludf.DUMMYFUNCTION("""COMPUTED_VALUE"""),-0.47634605316137646)</f>
        <v>-0.4763460532</v>
      </c>
      <c r="L67" s="12">
        <f>IFERROR(__xludf.DUMMYFUNCTION("""COMPUTED_VALUE"""),-0.4247477643006475)</f>
        <v>-0.4247477643</v>
      </c>
      <c r="M67" s="12">
        <f>IFERROR(__xludf.DUMMYFUNCTION("""COMPUTED_VALUE"""),-0.034676555141800805)</f>
        <v>-0.03467655514</v>
      </c>
      <c r="N67" s="12">
        <f>IFERROR(__xludf.DUMMYFUNCTION("""COMPUTED_VALUE"""),-0.4091845735540631)</f>
        <v>-0.4091845736</v>
      </c>
      <c r="O67" s="3"/>
      <c r="P67" s="12">
        <f>IFERROR(__xludf.DUMMYFUNCTION("""COMPUTED_VALUE"""),-0.37611134185243433)</f>
        <v>-0.3761113419</v>
      </c>
      <c r="Q67" s="12">
        <f>IFERROR(__xludf.DUMMYFUNCTION("""COMPUTED_VALUE"""),-0.3418634782850761)</f>
        <v>-0.3418634783</v>
      </c>
      <c r="R67" s="12">
        <f>IFERROR(__xludf.DUMMYFUNCTION("""COMPUTED_VALUE"""),-0.31149168472947614)</f>
        <v>-0.3114916847</v>
      </c>
      <c r="S67" s="12">
        <f>IFERROR(__xludf.DUMMYFUNCTION("""COMPUTED_VALUE"""),-0.2853065884220141)</f>
        <v>-0.2853065884</v>
      </c>
      <c r="T67" s="12">
        <f>IFERROR(__xludf.DUMMYFUNCTION("""COMPUTED_VALUE"""),-0.2601165842530622)</f>
        <v>-0.2601165843</v>
      </c>
      <c r="U67" s="12">
        <f>IFERROR(__xludf.DUMMYFUNCTION("""COMPUTED_VALUE"""),-0.23780800808275446)</f>
        <v>-0.2378080081</v>
      </c>
      <c r="V67" s="12">
        <f>IFERROR(__xludf.DUMMYFUNCTION("""COMPUTED_VALUE"""),-0.3424918835855906)</f>
        <v>-0.3424918836</v>
      </c>
      <c r="W67" s="3"/>
      <c r="X67" s="15">
        <f>IFERROR(__xludf.DUMMYFUNCTION("""COMPUTED_VALUE"""),-0.2)</f>
        <v>-0.2</v>
      </c>
      <c r="Y67" s="15">
        <f>IFERROR(__xludf.DUMMYFUNCTION("""COMPUTED_VALUE"""),-0.195)</f>
        <v>-0.195</v>
      </c>
      <c r="Z67" s="15">
        <f>IFERROR(__xludf.DUMMYFUNCTION("""COMPUTED_VALUE"""),-0.19)</f>
        <v>-0.19</v>
      </c>
      <c r="AA67" s="15">
        <f>IFERROR(__xludf.DUMMYFUNCTION("""COMPUTED_VALUE"""),-0.185)</f>
        <v>-0.185</v>
      </c>
      <c r="AB67" s="15">
        <f>IFERROR(__xludf.DUMMYFUNCTION("""COMPUTED_VALUE"""),-0.18)</f>
        <v>-0.18</v>
      </c>
      <c r="AC67" s="15">
        <f>IFERROR(__xludf.DUMMYFUNCTION("""COMPUTED_VALUE"""),-0.175)</f>
        <v>-0.175</v>
      </c>
      <c r="AD67" s="15">
        <f>IFERROR(__xludf.DUMMYFUNCTION("""COMPUTED_VALUE"""),-0.17)</f>
        <v>-0.17</v>
      </c>
      <c r="AE67" s="15">
        <f>IFERROR(__xludf.DUMMYFUNCTION("""COMPUTED_VALUE"""),-0.165)</f>
        <v>-0.165</v>
      </c>
      <c r="AF67" s="15">
        <f>IFERROR(__xludf.DUMMYFUNCTION("""COMPUTED_VALUE"""),-0.16)</f>
        <v>-0.16</v>
      </c>
      <c r="AG67" s="15">
        <f>IFERROR(__xludf.DUMMYFUNCTION("""COMPUTED_VALUE"""),-0.155)</f>
        <v>-0.155</v>
      </c>
      <c r="AH67" s="15">
        <f>IFERROR(__xludf.DUMMYFUNCTION("""COMPUTED_VALUE"""),-0.15)</f>
        <v>-0.15</v>
      </c>
      <c r="AI67" s="15">
        <f>IFERROR(__xludf.DUMMYFUNCTION("""COMPUTED_VALUE"""),-0.145)</f>
        <v>-0.145</v>
      </c>
      <c r="AJ67" s="3"/>
      <c r="AK67" s="3"/>
    </row>
    <row r="68">
      <c r="A68" s="1"/>
      <c r="B68" s="1"/>
      <c r="C68" s="1" t="str">
        <f>IFERROR(__xludf.DUMMYFUNCTION("""COMPUTED_VALUE"""),"Fixed Overhead-Admin-FN %")</f>
        <v>Fixed Overhead-Admin-FN %</v>
      </c>
      <c r="D68" s="1" t="str">
        <f>IFERROR(__xludf.DUMMYFUNCTION("""COMPUTED_VALUE"""),"財務中心費用率")</f>
        <v>財務中心費用率</v>
      </c>
      <c r="E68" s="1"/>
      <c r="F68" s="14" t="s">
        <v>4</v>
      </c>
      <c r="G68" s="14" t="s">
        <v>5</v>
      </c>
      <c r="H68" s="12">
        <f>IFERROR(__xludf.DUMMYFUNCTION("""COMPUTED_VALUE"""),0.0)</f>
        <v>0</v>
      </c>
      <c r="I68" s="12">
        <f>IFERROR(__xludf.DUMMYFUNCTION("""COMPUTED_VALUE"""),0.0)</f>
        <v>0</v>
      </c>
      <c r="J68" s="12">
        <f>IFERROR(__xludf.DUMMYFUNCTION("""COMPUTED_VALUE"""),0.0)</f>
        <v>0</v>
      </c>
      <c r="K68" s="12">
        <f>IFERROR(__xludf.DUMMYFUNCTION("""COMPUTED_VALUE"""),0.0)</f>
        <v>0</v>
      </c>
      <c r="L68" s="12">
        <f>IFERROR(__xludf.DUMMYFUNCTION("""COMPUTED_VALUE"""),0.0)</f>
        <v>0</v>
      </c>
      <c r="M68" s="12">
        <f>IFERROR(__xludf.DUMMYFUNCTION("""COMPUTED_VALUE"""),0.0)</f>
        <v>0</v>
      </c>
      <c r="N68" s="12">
        <f>IFERROR(__xludf.DUMMYFUNCTION("""COMPUTED_VALUE"""),0.0)</f>
        <v>0</v>
      </c>
      <c r="O68" s="3"/>
      <c r="P68" s="12">
        <f>IFERROR(__xludf.DUMMYFUNCTION("""COMPUTED_VALUE"""),-0.017932988779524067)</f>
        <v>-0.01793298878</v>
      </c>
      <c r="Q68" s="12">
        <f>IFERROR(__xludf.DUMMYFUNCTION("""COMPUTED_VALUE"""),-0.016300050644632427)</f>
        <v>-0.01630005064</v>
      </c>
      <c r="R68" s="12">
        <f>IFERROR(__xludf.DUMMYFUNCTION("""COMPUTED_VALUE"""),-0.014851923527901423)</f>
        <v>-0.01485192353</v>
      </c>
      <c r="S68" s="12">
        <f>IFERROR(__xludf.DUMMYFUNCTION("""COMPUTED_VALUE"""),-0.013603418135961632)</f>
        <v>-0.01360341814</v>
      </c>
      <c r="T68" s="12">
        <f>IFERROR(__xludf.DUMMYFUNCTION("""COMPUTED_VALUE"""),-0.012402358737186007)</f>
        <v>-0.01240235874</v>
      </c>
      <c r="U68" s="12">
        <f>IFERROR(__xludf.DUMMYFUNCTION("""COMPUTED_VALUE"""),-0.012423430067968927)</f>
        <v>-0.01242343007</v>
      </c>
      <c r="V68" s="12">
        <f>IFERROR(__xludf.DUMMYFUNCTION("""COMPUTED_VALUE"""),-0.008331994829018599)</f>
        <v>-0.008331994829</v>
      </c>
      <c r="W68" s="3"/>
      <c r="X68" s="15">
        <f>IFERROR(__xludf.DUMMYFUNCTION("""COMPUTED_VALUE"""),-0.01)</f>
        <v>-0.01</v>
      </c>
      <c r="Y68" s="15">
        <f>IFERROR(__xludf.DUMMYFUNCTION("""COMPUTED_VALUE"""),-0.0098)</f>
        <v>-0.0098</v>
      </c>
      <c r="Z68" s="15">
        <f>IFERROR(__xludf.DUMMYFUNCTION("""COMPUTED_VALUE"""),-0.0096)</f>
        <v>-0.0096</v>
      </c>
      <c r="AA68" s="15">
        <f>IFERROR(__xludf.DUMMYFUNCTION("""COMPUTED_VALUE"""),-0.0094)</f>
        <v>-0.0094</v>
      </c>
      <c r="AB68" s="15">
        <f>IFERROR(__xludf.DUMMYFUNCTION("""COMPUTED_VALUE"""),-0.0092)</f>
        <v>-0.0092</v>
      </c>
      <c r="AC68" s="15">
        <f>IFERROR(__xludf.DUMMYFUNCTION("""COMPUTED_VALUE"""),-0.009)</f>
        <v>-0.009</v>
      </c>
      <c r="AD68" s="15">
        <f>IFERROR(__xludf.DUMMYFUNCTION("""COMPUTED_VALUE"""),-0.00880000000000001)</f>
        <v>-0.0088</v>
      </c>
      <c r="AE68" s="15">
        <f>IFERROR(__xludf.DUMMYFUNCTION("""COMPUTED_VALUE"""),-0.00860000000000001)</f>
        <v>-0.0086</v>
      </c>
      <c r="AF68" s="15">
        <f>IFERROR(__xludf.DUMMYFUNCTION("""COMPUTED_VALUE"""),-0.00840000000000001)</f>
        <v>-0.0084</v>
      </c>
      <c r="AG68" s="15">
        <f>IFERROR(__xludf.DUMMYFUNCTION("""COMPUTED_VALUE"""),-0.00820000000000001)</f>
        <v>-0.0082</v>
      </c>
      <c r="AH68" s="15">
        <f>IFERROR(__xludf.DUMMYFUNCTION("""COMPUTED_VALUE"""),-0.00800000000000001)</f>
        <v>-0.008</v>
      </c>
      <c r="AI68" s="15">
        <f>IFERROR(__xludf.DUMMYFUNCTION("""COMPUTED_VALUE"""),-0.00780000000000001)</f>
        <v>-0.0078</v>
      </c>
      <c r="AJ68" s="3"/>
      <c r="AK68" s="3"/>
    </row>
    <row r="69">
      <c r="A69" s="1"/>
      <c r="B69" s="1"/>
      <c r="C69" s="1" t="str">
        <f>IFERROR(__xludf.DUMMYFUNCTION("""COMPUTED_VALUE"""),"Fixed Overhead-Admin-STR %")</f>
        <v>Fixed Overhead-Admin-STR %</v>
      </c>
      <c r="D69" s="1" t="str">
        <f>IFERROR(__xludf.DUMMYFUNCTION("""COMPUTED_VALUE"""),"策略資料中心費用率")</f>
        <v>策略資料中心費用率</v>
      </c>
      <c r="E69" s="1"/>
      <c r="F69" s="14" t="s">
        <v>4</v>
      </c>
      <c r="G69" s="14" t="s">
        <v>5</v>
      </c>
      <c r="H69" s="12">
        <f>IFERROR(__xludf.DUMMYFUNCTION("""COMPUTED_VALUE"""),0.0)</f>
        <v>0</v>
      </c>
      <c r="I69" s="12">
        <f>IFERROR(__xludf.DUMMYFUNCTION("""COMPUTED_VALUE"""),0.0)</f>
        <v>0</v>
      </c>
      <c r="J69" s="12">
        <f>IFERROR(__xludf.DUMMYFUNCTION("""COMPUTED_VALUE"""),0.0)</f>
        <v>0</v>
      </c>
      <c r="K69" s="12">
        <f>IFERROR(__xludf.DUMMYFUNCTION("""COMPUTED_VALUE"""),0.0)</f>
        <v>0</v>
      </c>
      <c r="L69" s="12">
        <f>IFERROR(__xludf.DUMMYFUNCTION("""COMPUTED_VALUE"""),0.0)</f>
        <v>0</v>
      </c>
      <c r="M69" s="12">
        <f>IFERROR(__xludf.DUMMYFUNCTION("""COMPUTED_VALUE"""),0.0)</f>
        <v>0</v>
      </c>
      <c r="N69" s="12">
        <f>IFERROR(__xludf.DUMMYFUNCTION("""COMPUTED_VALUE"""),0.0)</f>
        <v>0</v>
      </c>
      <c r="O69" s="3"/>
      <c r="P69" s="12">
        <f>IFERROR(__xludf.DUMMYFUNCTION("""COMPUTED_VALUE"""),-0.008149258174108387)</f>
        <v>-0.008149258174</v>
      </c>
      <c r="Q69" s="12">
        <f>IFERROR(__xludf.DUMMYFUNCTION("""COMPUTED_VALUE"""),-0.008846938441620218)</f>
        <v>-0.008846938442</v>
      </c>
      <c r="R69" s="12">
        <f>IFERROR(__xludf.DUMMYFUNCTION("""COMPUTED_VALUE"""),-0.008859268501827344)</f>
        <v>-0.008859268502</v>
      </c>
      <c r="S69" s="12">
        <f>IFERROR(__xludf.DUMMYFUNCTION("""COMPUTED_VALUE"""),-0.007827590043778258)</f>
        <v>-0.007827590044</v>
      </c>
      <c r="T69" s="12">
        <f>IFERROR(__xludf.DUMMYFUNCTION("""COMPUTED_VALUE"""),-0.006738877507756119)</f>
        <v>-0.006738877508</v>
      </c>
      <c r="U69" s="12">
        <f>IFERROR(__xludf.DUMMYFUNCTION("""COMPUTED_VALUE"""),-0.006160926037972503)</f>
        <v>-0.006160926038</v>
      </c>
      <c r="V69" s="12">
        <f>IFERROR(__xludf.DUMMYFUNCTION("""COMPUTED_VALUE"""),-0.004450277711318979)</f>
        <v>-0.004450277711</v>
      </c>
      <c r="W69" s="3"/>
      <c r="X69" s="15">
        <f>IFERROR(__xludf.DUMMYFUNCTION("""COMPUTED_VALUE"""),-0.005)</f>
        <v>-0.005</v>
      </c>
      <c r="Y69" s="15">
        <f>IFERROR(__xludf.DUMMYFUNCTION("""COMPUTED_VALUE"""),-0.005)</f>
        <v>-0.005</v>
      </c>
      <c r="Z69" s="15">
        <f>IFERROR(__xludf.DUMMYFUNCTION("""COMPUTED_VALUE"""),-0.005)</f>
        <v>-0.005</v>
      </c>
      <c r="AA69" s="15">
        <f>IFERROR(__xludf.DUMMYFUNCTION("""COMPUTED_VALUE"""),-0.005)</f>
        <v>-0.005</v>
      </c>
      <c r="AB69" s="15">
        <f>IFERROR(__xludf.DUMMYFUNCTION("""COMPUTED_VALUE"""),-0.005)</f>
        <v>-0.005</v>
      </c>
      <c r="AC69" s="15">
        <f>IFERROR(__xludf.DUMMYFUNCTION("""COMPUTED_VALUE"""),-0.005)</f>
        <v>-0.005</v>
      </c>
      <c r="AD69" s="15">
        <f>IFERROR(__xludf.DUMMYFUNCTION("""COMPUTED_VALUE"""),-0.005)</f>
        <v>-0.005</v>
      </c>
      <c r="AE69" s="15">
        <f>IFERROR(__xludf.DUMMYFUNCTION("""COMPUTED_VALUE"""),-0.005)</f>
        <v>-0.005</v>
      </c>
      <c r="AF69" s="15">
        <f>IFERROR(__xludf.DUMMYFUNCTION("""COMPUTED_VALUE"""),-0.005)</f>
        <v>-0.005</v>
      </c>
      <c r="AG69" s="15">
        <f>IFERROR(__xludf.DUMMYFUNCTION("""COMPUTED_VALUE"""),-0.005)</f>
        <v>-0.005</v>
      </c>
      <c r="AH69" s="15">
        <f>IFERROR(__xludf.DUMMYFUNCTION("""COMPUTED_VALUE"""),-0.005)</f>
        <v>-0.005</v>
      </c>
      <c r="AI69" s="15">
        <f>IFERROR(__xludf.DUMMYFUNCTION("""COMPUTED_VALUE"""),-0.005)</f>
        <v>-0.005</v>
      </c>
      <c r="AJ69" s="3"/>
      <c r="AK69" s="3"/>
    </row>
    <row r="70">
      <c r="A70" s="1"/>
      <c r="B70" s="1"/>
      <c r="C70" s="1" t="str">
        <f>IFERROR(__xludf.DUMMYFUNCTION("""COMPUTED_VALUE"""),"Fixed Overhead-Admin-CEO %")</f>
        <v>Fixed Overhead-Admin-CEO %</v>
      </c>
      <c r="D70" s="1" t="str">
        <f>IFERROR(__xludf.DUMMYFUNCTION("""COMPUTED_VALUE"""),"執行長室費用率")</f>
        <v>執行長室費用率</v>
      </c>
      <c r="E70" s="1"/>
      <c r="F70" s="14" t="s">
        <v>4</v>
      </c>
      <c r="G70" s="14" t="s">
        <v>5</v>
      </c>
      <c r="H70" s="12">
        <f>IFERROR(__xludf.DUMMYFUNCTION("""COMPUTED_VALUE"""),0.0)</f>
        <v>0</v>
      </c>
      <c r="I70" s="12">
        <f>IFERROR(__xludf.DUMMYFUNCTION("""COMPUTED_VALUE"""),0.0)</f>
        <v>0</v>
      </c>
      <c r="J70" s="12">
        <f>IFERROR(__xludf.DUMMYFUNCTION("""COMPUTED_VALUE"""),0.0)</f>
        <v>0</v>
      </c>
      <c r="K70" s="12">
        <f>IFERROR(__xludf.DUMMYFUNCTION("""COMPUTED_VALUE"""),0.0)</f>
        <v>0</v>
      </c>
      <c r="L70" s="12">
        <f>IFERROR(__xludf.DUMMYFUNCTION("""COMPUTED_VALUE"""),0.0)</f>
        <v>0</v>
      </c>
      <c r="M70" s="12">
        <f>IFERROR(__xludf.DUMMYFUNCTION("""COMPUTED_VALUE"""),0.0)</f>
        <v>0</v>
      </c>
      <c r="N70" s="12">
        <f>IFERROR(__xludf.DUMMYFUNCTION("""COMPUTED_VALUE"""),0.0)</f>
        <v>0</v>
      </c>
      <c r="O70" s="3"/>
      <c r="P70" s="12">
        <f>IFERROR(__xludf.DUMMYFUNCTION("""COMPUTED_VALUE"""),-0.060537269678817035)</f>
        <v>-0.06053726968</v>
      </c>
      <c r="Q70" s="12">
        <f>IFERROR(__xludf.DUMMYFUNCTION("""COMPUTED_VALUE"""),-0.05502488033557319)</f>
        <v>-0.05502488034</v>
      </c>
      <c r="R70" s="12">
        <f>IFERROR(__xludf.DUMMYFUNCTION("""COMPUTED_VALUE"""),-0.05013636660969335)</f>
        <v>-0.05013636661</v>
      </c>
      <c r="S70" s="12">
        <f>IFERROR(__xludf.DUMMYFUNCTION("""COMPUTED_VALUE"""),-0.04592172572988558)</f>
        <v>-0.04592172573</v>
      </c>
      <c r="T70" s="12">
        <f>IFERROR(__xludf.DUMMYFUNCTION("""COMPUTED_VALUE"""),-0.04186725061601181)</f>
        <v>-0.04186725062</v>
      </c>
      <c r="U70" s="12">
        <f>IFERROR(__xludf.DUMMYFUNCTION("""COMPUTED_VALUE"""),-0.038276557803822664)</f>
        <v>-0.0382765578</v>
      </c>
      <c r="V70" s="12">
        <f>IFERROR(__xludf.DUMMYFUNCTION("""COMPUTED_VALUE"""),-0.02768529288590349)</f>
        <v>-0.02768529289</v>
      </c>
      <c r="W70" s="3"/>
      <c r="X70" s="15">
        <f>IFERROR(__xludf.DUMMYFUNCTION("""COMPUTED_VALUE"""),-0.025)</f>
        <v>-0.025</v>
      </c>
      <c r="Y70" s="15">
        <f>IFERROR(__xludf.DUMMYFUNCTION("""COMPUTED_VALUE"""),-0.024)</f>
        <v>-0.024</v>
      </c>
      <c r="Z70" s="15">
        <f>IFERROR(__xludf.DUMMYFUNCTION("""COMPUTED_VALUE"""),-0.023)</f>
        <v>-0.023</v>
      </c>
      <c r="AA70" s="15">
        <f>IFERROR(__xludf.DUMMYFUNCTION("""COMPUTED_VALUE"""),-0.022)</f>
        <v>-0.022</v>
      </c>
      <c r="AB70" s="15">
        <f>IFERROR(__xludf.DUMMYFUNCTION("""COMPUTED_VALUE"""),-0.021)</f>
        <v>-0.021</v>
      </c>
      <c r="AC70" s="15">
        <f>IFERROR(__xludf.DUMMYFUNCTION("""COMPUTED_VALUE"""),-0.02)</f>
        <v>-0.02</v>
      </c>
      <c r="AD70" s="15">
        <f>IFERROR(__xludf.DUMMYFUNCTION("""COMPUTED_VALUE"""),-0.019)</f>
        <v>-0.019</v>
      </c>
      <c r="AE70" s="15">
        <f>IFERROR(__xludf.DUMMYFUNCTION("""COMPUTED_VALUE"""),-0.018)</f>
        <v>-0.018</v>
      </c>
      <c r="AF70" s="15">
        <f>IFERROR(__xludf.DUMMYFUNCTION("""COMPUTED_VALUE"""),-0.017)</f>
        <v>-0.017</v>
      </c>
      <c r="AG70" s="15">
        <f>IFERROR(__xludf.DUMMYFUNCTION("""COMPUTED_VALUE"""),-0.016)</f>
        <v>-0.016</v>
      </c>
      <c r="AH70" s="15">
        <f>IFERROR(__xludf.DUMMYFUNCTION("""COMPUTED_VALUE"""),-0.015)</f>
        <v>-0.015</v>
      </c>
      <c r="AI70" s="15">
        <f>IFERROR(__xludf.DUMMYFUNCTION("""COMPUTED_VALUE"""),-0.014)</f>
        <v>-0.014</v>
      </c>
      <c r="AJ70" s="3"/>
      <c r="AK70" s="3"/>
    </row>
    <row r="71">
      <c r="A71" s="1" t="str">
        <f>IFERROR(__xludf.DUMMYFUNCTION("""COMPUTED_VALUE"""),"per Customer Acquisition Cost")</f>
        <v>per Customer Acquisition Cost</v>
      </c>
      <c r="B71" s="1" t="str">
        <f>IFERROR(__xludf.DUMMYFUNCTION("""COMPUTED_VALUE"""),"指標")</f>
        <v>指標</v>
      </c>
      <c r="C71" s="1" t="str">
        <f>IFERROR(__xludf.DUMMYFUNCTION("""COMPUTED_VALUE"""),"per Customer Acquisition Cost")</f>
        <v>per Customer Acquisition Cost</v>
      </c>
      <c r="D71" s="1"/>
      <c r="E71" s="1"/>
      <c r="F71" s="14" t="s">
        <v>4</v>
      </c>
      <c r="G71" s="14" t="s">
        <v>5</v>
      </c>
      <c r="H71" s="19">
        <f>IFERROR(__xludf.DUMMYFUNCTION("""COMPUTED_VALUE"""),-98720.6875)</f>
        <v>-98720.6875</v>
      </c>
      <c r="I71" s="19">
        <f>IFERROR(__xludf.DUMMYFUNCTION("""COMPUTED_VALUE"""),-31548.956521739132)</f>
        <v>-31548.95652</v>
      </c>
      <c r="J71" s="19">
        <f>IFERROR(__xludf.DUMMYFUNCTION("""COMPUTED_VALUE"""),-36737.18421052631)</f>
        <v>-36737.18421</v>
      </c>
      <c r="K71" s="19">
        <f>IFERROR(__xludf.DUMMYFUNCTION("""COMPUTED_VALUE"""),-42658.40540540541)</f>
        <v>-42658.40541</v>
      </c>
      <c r="L71" s="19">
        <f>IFERROR(__xludf.DUMMYFUNCTION("""COMPUTED_VALUE"""),-28694.85714285714)</f>
        <v>-28694.85714</v>
      </c>
      <c r="M71" s="19">
        <f>IFERROR(__xludf.DUMMYFUNCTION("""COMPUTED_VALUE"""),-21206.430555555555)</f>
        <v>-21206.43056</v>
      </c>
      <c r="N71" s="3"/>
      <c r="O71" s="3"/>
      <c r="P71" s="19">
        <f>IFERROR(__xludf.DUMMYFUNCTION("""COMPUTED_VALUE"""),-24766.09)</f>
        <v>-24766.09</v>
      </c>
      <c r="Q71" s="19">
        <f>IFERROR(__xludf.DUMMYFUNCTION("""COMPUTED_VALUE"""),-18867.84962406015)</f>
        <v>-18867.84962</v>
      </c>
      <c r="R71" s="19">
        <f>IFERROR(__xludf.DUMMYFUNCTION("""COMPUTED_VALUE"""),-16405.869863013697)</f>
        <v>-16405.86986</v>
      </c>
      <c r="S71" s="19">
        <f>IFERROR(__xludf.DUMMYFUNCTION("""COMPUTED_VALUE"""),-15196.12)</f>
        <v>-15196.12</v>
      </c>
      <c r="T71" s="19">
        <f>IFERROR(__xludf.DUMMYFUNCTION("""COMPUTED_VALUE"""),-13054.741379310344)</f>
        <v>-13054.74138</v>
      </c>
      <c r="U71" s="19">
        <f>IFERROR(__xludf.DUMMYFUNCTION("""COMPUTED_VALUE"""),-13006.967213114754)</f>
        <v>-13006.96721</v>
      </c>
      <c r="V71" s="3"/>
      <c r="W71" s="3"/>
      <c r="X71" s="19">
        <f>IFERROR(__xludf.DUMMYFUNCTION("""COMPUTED_VALUE"""),-14000.0)</f>
        <v>-14000</v>
      </c>
      <c r="Y71" s="19">
        <f>IFERROR(__xludf.DUMMYFUNCTION("""COMPUTED_VALUE"""),-14000.0)</f>
        <v>-14000</v>
      </c>
      <c r="Z71" s="19">
        <f>IFERROR(__xludf.DUMMYFUNCTION("""COMPUTED_VALUE"""),-14000.0)</f>
        <v>-14000</v>
      </c>
      <c r="AA71" s="19">
        <f>IFERROR(__xludf.DUMMYFUNCTION("""COMPUTED_VALUE"""),-14000.0)</f>
        <v>-14000</v>
      </c>
      <c r="AB71" s="19">
        <f>IFERROR(__xludf.DUMMYFUNCTION("""COMPUTED_VALUE"""),-14000.0)</f>
        <v>-14000</v>
      </c>
      <c r="AC71" s="19">
        <f>IFERROR(__xludf.DUMMYFUNCTION("""COMPUTED_VALUE"""),-14000.0)</f>
        <v>-14000</v>
      </c>
      <c r="AD71" s="19">
        <f>IFERROR(__xludf.DUMMYFUNCTION("""COMPUTED_VALUE"""),-14000.0)</f>
        <v>-14000</v>
      </c>
      <c r="AE71" s="19">
        <f>IFERROR(__xludf.DUMMYFUNCTION("""COMPUTED_VALUE"""),-14000.0)</f>
        <v>-14000</v>
      </c>
      <c r="AF71" s="19">
        <f>IFERROR(__xludf.DUMMYFUNCTION("""COMPUTED_VALUE"""),-14000.0)</f>
        <v>-14000</v>
      </c>
      <c r="AG71" s="19">
        <f>IFERROR(__xludf.DUMMYFUNCTION("""COMPUTED_VALUE"""),-14000.0)</f>
        <v>-14000</v>
      </c>
      <c r="AH71" s="19">
        <f>IFERROR(__xludf.DUMMYFUNCTION("""COMPUTED_VALUE"""),-14000.0)</f>
        <v>-14000</v>
      </c>
      <c r="AI71" s="19">
        <f>IFERROR(__xludf.DUMMYFUNCTION("""COMPUTED_VALUE"""),-14000.0)</f>
        <v>-14000</v>
      </c>
      <c r="AJ71" s="3"/>
      <c r="AK71" s="3"/>
    </row>
    <row r="72">
      <c r="A72" s="1"/>
      <c r="B72" s="1"/>
      <c r="C72" s="1" t="str">
        <f>IFERROR(__xludf.DUMMYFUNCTION("""COMPUTED_VALUE"""),"per Customer Acquisition Cost ")</f>
        <v>per Customer Acquisition Cost </v>
      </c>
      <c r="D72" s="1" t="str">
        <f>IFERROR(__xludf.DUMMYFUNCTION("""COMPUTED_VALUE"""),"平均顧客取得成本")</f>
        <v>平均顧客取得成本</v>
      </c>
      <c r="E72" s="1"/>
      <c r="F72" s="16" t="s">
        <v>4</v>
      </c>
      <c r="G72" s="17" t="s">
        <v>5</v>
      </c>
      <c r="H72" s="19">
        <f>IFERROR(__xludf.DUMMYFUNCTION("""COMPUTED_VALUE"""),-98720.6875)</f>
        <v>-98720.6875</v>
      </c>
      <c r="I72" s="19">
        <f>IFERROR(__xludf.DUMMYFUNCTION("""COMPUTED_VALUE"""),-31548.956521739132)</f>
        <v>-31548.95652</v>
      </c>
      <c r="J72" s="19">
        <f>IFERROR(__xludf.DUMMYFUNCTION("""COMPUTED_VALUE"""),-36737.18421052631)</f>
        <v>-36737.18421</v>
      </c>
      <c r="K72" s="19">
        <f>IFERROR(__xludf.DUMMYFUNCTION("""COMPUTED_VALUE"""),-42658.40540540541)</f>
        <v>-42658.40541</v>
      </c>
      <c r="L72" s="19">
        <f>IFERROR(__xludf.DUMMYFUNCTION("""COMPUTED_VALUE"""),-28694.85714285714)</f>
        <v>-28694.85714</v>
      </c>
      <c r="M72" s="19">
        <f>IFERROR(__xludf.DUMMYFUNCTION("""COMPUTED_VALUE"""),-21206.430555555555)</f>
        <v>-21206.43056</v>
      </c>
      <c r="N72" s="3"/>
      <c r="O72" s="3"/>
      <c r="P72" s="19">
        <f>IFERROR(__xludf.DUMMYFUNCTION("""COMPUTED_VALUE"""),-24766.09)</f>
        <v>-24766.09</v>
      </c>
      <c r="Q72" s="19">
        <f>IFERROR(__xludf.DUMMYFUNCTION("""COMPUTED_VALUE"""),-18867.84962406015)</f>
        <v>-18867.84962</v>
      </c>
      <c r="R72" s="19">
        <f>IFERROR(__xludf.DUMMYFUNCTION("""COMPUTED_VALUE"""),-16405.869863013697)</f>
        <v>-16405.86986</v>
      </c>
      <c r="S72" s="19">
        <f>IFERROR(__xludf.DUMMYFUNCTION("""COMPUTED_VALUE"""),-15196.12)</f>
        <v>-15196.12</v>
      </c>
      <c r="T72" s="19">
        <f>IFERROR(__xludf.DUMMYFUNCTION("""COMPUTED_VALUE"""),-13054.741379310344)</f>
        <v>-13054.74138</v>
      </c>
      <c r="U72" s="19">
        <f>IFERROR(__xludf.DUMMYFUNCTION("""COMPUTED_VALUE"""),-13006.967213114754)</f>
        <v>-13006.96721</v>
      </c>
      <c r="V72" s="3"/>
      <c r="W72" s="3"/>
      <c r="X72" s="19">
        <f>IFERROR(__xludf.DUMMYFUNCTION("""COMPUTED_VALUE"""),-14000.0)</f>
        <v>-14000</v>
      </c>
      <c r="Y72" s="19">
        <f>IFERROR(__xludf.DUMMYFUNCTION("""COMPUTED_VALUE"""),-14000.0)</f>
        <v>-14000</v>
      </c>
      <c r="Z72" s="19">
        <f>IFERROR(__xludf.DUMMYFUNCTION("""COMPUTED_VALUE"""),-14000.0)</f>
        <v>-14000</v>
      </c>
      <c r="AA72" s="19">
        <f>IFERROR(__xludf.DUMMYFUNCTION("""COMPUTED_VALUE"""),-14000.0)</f>
        <v>-14000</v>
      </c>
      <c r="AB72" s="19">
        <f>IFERROR(__xludf.DUMMYFUNCTION("""COMPUTED_VALUE"""),-14000.0)</f>
        <v>-14000</v>
      </c>
      <c r="AC72" s="19">
        <f>IFERROR(__xludf.DUMMYFUNCTION("""COMPUTED_VALUE"""),-14000.0)</f>
        <v>-14000</v>
      </c>
      <c r="AD72" s="19">
        <f>IFERROR(__xludf.DUMMYFUNCTION("""COMPUTED_VALUE"""),-14000.0)</f>
        <v>-14000</v>
      </c>
      <c r="AE72" s="19">
        <f>IFERROR(__xludf.DUMMYFUNCTION("""COMPUTED_VALUE"""),-14000.0)</f>
        <v>-14000</v>
      </c>
      <c r="AF72" s="19">
        <f>IFERROR(__xludf.DUMMYFUNCTION("""COMPUTED_VALUE"""),-14000.0)</f>
        <v>-14000</v>
      </c>
      <c r="AG72" s="19">
        <f>IFERROR(__xludf.DUMMYFUNCTION("""COMPUTED_VALUE"""),-14000.0)</f>
        <v>-14000</v>
      </c>
      <c r="AH72" s="19">
        <f>IFERROR(__xludf.DUMMYFUNCTION("""COMPUTED_VALUE"""),-14000.0)</f>
        <v>-14000</v>
      </c>
      <c r="AI72" s="19">
        <f>IFERROR(__xludf.DUMMYFUNCTION("""COMPUTED_VALUE"""),-14000.0)</f>
        <v>-14000</v>
      </c>
      <c r="AJ72" s="3"/>
      <c r="AK72" s="3"/>
    </row>
    <row r="73">
      <c r="A73" s="1"/>
      <c r="B73" s="1"/>
      <c r="C73" s="1"/>
      <c r="D73" s="1"/>
      <c r="E73" s="1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1"/>
      <c r="B74" s="1"/>
      <c r="C74" s="1"/>
      <c r="D74" s="1"/>
      <c r="E74" s="1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1"/>
      <c r="B75" s="1"/>
      <c r="C75" s="1"/>
      <c r="D75" s="1"/>
      <c r="E75" s="1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1"/>
      <c r="B76" s="1"/>
      <c r="C76" s="1"/>
      <c r="D76" s="1"/>
      <c r="E76" s="1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1"/>
      <c r="B77" s="1"/>
      <c r="C77" s="1"/>
      <c r="D77" s="1"/>
      <c r="E77" s="1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1"/>
      <c r="B78" s="1"/>
      <c r="C78" s="1"/>
      <c r="D78" s="1"/>
      <c r="E78" s="1"/>
      <c r="F78" s="14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1"/>
      <c r="B79" s="1"/>
      <c r="C79" s="1"/>
      <c r="D79" s="1"/>
      <c r="E79" s="1"/>
      <c r="F79" s="14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1"/>
      <c r="B80" s="1"/>
      <c r="C80" s="1"/>
      <c r="D80" s="1"/>
      <c r="E80" s="1"/>
      <c r="F80" s="14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1"/>
      <c r="B81" s="1"/>
      <c r="C81" s="1"/>
      <c r="D81" s="1"/>
      <c r="E81" s="1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1"/>
      <c r="B82" s="1"/>
      <c r="C82" s="1"/>
      <c r="D82" s="1"/>
      <c r="E82" s="1"/>
      <c r="F82" s="14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1"/>
      <c r="B83" s="1"/>
      <c r="C83" s="1"/>
      <c r="D83" s="1"/>
      <c r="E83" s="1"/>
      <c r="F83" s="14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1"/>
      <c r="B84" s="1"/>
      <c r="C84" s="1"/>
      <c r="D84" s="1"/>
      <c r="E84" s="1"/>
      <c r="F84" s="14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1"/>
      <c r="B85" s="1"/>
      <c r="C85" s="1"/>
      <c r="D85" s="1"/>
      <c r="E85" s="1"/>
      <c r="F85" s="14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1"/>
      <c r="B86" s="1"/>
      <c r="C86" s="1"/>
      <c r="D86" s="1"/>
      <c r="E86" s="1"/>
      <c r="F86" s="14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1"/>
      <c r="B87" s="1"/>
      <c r="C87" s="1"/>
      <c r="D87" s="1"/>
      <c r="E87" s="1"/>
      <c r="F87" s="14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1"/>
      <c r="B88" s="1"/>
      <c r="C88" s="1"/>
      <c r="D88" s="1"/>
      <c r="E88" s="1"/>
      <c r="F88" s="14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1"/>
      <c r="B89" s="1"/>
      <c r="C89" s="1"/>
      <c r="D89" s="1"/>
      <c r="E89" s="1"/>
      <c r="F89" s="14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1"/>
      <c r="B90" s="1"/>
      <c r="C90" s="1"/>
      <c r="D90" s="1"/>
      <c r="E90" s="1"/>
      <c r="F90" s="14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1"/>
      <c r="B91" s="1"/>
      <c r="C91" s="1"/>
      <c r="D91" s="1"/>
      <c r="E91" s="1"/>
      <c r="F91" s="14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1"/>
      <c r="B92" s="1"/>
      <c r="C92" s="1"/>
      <c r="D92" s="1"/>
      <c r="E92" s="1"/>
      <c r="F92" s="14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1"/>
      <c r="B93" s="1"/>
      <c r="C93" s="1"/>
      <c r="D93" s="1"/>
      <c r="E93" s="1"/>
      <c r="F93" s="14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1"/>
      <c r="B94" s="1"/>
      <c r="C94" s="1"/>
      <c r="D94" s="1"/>
      <c r="E94" s="1"/>
      <c r="F94" s="14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1"/>
      <c r="B95" s="1"/>
      <c r="C95" s="1"/>
      <c r="D95" s="1"/>
      <c r="E95" s="1"/>
      <c r="F95" s="14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1"/>
      <c r="B96" s="1"/>
      <c r="C96" s="1"/>
      <c r="D96" s="1"/>
      <c r="E96" s="1"/>
      <c r="F96" s="14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1"/>
      <c r="B97" s="1"/>
      <c r="C97" s="1"/>
      <c r="D97" s="1"/>
      <c r="E97" s="1"/>
      <c r="F97" s="14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1"/>
      <c r="B98" s="1"/>
      <c r="C98" s="1"/>
      <c r="D98" s="1"/>
      <c r="E98" s="1"/>
      <c r="F98" s="14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1"/>
      <c r="B99" s="1"/>
      <c r="C99" s="1"/>
      <c r="D99" s="1"/>
      <c r="E99" s="1"/>
      <c r="F99" s="14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1"/>
      <c r="B100" s="1"/>
      <c r="C100" s="1"/>
      <c r="D100" s="1"/>
      <c r="E100" s="1"/>
      <c r="F100" s="14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1"/>
      <c r="B101" s="1"/>
      <c r="C101" s="1"/>
      <c r="D101" s="1"/>
      <c r="E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1"/>
      <c r="B102" s="1"/>
      <c r="C102" s="1"/>
      <c r="D102" s="1"/>
      <c r="E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1"/>
      <c r="B103" s="1"/>
      <c r="C103" s="1"/>
      <c r="D103" s="1"/>
      <c r="E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1"/>
      <c r="B104" s="1"/>
      <c r="C104" s="1"/>
      <c r="D104" s="1"/>
      <c r="E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1"/>
      <c r="B105" s="1"/>
      <c r="C105" s="1"/>
      <c r="D105" s="1"/>
      <c r="E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1"/>
      <c r="B106" s="1"/>
      <c r="C106" s="1"/>
      <c r="D106" s="1"/>
      <c r="E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1"/>
      <c r="B107" s="1"/>
      <c r="C107" s="1"/>
      <c r="D107" s="1"/>
      <c r="E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1"/>
      <c r="B108" s="1"/>
      <c r="C108" s="1"/>
      <c r="D108" s="1"/>
      <c r="E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1"/>
      <c r="B109" s="1"/>
      <c r="C109" s="1"/>
      <c r="D109" s="1"/>
      <c r="E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1"/>
      <c r="B110" s="1"/>
      <c r="C110" s="1"/>
      <c r="D110" s="1"/>
      <c r="E110" s="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1"/>
      <c r="B111" s="1"/>
      <c r="C111" s="1"/>
      <c r="D111" s="1"/>
      <c r="E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1"/>
      <c r="B112" s="1"/>
      <c r="C112" s="1"/>
      <c r="D112" s="1"/>
      <c r="E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1"/>
      <c r="B113" s="1"/>
      <c r="C113" s="1"/>
      <c r="D113" s="1"/>
      <c r="E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1"/>
      <c r="B114" s="1"/>
      <c r="C114" s="1"/>
      <c r="D114" s="1"/>
      <c r="E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1"/>
      <c r="B115" s="1"/>
      <c r="C115" s="1"/>
      <c r="D115" s="1"/>
      <c r="E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1"/>
      <c r="B116" s="1"/>
      <c r="C116" s="1"/>
      <c r="D116" s="1"/>
      <c r="E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1"/>
      <c r="B117" s="1"/>
      <c r="C117" s="1"/>
      <c r="D117" s="1"/>
      <c r="E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1"/>
      <c r="B118" s="1"/>
      <c r="C118" s="1"/>
      <c r="D118" s="1"/>
      <c r="E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1"/>
      <c r="B119" s="1"/>
      <c r="C119" s="1"/>
      <c r="D119" s="1"/>
      <c r="E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1"/>
      <c r="B120" s="1"/>
      <c r="C120" s="1"/>
      <c r="D120" s="1"/>
      <c r="E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1"/>
      <c r="B121" s="1"/>
      <c r="C121" s="1"/>
      <c r="D121" s="1"/>
      <c r="E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1"/>
      <c r="B122" s="1"/>
      <c r="C122" s="1"/>
      <c r="D122" s="1"/>
      <c r="E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1"/>
      <c r="B123" s="1"/>
      <c r="C123" s="1"/>
      <c r="D123" s="1"/>
      <c r="E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1"/>
      <c r="B124" s="1"/>
      <c r="C124" s="1"/>
      <c r="D124" s="1"/>
      <c r="E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1"/>
      <c r="B125" s="1"/>
      <c r="C125" s="1"/>
      <c r="D125" s="1"/>
      <c r="E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1"/>
      <c r="B126" s="1"/>
      <c r="C126" s="1"/>
      <c r="D126" s="1"/>
      <c r="E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1"/>
      <c r="B127" s="1"/>
      <c r="C127" s="1"/>
      <c r="D127" s="1"/>
      <c r="E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1"/>
      <c r="B128" s="1"/>
      <c r="C128" s="1"/>
      <c r="D128" s="1"/>
      <c r="E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1"/>
      <c r="B129" s="1"/>
      <c r="C129" s="1"/>
      <c r="D129" s="1"/>
      <c r="E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1"/>
      <c r="B130" s="1"/>
      <c r="C130" s="1"/>
      <c r="D130" s="1"/>
      <c r="E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1"/>
      <c r="B131" s="1"/>
      <c r="C131" s="1"/>
      <c r="D131" s="1"/>
      <c r="E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1"/>
      <c r="B132" s="1"/>
      <c r="C132" s="1"/>
      <c r="D132" s="1"/>
      <c r="E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1"/>
      <c r="B133" s="1"/>
      <c r="C133" s="1"/>
      <c r="D133" s="1"/>
      <c r="E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1"/>
      <c r="B134" s="1"/>
      <c r="C134" s="1"/>
      <c r="D134" s="1"/>
      <c r="E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1"/>
      <c r="B135" s="1"/>
      <c r="C135" s="1"/>
      <c r="D135" s="1"/>
      <c r="E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1"/>
      <c r="B136" s="1"/>
      <c r="C136" s="1"/>
      <c r="D136" s="1"/>
      <c r="E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1"/>
      <c r="B137" s="1"/>
      <c r="C137" s="1"/>
      <c r="D137" s="1"/>
      <c r="E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1"/>
      <c r="B138" s="1"/>
      <c r="C138" s="1"/>
      <c r="D138" s="1"/>
      <c r="E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1"/>
      <c r="B139" s="1"/>
      <c r="C139" s="1"/>
      <c r="D139" s="1"/>
      <c r="E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1"/>
      <c r="B140" s="1"/>
      <c r="C140" s="1"/>
      <c r="D140" s="1"/>
      <c r="E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1"/>
      <c r="B141" s="1"/>
      <c r="C141" s="1"/>
      <c r="D141" s="1"/>
      <c r="E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1"/>
      <c r="B142" s="1"/>
      <c r="C142" s="1"/>
      <c r="D142" s="1"/>
      <c r="E142" s="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1"/>
      <c r="B143" s="1"/>
      <c r="C143" s="1"/>
      <c r="D143" s="1"/>
      <c r="E143" s="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1"/>
      <c r="B144" s="1"/>
      <c r="C144" s="1"/>
      <c r="D144" s="1"/>
      <c r="E144" s="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1"/>
      <c r="B145" s="1"/>
      <c r="C145" s="1"/>
      <c r="D145" s="1"/>
      <c r="E145" s="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1"/>
      <c r="B146" s="1"/>
      <c r="C146" s="1"/>
      <c r="D146" s="1"/>
      <c r="E146" s="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1"/>
      <c r="B147" s="1"/>
      <c r="C147" s="1"/>
      <c r="D147" s="1"/>
      <c r="E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1"/>
      <c r="B148" s="1"/>
      <c r="C148" s="1"/>
      <c r="D148" s="1"/>
      <c r="E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1"/>
      <c r="B149" s="1"/>
      <c r="C149" s="1"/>
      <c r="D149" s="1"/>
      <c r="E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1"/>
      <c r="B150" s="1"/>
      <c r="C150" s="1"/>
      <c r="D150" s="1"/>
      <c r="E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1"/>
      <c r="B151" s="1"/>
      <c r="C151" s="1"/>
      <c r="D151" s="1"/>
      <c r="E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1"/>
      <c r="B152" s="1"/>
      <c r="C152" s="1"/>
      <c r="D152" s="1"/>
      <c r="E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1"/>
      <c r="B153" s="1"/>
      <c r="C153" s="1"/>
      <c r="D153" s="1"/>
      <c r="E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1"/>
      <c r="B154" s="1"/>
      <c r="C154" s="1"/>
      <c r="D154" s="1"/>
      <c r="E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1"/>
      <c r="B155" s="1"/>
      <c r="C155" s="1"/>
      <c r="D155" s="1"/>
      <c r="E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1"/>
      <c r="B156" s="1"/>
      <c r="C156" s="1"/>
      <c r="D156" s="1"/>
      <c r="E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1"/>
      <c r="B157" s="1"/>
      <c r="C157" s="1"/>
      <c r="D157" s="1"/>
      <c r="E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1"/>
      <c r="B158" s="1"/>
      <c r="C158" s="1"/>
      <c r="D158" s="1"/>
      <c r="E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1"/>
      <c r="B159" s="1"/>
      <c r="C159" s="1"/>
      <c r="D159" s="1"/>
      <c r="E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1"/>
      <c r="B160" s="1"/>
      <c r="C160" s="1"/>
      <c r="D160" s="1"/>
      <c r="E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1"/>
      <c r="B161" s="1"/>
      <c r="C161" s="1"/>
      <c r="D161" s="1"/>
      <c r="E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1"/>
      <c r="B162" s="1"/>
      <c r="C162" s="1"/>
      <c r="D162" s="1"/>
      <c r="E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1"/>
      <c r="B163" s="1"/>
      <c r="C163" s="1"/>
      <c r="D163" s="1"/>
      <c r="E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1"/>
      <c r="B164" s="1"/>
      <c r="C164" s="1"/>
      <c r="D164" s="1"/>
      <c r="E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1"/>
      <c r="B165" s="1"/>
      <c r="C165" s="1"/>
      <c r="D165" s="1"/>
      <c r="E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1"/>
      <c r="B166" s="1"/>
      <c r="C166" s="1"/>
      <c r="D166" s="1"/>
      <c r="E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1"/>
      <c r="B167" s="1"/>
      <c r="C167" s="1"/>
      <c r="D167" s="1"/>
      <c r="E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1"/>
      <c r="B168" s="1"/>
      <c r="C168" s="1"/>
      <c r="D168" s="1"/>
      <c r="E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1"/>
      <c r="B169" s="1"/>
      <c r="C169" s="1"/>
      <c r="D169" s="1"/>
      <c r="E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1"/>
      <c r="B170" s="1"/>
      <c r="C170" s="1"/>
      <c r="D170" s="1"/>
      <c r="E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1"/>
      <c r="B171" s="1"/>
      <c r="C171" s="1"/>
      <c r="D171" s="1"/>
      <c r="E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1"/>
      <c r="B172" s="1"/>
      <c r="C172" s="1"/>
      <c r="D172" s="1"/>
      <c r="E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1"/>
      <c r="B173" s="1"/>
      <c r="C173" s="1"/>
      <c r="D173" s="1"/>
      <c r="E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1"/>
      <c r="B174" s="1"/>
      <c r="C174" s="1"/>
      <c r="D174" s="1"/>
      <c r="E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1"/>
      <c r="B175" s="1"/>
      <c r="C175" s="1"/>
      <c r="D175" s="1"/>
      <c r="E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1"/>
      <c r="B176" s="1"/>
      <c r="C176" s="1"/>
      <c r="D176" s="1"/>
      <c r="E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1"/>
      <c r="B177" s="1"/>
      <c r="C177" s="1"/>
      <c r="D177" s="1"/>
      <c r="E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1"/>
      <c r="B178" s="1"/>
      <c r="C178" s="1"/>
      <c r="D178" s="1"/>
      <c r="E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1"/>
      <c r="B179" s="1"/>
      <c r="C179" s="1"/>
      <c r="D179" s="1"/>
      <c r="E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1"/>
      <c r="B180" s="1"/>
      <c r="C180" s="1"/>
      <c r="D180" s="1"/>
      <c r="E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1"/>
      <c r="B181" s="1"/>
      <c r="C181" s="1"/>
      <c r="D181" s="1"/>
      <c r="E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1"/>
      <c r="B182" s="1"/>
      <c r="C182" s="1"/>
      <c r="D182" s="1"/>
      <c r="E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1"/>
      <c r="B183" s="1"/>
      <c r="C183" s="1"/>
      <c r="D183" s="1"/>
      <c r="E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1"/>
      <c r="B184" s="1"/>
      <c r="C184" s="1"/>
      <c r="D184" s="1"/>
      <c r="E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1"/>
      <c r="B185" s="1"/>
      <c r="C185" s="1"/>
      <c r="D185" s="1"/>
      <c r="E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1"/>
      <c r="B186" s="1"/>
      <c r="C186" s="1"/>
      <c r="D186" s="1"/>
      <c r="E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1"/>
      <c r="B187" s="1"/>
      <c r="C187" s="1"/>
      <c r="D187" s="1"/>
      <c r="E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1"/>
      <c r="B188" s="1"/>
      <c r="C188" s="1"/>
      <c r="D188" s="1"/>
      <c r="E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1"/>
      <c r="B189" s="1"/>
      <c r="C189" s="1"/>
      <c r="D189" s="1"/>
      <c r="E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1"/>
      <c r="B190" s="1"/>
      <c r="C190" s="1"/>
      <c r="D190" s="1"/>
      <c r="E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1"/>
      <c r="B191" s="1"/>
      <c r="C191" s="1"/>
      <c r="D191" s="1"/>
      <c r="E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1"/>
      <c r="B192" s="1"/>
      <c r="C192" s="1"/>
      <c r="D192" s="1"/>
      <c r="E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1"/>
      <c r="B193" s="1"/>
      <c r="C193" s="1"/>
      <c r="D193" s="1"/>
      <c r="E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1"/>
      <c r="B194" s="1"/>
      <c r="C194" s="1"/>
      <c r="D194" s="1"/>
      <c r="E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1"/>
      <c r="B195" s="1"/>
      <c r="C195" s="1"/>
      <c r="D195" s="1"/>
      <c r="E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1"/>
      <c r="B196" s="1"/>
      <c r="C196" s="1"/>
      <c r="D196" s="1"/>
      <c r="E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1"/>
      <c r="B197" s="1"/>
      <c r="C197" s="1"/>
      <c r="D197" s="1"/>
      <c r="E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1"/>
      <c r="B198" s="1"/>
      <c r="C198" s="1"/>
      <c r="D198" s="1"/>
      <c r="E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1"/>
      <c r="B199" s="1"/>
      <c r="C199" s="1"/>
      <c r="D199" s="1"/>
      <c r="E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1"/>
      <c r="B200" s="1"/>
      <c r="C200" s="1"/>
      <c r="D200" s="1"/>
      <c r="E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1"/>
      <c r="B201" s="1"/>
      <c r="C201" s="1"/>
      <c r="D201" s="1"/>
      <c r="E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1"/>
      <c r="B202" s="1"/>
      <c r="C202" s="1"/>
      <c r="D202" s="1"/>
      <c r="E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1"/>
      <c r="B203" s="1"/>
      <c r="C203" s="1"/>
      <c r="D203" s="1"/>
      <c r="E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1"/>
      <c r="B204" s="1"/>
      <c r="C204" s="1"/>
      <c r="D204" s="1"/>
      <c r="E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1"/>
      <c r="B205" s="1"/>
      <c r="C205" s="1"/>
      <c r="D205" s="1"/>
      <c r="E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1"/>
      <c r="B206" s="1"/>
      <c r="C206" s="1"/>
      <c r="D206" s="1"/>
      <c r="E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1"/>
      <c r="B207" s="1"/>
      <c r="C207" s="1"/>
      <c r="D207" s="1"/>
      <c r="E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1"/>
      <c r="B208" s="1"/>
      <c r="C208" s="1"/>
      <c r="D208" s="1"/>
      <c r="E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1"/>
      <c r="B209" s="1"/>
      <c r="C209" s="1"/>
      <c r="D209" s="1"/>
      <c r="E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1"/>
      <c r="B210" s="1"/>
      <c r="C210" s="1"/>
      <c r="D210" s="1"/>
      <c r="E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1"/>
      <c r="B211" s="1"/>
      <c r="C211" s="1"/>
      <c r="D211" s="1"/>
      <c r="E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1"/>
      <c r="B212" s="1"/>
      <c r="C212" s="1"/>
      <c r="D212" s="1"/>
      <c r="E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1"/>
      <c r="B213" s="1"/>
      <c r="C213" s="1"/>
      <c r="D213" s="1"/>
      <c r="E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1"/>
      <c r="B214" s="1"/>
      <c r="C214" s="1"/>
      <c r="D214" s="1"/>
      <c r="E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1"/>
      <c r="B215" s="1"/>
      <c r="C215" s="1"/>
      <c r="D215" s="1"/>
      <c r="E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1"/>
      <c r="B216" s="1"/>
      <c r="C216" s="1"/>
      <c r="D216" s="1"/>
      <c r="E216" s="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1"/>
      <c r="B217" s="1"/>
      <c r="C217" s="1"/>
      <c r="D217" s="1"/>
      <c r="E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1"/>
      <c r="B218" s="1"/>
      <c r="C218" s="1"/>
      <c r="D218" s="1"/>
      <c r="E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1"/>
      <c r="B219" s="1"/>
      <c r="C219" s="1"/>
      <c r="D219" s="1"/>
      <c r="E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1"/>
      <c r="B220" s="1"/>
      <c r="C220" s="1"/>
      <c r="D220" s="1"/>
      <c r="E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1"/>
      <c r="B221" s="1"/>
      <c r="C221" s="1"/>
      <c r="D221" s="1"/>
      <c r="E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1"/>
      <c r="B222" s="1"/>
      <c r="C222" s="1"/>
      <c r="D222" s="1"/>
      <c r="E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1"/>
      <c r="B223" s="1"/>
      <c r="C223" s="1"/>
      <c r="D223" s="1"/>
      <c r="E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1"/>
      <c r="B224" s="1"/>
      <c r="C224" s="1"/>
      <c r="D224" s="1"/>
      <c r="E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1"/>
      <c r="B225" s="1"/>
      <c r="C225" s="1"/>
      <c r="D225" s="1"/>
      <c r="E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1"/>
      <c r="B226" s="1"/>
      <c r="C226" s="1"/>
      <c r="D226" s="1"/>
      <c r="E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1"/>
      <c r="B227" s="1"/>
      <c r="C227" s="1"/>
      <c r="D227" s="1"/>
      <c r="E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1"/>
      <c r="B228" s="1"/>
      <c r="C228" s="1"/>
      <c r="D228" s="1"/>
      <c r="E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1"/>
      <c r="B229" s="1"/>
      <c r="C229" s="1"/>
      <c r="D229" s="1"/>
      <c r="E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1"/>
      <c r="B230" s="1"/>
      <c r="C230" s="1"/>
      <c r="D230" s="1"/>
      <c r="E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1"/>
      <c r="B231" s="1"/>
      <c r="C231" s="1"/>
      <c r="D231" s="1"/>
      <c r="E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1"/>
      <c r="B232" s="1"/>
      <c r="C232" s="1"/>
      <c r="D232" s="1"/>
      <c r="E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1"/>
      <c r="B233" s="1"/>
      <c r="C233" s="1"/>
      <c r="D233" s="1"/>
      <c r="E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1"/>
      <c r="B234" s="1"/>
      <c r="C234" s="1"/>
      <c r="D234" s="1"/>
      <c r="E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1"/>
      <c r="B235" s="1"/>
      <c r="C235" s="1"/>
      <c r="D235" s="1"/>
      <c r="E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1"/>
      <c r="B236" s="1"/>
      <c r="C236" s="1"/>
      <c r="D236" s="1"/>
      <c r="E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1"/>
      <c r="B237" s="1"/>
      <c r="C237" s="1"/>
      <c r="D237" s="1"/>
      <c r="E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1"/>
      <c r="B238" s="1"/>
      <c r="C238" s="1"/>
      <c r="D238" s="1"/>
      <c r="E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1"/>
      <c r="B239" s="1"/>
      <c r="C239" s="1"/>
      <c r="D239" s="1"/>
      <c r="E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1"/>
      <c r="B240" s="1"/>
      <c r="C240" s="1"/>
      <c r="D240" s="1"/>
      <c r="E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1"/>
      <c r="B241" s="1"/>
      <c r="C241" s="1"/>
      <c r="D241" s="1"/>
      <c r="E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1"/>
      <c r="B242" s="1"/>
      <c r="C242" s="1"/>
      <c r="D242" s="1"/>
      <c r="E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1"/>
      <c r="B243" s="1"/>
      <c r="C243" s="1"/>
      <c r="D243" s="1"/>
      <c r="E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1"/>
      <c r="B244" s="1"/>
      <c r="C244" s="1"/>
      <c r="D244" s="1"/>
      <c r="E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1"/>
      <c r="B245" s="1"/>
      <c r="C245" s="1"/>
      <c r="D245" s="1"/>
      <c r="E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1"/>
      <c r="B246" s="1"/>
      <c r="C246" s="1"/>
      <c r="D246" s="1"/>
      <c r="E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1"/>
      <c r="B247" s="1"/>
      <c r="C247" s="1"/>
      <c r="D247" s="1"/>
      <c r="E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1"/>
      <c r="B248" s="1"/>
      <c r="C248" s="1"/>
      <c r="D248" s="1"/>
      <c r="E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1"/>
      <c r="B249" s="1"/>
      <c r="C249" s="1"/>
      <c r="D249" s="1"/>
      <c r="E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1"/>
      <c r="B250" s="1"/>
      <c r="C250" s="1"/>
      <c r="D250" s="1"/>
      <c r="E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1"/>
      <c r="B251" s="1"/>
      <c r="C251" s="1"/>
      <c r="D251" s="1"/>
      <c r="E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1"/>
      <c r="B252" s="1"/>
      <c r="C252" s="1"/>
      <c r="D252" s="1"/>
      <c r="E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1"/>
      <c r="B253" s="1"/>
      <c r="C253" s="1"/>
      <c r="D253" s="1"/>
      <c r="E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1"/>
      <c r="B254" s="1"/>
      <c r="C254" s="1"/>
      <c r="D254" s="1"/>
      <c r="E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1"/>
      <c r="B255" s="1"/>
      <c r="C255" s="1"/>
      <c r="D255" s="1"/>
      <c r="E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1"/>
      <c r="B256" s="1"/>
      <c r="C256" s="1"/>
      <c r="D256" s="1"/>
      <c r="E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1"/>
      <c r="B257" s="1"/>
      <c r="C257" s="1"/>
      <c r="D257" s="1"/>
      <c r="E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1"/>
      <c r="B258" s="1"/>
      <c r="C258" s="1"/>
      <c r="D258" s="1"/>
      <c r="E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1"/>
      <c r="B259" s="1"/>
      <c r="C259" s="1"/>
      <c r="D259" s="1"/>
      <c r="E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1"/>
      <c r="B260" s="1"/>
      <c r="C260" s="1"/>
      <c r="D260" s="1"/>
      <c r="E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1"/>
      <c r="B261" s="1"/>
      <c r="C261" s="1"/>
      <c r="D261" s="1"/>
      <c r="E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1"/>
      <c r="B262" s="1"/>
      <c r="C262" s="1"/>
      <c r="D262" s="1"/>
      <c r="E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1"/>
      <c r="B263" s="1"/>
      <c r="C263" s="1"/>
      <c r="D263" s="1"/>
      <c r="E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1"/>
      <c r="B264" s="1"/>
      <c r="C264" s="1"/>
      <c r="D264" s="1"/>
      <c r="E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1"/>
      <c r="B265" s="1"/>
      <c r="C265" s="1"/>
      <c r="D265" s="1"/>
      <c r="E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1"/>
      <c r="B266" s="1"/>
      <c r="C266" s="1"/>
      <c r="D266" s="1"/>
      <c r="E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1"/>
      <c r="B267" s="1"/>
      <c r="C267" s="1"/>
      <c r="D267" s="1"/>
      <c r="E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1"/>
      <c r="B268" s="1"/>
      <c r="C268" s="1"/>
      <c r="D268" s="1"/>
      <c r="E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1"/>
      <c r="B269" s="1"/>
      <c r="C269" s="1"/>
      <c r="D269" s="1"/>
      <c r="E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1"/>
      <c r="B270" s="1"/>
      <c r="C270" s="1"/>
      <c r="D270" s="1"/>
      <c r="E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1"/>
      <c r="B271" s="1"/>
      <c r="C271" s="1"/>
      <c r="D271" s="1"/>
      <c r="E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1"/>
      <c r="B272" s="1"/>
      <c r="C272" s="1"/>
      <c r="D272" s="1"/>
      <c r="E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1"/>
      <c r="B273" s="1"/>
      <c r="C273" s="1"/>
      <c r="D273" s="1"/>
      <c r="E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1"/>
      <c r="B274" s="1"/>
      <c r="C274" s="1"/>
      <c r="D274" s="1"/>
      <c r="E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1"/>
      <c r="B275" s="1"/>
      <c r="C275" s="1"/>
      <c r="D275" s="1"/>
      <c r="E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1"/>
      <c r="B276" s="1"/>
      <c r="C276" s="1"/>
      <c r="D276" s="1"/>
      <c r="E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1"/>
      <c r="B277" s="1"/>
      <c r="C277" s="1"/>
      <c r="D277" s="1"/>
      <c r="E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1"/>
      <c r="B278" s="1"/>
      <c r="C278" s="1"/>
      <c r="D278" s="1"/>
      <c r="E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1"/>
      <c r="B279" s="1"/>
      <c r="C279" s="1"/>
      <c r="D279" s="1"/>
      <c r="E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1"/>
      <c r="B280" s="1"/>
      <c r="C280" s="1"/>
      <c r="D280" s="1"/>
      <c r="E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1"/>
      <c r="B281" s="1"/>
      <c r="C281" s="1"/>
      <c r="D281" s="1"/>
      <c r="E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1"/>
      <c r="B282" s="1"/>
      <c r="C282" s="1"/>
      <c r="D282" s="1"/>
      <c r="E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1"/>
      <c r="B283" s="1"/>
      <c r="C283" s="1"/>
      <c r="D283" s="1"/>
      <c r="E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1"/>
      <c r="B284" s="1"/>
      <c r="C284" s="1"/>
      <c r="D284" s="1"/>
      <c r="E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1"/>
      <c r="B285" s="1"/>
      <c r="C285" s="1"/>
      <c r="D285" s="1"/>
      <c r="E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1"/>
      <c r="B286" s="1"/>
      <c r="C286" s="1"/>
      <c r="D286" s="1"/>
      <c r="E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1"/>
      <c r="B287" s="1"/>
      <c r="C287" s="1"/>
      <c r="D287" s="1"/>
      <c r="E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1"/>
      <c r="B288" s="1"/>
      <c r="C288" s="1"/>
      <c r="D288" s="1"/>
      <c r="E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1"/>
      <c r="B289" s="1"/>
      <c r="C289" s="1"/>
      <c r="D289" s="1"/>
      <c r="E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1"/>
      <c r="B290" s="1"/>
      <c r="C290" s="1"/>
      <c r="D290" s="1"/>
      <c r="E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1"/>
      <c r="B291" s="1"/>
      <c r="C291" s="1"/>
      <c r="D291" s="1"/>
      <c r="E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1"/>
      <c r="B292" s="1"/>
      <c r="C292" s="1"/>
      <c r="D292" s="1"/>
      <c r="E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1"/>
      <c r="B293" s="1"/>
      <c r="C293" s="1"/>
      <c r="D293" s="1"/>
      <c r="E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1"/>
      <c r="B294" s="1"/>
      <c r="C294" s="1"/>
      <c r="D294" s="1"/>
      <c r="E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1"/>
      <c r="B295" s="1"/>
      <c r="C295" s="1"/>
      <c r="D295" s="1"/>
      <c r="E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1"/>
      <c r="B296" s="1"/>
      <c r="C296" s="1"/>
      <c r="D296" s="1"/>
      <c r="E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1"/>
      <c r="B297" s="1"/>
      <c r="C297" s="1"/>
      <c r="D297" s="1"/>
      <c r="E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1"/>
      <c r="B298" s="1"/>
      <c r="C298" s="1"/>
      <c r="D298" s="1"/>
      <c r="E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1"/>
      <c r="B299" s="1"/>
      <c r="C299" s="1"/>
      <c r="D299" s="1"/>
      <c r="E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1"/>
      <c r="B300" s="1"/>
      <c r="C300" s="1"/>
      <c r="D300" s="1"/>
      <c r="E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1"/>
      <c r="B301" s="1"/>
      <c r="C301" s="1"/>
      <c r="D301" s="1"/>
      <c r="E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1"/>
      <c r="B302" s="1"/>
      <c r="C302" s="1"/>
      <c r="D302" s="1"/>
      <c r="E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1"/>
      <c r="B303" s="1"/>
      <c r="C303" s="1"/>
      <c r="D303" s="1"/>
      <c r="E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1"/>
      <c r="B304" s="1"/>
      <c r="C304" s="1"/>
      <c r="D304" s="1"/>
      <c r="E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1"/>
      <c r="B305" s="1"/>
      <c r="C305" s="1"/>
      <c r="D305" s="1"/>
      <c r="E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1"/>
      <c r="B306" s="1"/>
      <c r="C306" s="1"/>
      <c r="D306" s="1"/>
      <c r="E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1"/>
      <c r="B307" s="1"/>
      <c r="C307" s="1"/>
      <c r="D307" s="1"/>
      <c r="E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1"/>
      <c r="B308" s="1"/>
      <c r="C308" s="1"/>
      <c r="D308" s="1"/>
      <c r="E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1"/>
      <c r="B309" s="1"/>
      <c r="C309" s="1"/>
      <c r="D309" s="1"/>
      <c r="E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1"/>
      <c r="B310" s="1"/>
      <c r="C310" s="1"/>
      <c r="D310" s="1"/>
      <c r="E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1"/>
      <c r="B311" s="1"/>
      <c r="C311" s="1"/>
      <c r="D311" s="1"/>
      <c r="E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1"/>
      <c r="B312" s="1"/>
      <c r="C312" s="1"/>
      <c r="D312" s="1"/>
      <c r="E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1"/>
      <c r="B313" s="1"/>
      <c r="C313" s="1"/>
      <c r="D313" s="1"/>
      <c r="E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1"/>
      <c r="B314" s="1"/>
      <c r="C314" s="1"/>
      <c r="D314" s="1"/>
      <c r="E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1"/>
      <c r="B315" s="1"/>
      <c r="C315" s="1"/>
      <c r="D315" s="1"/>
      <c r="E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1"/>
      <c r="B316" s="1"/>
      <c r="C316" s="1"/>
      <c r="D316" s="1"/>
      <c r="E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1"/>
      <c r="B317" s="1"/>
      <c r="C317" s="1"/>
      <c r="D317" s="1"/>
      <c r="E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1"/>
      <c r="B318" s="1"/>
      <c r="C318" s="1"/>
      <c r="D318" s="1"/>
      <c r="E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1"/>
      <c r="B319" s="1"/>
      <c r="C319" s="1"/>
      <c r="D319" s="1"/>
      <c r="E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1"/>
      <c r="B320" s="1"/>
      <c r="C320" s="1"/>
      <c r="D320" s="1"/>
      <c r="E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1"/>
      <c r="B321" s="1"/>
      <c r="C321" s="1"/>
      <c r="D321" s="1"/>
      <c r="E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1"/>
      <c r="B322" s="1"/>
      <c r="C322" s="1"/>
      <c r="D322" s="1"/>
      <c r="E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1"/>
      <c r="B323" s="1"/>
      <c r="C323" s="1"/>
      <c r="D323" s="1"/>
      <c r="E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1"/>
      <c r="B324" s="1"/>
      <c r="C324" s="1"/>
      <c r="D324" s="1"/>
      <c r="E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1"/>
      <c r="B325" s="1"/>
      <c r="C325" s="1"/>
      <c r="D325" s="1"/>
      <c r="E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1"/>
      <c r="B326" s="1"/>
      <c r="C326" s="1"/>
      <c r="D326" s="1"/>
      <c r="E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1"/>
      <c r="B327" s="1"/>
      <c r="C327" s="1"/>
      <c r="D327" s="1"/>
      <c r="E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1"/>
      <c r="B328" s="1"/>
      <c r="C328" s="1"/>
      <c r="D328" s="1"/>
      <c r="E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1"/>
      <c r="B329" s="1"/>
      <c r="C329" s="1"/>
      <c r="D329" s="1"/>
      <c r="E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1"/>
      <c r="B330" s="1"/>
      <c r="C330" s="1"/>
      <c r="D330" s="1"/>
      <c r="E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1"/>
      <c r="B331" s="1"/>
      <c r="C331" s="1"/>
      <c r="D331" s="1"/>
      <c r="E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1"/>
      <c r="B332" s="1"/>
      <c r="C332" s="1"/>
      <c r="D332" s="1"/>
      <c r="E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1"/>
      <c r="B333" s="1"/>
      <c r="C333" s="1"/>
      <c r="D333" s="1"/>
      <c r="E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1"/>
      <c r="B334" s="1"/>
      <c r="C334" s="1"/>
      <c r="D334" s="1"/>
      <c r="E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1"/>
      <c r="B335" s="1"/>
      <c r="C335" s="1"/>
      <c r="D335" s="1"/>
      <c r="E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1"/>
      <c r="B336" s="1"/>
      <c r="C336" s="1"/>
      <c r="D336" s="1"/>
      <c r="E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1"/>
      <c r="B337" s="1"/>
      <c r="C337" s="1"/>
      <c r="D337" s="1"/>
      <c r="E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1"/>
      <c r="B338" s="1"/>
      <c r="C338" s="1"/>
      <c r="D338" s="1"/>
      <c r="E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1"/>
      <c r="B339" s="1"/>
      <c r="C339" s="1"/>
      <c r="D339" s="1"/>
      <c r="E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1"/>
      <c r="B340" s="1"/>
      <c r="C340" s="1"/>
      <c r="D340" s="1"/>
      <c r="E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1"/>
      <c r="B341" s="1"/>
      <c r="C341" s="1"/>
      <c r="D341" s="1"/>
      <c r="E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1"/>
      <c r="B342" s="1"/>
      <c r="C342" s="1"/>
      <c r="D342" s="1"/>
      <c r="E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1"/>
      <c r="B343" s="1"/>
      <c r="C343" s="1"/>
      <c r="D343" s="1"/>
      <c r="E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1"/>
      <c r="B344" s="1"/>
      <c r="C344" s="1"/>
      <c r="D344" s="1"/>
      <c r="E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1"/>
      <c r="B345" s="1"/>
      <c r="C345" s="1"/>
      <c r="D345" s="1"/>
      <c r="E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1"/>
      <c r="B346" s="1"/>
      <c r="C346" s="1"/>
      <c r="D346" s="1"/>
      <c r="E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1"/>
      <c r="B347" s="1"/>
      <c r="C347" s="1"/>
      <c r="D347" s="1"/>
      <c r="E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1"/>
      <c r="B348" s="1"/>
      <c r="C348" s="1"/>
      <c r="D348" s="1"/>
      <c r="E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1"/>
      <c r="B349" s="1"/>
      <c r="C349" s="1"/>
      <c r="D349" s="1"/>
      <c r="E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1"/>
      <c r="B350" s="1"/>
      <c r="C350" s="1"/>
      <c r="D350" s="1"/>
      <c r="E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1"/>
      <c r="B351" s="1"/>
      <c r="C351" s="1"/>
      <c r="D351" s="1"/>
      <c r="E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1"/>
      <c r="B352" s="1"/>
      <c r="C352" s="1"/>
      <c r="D352" s="1"/>
      <c r="E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1"/>
      <c r="B353" s="1"/>
      <c r="C353" s="1"/>
      <c r="D353" s="1"/>
      <c r="E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1"/>
      <c r="B354" s="1"/>
      <c r="C354" s="1"/>
      <c r="D354" s="1"/>
      <c r="E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1"/>
      <c r="B355" s="1"/>
      <c r="C355" s="1"/>
      <c r="D355" s="1"/>
      <c r="E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1"/>
      <c r="B356" s="1"/>
      <c r="C356" s="1"/>
      <c r="D356" s="1"/>
      <c r="E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1"/>
      <c r="B357" s="1"/>
      <c r="C357" s="1"/>
      <c r="D357" s="1"/>
      <c r="E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1"/>
      <c r="B358" s="1"/>
      <c r="C358" s="1"/>
      <c r="D358" s="1"/>
      <c r="E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1"/>
      <c r="B359" s="1"/>
      <c r="C359" s="1"/>
      <c r="D359" s="1"/>
      <c r="E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1"/>
      <c r="B360" s="1"/>
      <c r="C360" s="1"/>
      <c r="D360" s="1"/>
      <c r="E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1"/>
      <c r="B361" s="1"/>
      <c r="C361" s="1"/>
      <c r="D361" s="1"/>
      <c r="E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1"/>
      <c r="B362" s="1"/>
      <c r="C362" s="1"/>
      <c r="D362" s="1"/>
      <c r="E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1"/>
      <c r="B363" s="1"/>
      <c r="C363" s="1"/>
      <c r="D363" s="1"/>
      <c r="E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1"/>
      <c r="B364" s="1"/>
      <c r="C364" s="1"/>
      <c r="D364" s="1"/>
      <c r="E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1"/>
      <c r="B365" s="1"/>
      <c r="C365" s="1"/>
      <c r="D365" s="1"/>
      <c r="E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1"/>
      <c r="B366" s="1"/>
      <c r="C366" s="1"/>
      <c r="D366" s="1"/>
      <c r="E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1"/>
      <c r="B367" s="1"/>
      <c r="C367" s="1"/>
      <c r="D367" s="1"/>
      <c r="E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1"/>
      <c r="B368" s="1"/>
      <c r="C368" s="1"/>
      <c r="D368" s="1"/>
      <c r="E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1"/>
      <c r="B369" s="1"/>
      <c r="C369" s="1"/>
      <c r="D369" s="1"/>
      <c r="E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1"/>
      <c r="B370" s="1"/>
      <c r="C370" s="1"/>
      <c r="D370" s="1"/>
      <c r="E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1"/>
      <c r="B371" s="1"/>
      <c r="C371" s="1"/>
      <c r="D371" s="1"/>
      <c r="E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1"/>
      <c r="B372" s="1"/>
      <c r="C372" s="1"/>
      <c r="D372" s="1"/>
      <c r="E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1"/>
      <c r="B373" s="1"/>
      <c r="C373" s="1"/>
      <c r="D373" s="1"/>
      <c r="E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1"/>
      <c r="B374" s="1"/>
      <c r="C374" s="1"/>
      <c r="D374" s="1"/>
      <c r="E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1"/>
      <c r="B375" s="1"/>
      <c r="C375" s="1"/>
      <c r="D375" s="1"/>
      <c r="E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1"/>
      <c r="B376" s="1"/>
      <c r="C376" s="1"/>
      <c r="D376" s="1"/>
      <c r="E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1"/>
      <c r="B377" s="1"/>
      <c r="C377" s="1"/>
      <c r="D377" s="1"/>
      <c r="E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1"/>
      <c r="B378" s="1"/>
      <c r="C378" s="1"/>
      <c r="D378" s="1"/>
      <c r="E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1"/>
      <c r="B379" s="1"/>
      <c r="C379" s="1"/>
      <c r="D379" s="1"/>
      <c r="E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1"/>
      <c r="B380" s="1"/>
      <c r="C380" s="1"/>
      <c r="D380" s="1"/>
      <c r="E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1"/>
      <c r="B381" s="1"/>
      <c r="C381" s="1"/>
      <c r="D381" s="1"/>
      <c r="E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1"/>
      <c r="B382" s="1"/>
      <c r="C382" s="1"/>
      <c r="D382" s="1"/>
      <c r="E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1"/>
      <c r="B383" s="1"/>
      <c r="C383" s="1"/>
      <c r="D383" s="1"/>
      <c r="E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1"/>
      <c r="B384" s="1"/>
      <c r="C384" s="1"/>
      <c r="D384" s="1"/>
      <c r="E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1"/>
      <c r="B385" s="1"/>
      <c r="C385" s="1"/>
      <c r="D385" s="1"/>
      <c r="E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1"/>
      <c r="B386" s="1"/>
      <c r="C386" s="1"/>
      <c r="D386" s="1"/>
      <c r="E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1"/>
      <c r="B387" s="1"/>
      <c r="C387" s="1"/>
      <c r="D387" s="1"/>
      <c r="E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1"/>
      <c r="B388" s="1"/>
      <c r="C388" s="1"/>
      <c r="D388" s="1"/>
      <c r="E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1"/>
      <c r="B389" s="1"/>
      <c r="C389" s="1"/>
      <c r="D389" s="1"/>
      <c r="E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1"/>
      <c r="B390" s="1"/>
      <c r="C390" s="1"/>
      <c r="D390" s="1"/>
      <c r="E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1"/>
      <c r="B391" s="1"/>
      <c r="C391" s="1"/>
      <c r="D391" s="1"/>
      <c r="E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1"/>
      <c r="B392" s="1"/>
      <c r="C392" s="1"/>
      <c r="D392" s="1"/>
      <c r="E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1"/>
      <c r="B393" s="1"/>
      <c r="C393" s="1"/>
      <c r="D393" s="1"/>
      <c r="E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1"/>
      <c r="B394" s="1"/>
      <c r="C394" s="1"/>
      <c r="D394" s="1"/>
      <c r="E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1"/>
      <c r="B395" s="1"/>
      <c r="C395" s="1"/>
      <c r="D395" s="1"/>
      <c r="E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1"/>
      <c r="B396" s="1"/>
      <c r="C396" s="1"/>
      <c r="D396" s="1"/>
      <c r="E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1"/>
      <c r="B397" s="1"/>
      <c r="C397" s="1"/>
      <c r="D397" s="1"/>
      <c r="E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1"/>
      <c r="B398" s="1"/>
      <c r="C398" s="1"/>
      <c r="D398" s="1"/>
      <c r="E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1"/>
      <c r="B399" s="1"/>
      <c r="C399" s="1"/>
      <c r="D399" s="1"/>
      <c r="E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1"/>
      <c r="B400" s="1"/>
      <c r="C400" s="1"/>
      <c r="D400" s="1"/>
      <c r="E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1"/>
      <c r="B401" s="1"/>
      <c r="C401" s="1"/>
      <c r="D401" s="1"/>
      <c r="E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1"/>
      <c r="B402" s="1"/>
      <c r="C402" s="1"/>
      <c r="D402" s="1"/>
      <c r="E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1"/>
      <c r="B403" s="1"/>
      <c r="C403" s="1"/>
      <c r="D403" s="1"/>
      <c r="E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1"/>
      <c r="B404" s="1"/>
      <c r="C404" s="1"/>
      <c r="D404" s="1"/>
      <c r="E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1"/>
      <c r="B405" s="1"/>
      <c r="C405" s="1"/>
      <c r="D405" s="1"/>
      <c r="E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1"/>
      <c r="B406" s="1"/>
      <c r="C406" s="1"/>
      <c r="D406" s="1"/>
      <c r="E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1"/>
      <c r="B407" s="1"/>
      <c r="C407" s="1"/>
      <c r="D407" s="1"/>
      <c r="E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1"/>
      <c r="B408" s="1"/>
      <c r="C408" s="1"/>
      <c r="D408" s="1"/>
      <c r="E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1"/>
      <c r="B409" s="1"/>
      <c r="C409" s="1"/>
      <c r="D409" s="1"/>
      <c r="E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1"/>
      <c r="B410" s="1"/>
      <c r="C410" s="1"/>
      <c r="D410" s="1"/>
      <c r="E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1"/>
      <c r="B411" s="1"/>
      <c r="C411" s="1"/>
      <c r="D411" s="1"/>
      <c r="E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1"/>
      <c r="B412" s="1"/>
      <c r="C412" s="1"/>
      <c r="D412" s="1"/>
      <c r="E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1"/>
      <c r="B413" s="1"/>
      <c r="C413" s="1"/>
      <c r="D413" s="1"/>
      <c r="E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1"/>
      <c r="B414" s="1"/>
      <c r="C414" s="1"/>
      <c r="D414" s="1"/>
      <c r="E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1"/>
      <c r="B415" s="1"/>
      <c r="C415" s="1"/>
      <c r="D415" s="1"/>
      <c r="E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1"/>
      <c r="B416" s="1"/>
      <c r="C416" s="1"/>
      <c r="D416" s="1"/>
      <c r="E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1"/>
      <c r="B417" s="1"/>
      <c r="C417" s="1"/>
      <c r="D417" s="1"/>
      <c r="E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1"/>
      <c r="B418" s="1"/>
      <c r="C418" s="1"/>
      <c r="D418" s="1"/>
      <c r="E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1"/>
      <c r="B419" s="1"/>
      <c r="C419" s="1"/>
      <c r="D419" s="1"/>
      <c r="E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1"/>
      <c r="B420" s="1"/>
      <c r="C420" s="1"/>
      <c r="D420" s="1"/>
      <c r="E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1"/>
      <c r="B421" s="1"/>
      <c r="C421" s="1"/>
      <c r="D421" s="1"/>
      <c r="E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1"/>
      <c r="B422" s="1"/>
      <c r="C422" s="1"/>
      <c r="D422" s="1"/>
      <c r="E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1"/>
      <c r="B423" s="1"/>
      <c r="C423" s="1"/>
      <c r="D423" s="1"/>
      <c r="E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1"/>
      <c r="B424" s="1"/>
      <c r="C424" s="1"/>
      <c r="D424" s="1"/>
      <c r="E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1"/>
      <c r="B425" s="1"/>
      <c r="C425" s="1"/>
      <c r="D425" s="1"/>
      <c r="E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1"/>
      <c r="B426" s="1"/>
      <c r="C426" s="1"/>
      <c r="D426" s="1"/>
      <c r="E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1"/>
      <c r="B427" s="1"/>
      <c r="C427" s="1"/>
      <c r="D427" s="1"/>
      <c r="E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1"/>
      <c r="B428" s="1"/>
      <c r="C428" s="1"/>
      <c r="D428" s="1"/>
      <c r="E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1"/>
      <c r="B429" s="1"/>
      <c r="C429" s="1"/>
      <c r="D429" s="1"/>
      <c r="E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1"/>
      <c r="B430" s="1"/>
      <c r="C430" s="1"/>
      <c r="D430" s="1"/>
      <c r="E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1"/>
      <c r="B431" s="1"/>
      <c r="C431" s="1"/>
      <c r="D431" s="1"/>
      <c r="E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1"/>
      <c r="B432" s="1"/>
      <c r="C432" s="1"/>
      <c r="D432" s="1"/>
      <c r="E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1"/>
      <c r="B433" s="1"/>
      <c r="C433" s="1"/>
      <c r="D433" s="1"/>
      <c r="E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1"/>
      <c r="B434" s="1"/>
      <c r="C434" s="1"/>
      <c r="D434" s="1"/>
      <c r="E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1"/>
      <c r="B435" s="1"/>
      <c r="C435" s="1"/>
      <c r="D435" s="1"/>
      <c r="E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1"/>
      <c r="B436" s="1"/>
      <c r="C436" s="1"/>
      <c r="D436" s="1"/>
      <c r="E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1"/>
      <c r="B437" s="1"/>
      <c r="C437" s="1"/>
      <c r="D437" s="1"/>
      <c r="E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1"/>
      <c r="B438" s="1"/>
      <c r="C438" s="1"/>
      <c r="D438" s="1"/>
      <c r="E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1"/>
      <c r="B439" s="1"/>
      <c r="C439" s="1"/>
      <c r="D439" s="1"/>
      <c r="E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1"/>
      <c r="B440" s="1"/>
      <c r="C440" s="1"/>
      <c r="D440" s="1"/>
      <c r="E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1"/>
      <c r="B441" s="1"/>
      <c r="C441" s="1"/>
      <c r="D441" s="1"/>
      <c r="E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1"/>
      <c r="B442" s="1"/>
      <c r="C442" s="1"/>
      <c r="D442" s="1"/>
      <c r="E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1"/>
      <c r="B443" s="1"/>
      <c r="C443" s="1"/>
      <c r="D443" s="1"/>
      <c r="E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1"/>
      <c r="B444" s="1"/>
      <c r="C444" s="1"/>
      <c r="D444" s="1"/>
      <c r="E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1"/>
      <c r="B445" s="1"/>
      <c r="C445" s="1"/>
      <c r="D445" s="1"/>
      <c r="E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1"/>
      <c r="B446" s="1"/>
      <c r="C446" s="1"/>
      <c r="D446" s="1"/>
      <c r="E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1"/>
      <c r="B447" s="1"/>
      <c r="C447" s="1"/>
      <c r="D447" s="1"/>
      <c r="E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1"/>
      <c r="B448" s="1"/>
      <c r="C448" s="1"/>
      <c r="D448" s="1"/>
      <c r="E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1"/>
      <c r="B449" s="1"/>
      <c r="C449" s="1"/>
      <c r="D449" s="1"/>
      <c r="E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1"/>
      <c r="B450" s="1"/>
      <c r="C450" s="1"/>
      <c r="D450" s="1"/>
      <c r="E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1"/>
      <c r="B451" s="1"/>
      <c r="C451" s="1"/>
      <c r="D451" s="1"/>
      <c r="E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1"/>
      <c r="B452" s="1"/>
      <c r="C452" s="1"/>
      <c r="D452" s="1"/>
      <c r="E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1"/>
      <c r="B453" s="1"/>
      <c r="C453" s="1"/>
      <c r="D453" s="1"/>
      <c r="E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1"/>
      <c r="B454" s="1"/>
      <c r="C454" s="1"/>
      <c r="D454" s="1"/>
      <c r="E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1"/>
      <c r="B455" s="1"/>
      <c r="C455" s="1"/>
      <c r="D455" s="1"/>
      <c r="E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1"/>
      <c r="B456" s="1"/>
      <c r="C456" s="1"/>
      <c r="D456" s="1"/>
      <c r="E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1"/>
      <c r="B457" s="1"/>
      <c r="C457" s="1"/>
      <c r="D457" s="1"/>
      <c r="E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1"/>
      <c r="B458" s="1"/>
      <c r="C458" s="1"/>
      <c r="D458" s="1"/>
      <c r="E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1"/>
      <c r="B459" s="1"/>
      <c r="C459" s="1"/>
      <c r="D459" s="1"/>
      <c r="E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1"/>
      <c r="B460" s="1"/>
      <c r="C460" s="1"/>
      <c r="D460" s="1"/>
      <c r="E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1"/>
      <c r="B461" s="1"/>
      <c r="C461" s="1"/>
      <c r="D461" s="1"/>
      <c r="E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1"/>
      <c r="B462" s="1"/>
      <c r="C462" s="1"/>
      <c r="D462" s="1"/>
      <c r="E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1"/>
      <c r="B463" s="1"/>
      <c r="C463" s="1"/>
      <c r="D463" s="1"/>
      <c r="E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1"/>
      <c r="B464" s="1"/>
      <c r="C464" s="1"/>
      <c r="D464" s="1"/>
      <c r="E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1"/>
      <c r="B465" s="1"/>
      <c r="C465" s="1"/>
      <c r="D465" s="1"/>
      <c r="E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1"/>
      <c r="B466" s="1"/>
      <c r="C466" s="1"/>
      <c r="D466" s="1"/>
      <c r="E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1"/>
      <c r="B467" s="1"/>
      <c r="C467" s="1"/>
      <c r="D467" s="1"/>
      <c r="E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1"/>
      <c r="B468" s="1"/>
      <c r="C468" s="1"/>
      <c r="D468" s="1"/>
      <c r="E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1"/>
      <c r="B469" s="1"/>
      <c r="C469" s="1"/>
      <c r="D469" s="1"/>
      <c r="E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1"/>
      <c r="B470" s="1"/>
      <c r="C470" s="1"/>
      <c r="D470" s="1"/>
      <c r="E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1"/>
      <c r="B471" s="1"/>
      <c r="C471" s="1"/>
      <c r="D471" s="1"/>
      <c r="E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1"/>
      <c r="B472" s="1"/>
      <c r="C472" s="1"/>
      <c r="D472" s="1"/>
      <c r="E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1"/>
      <c r="B473" s="1"/>
      <c r="C473" s="1"/>
      <c r="D473" s="1"/>
      <c r="E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1"/>
      <c r="B474" s="1"/>
      <c r="C474" s="1"/>
      <c r="D474" s="1"/>
      <c r="E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1"/>
      <c r="B475" s="1"/>
      <c r="C475" s="1"/>
      <c r="D475" s="1"/>
      <c r="E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1"/>
      <c r="B476" s="1"/>
      <c r="C476" s="1"/>
      <c r="D476" s="1"/>
      <c r="E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1"/>
      <c r="B477" s="1"/>
      <c r="C477" s="1"/>
      <c r="D477" s="1"/>
      <c r="E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1"/>
      <c r="B478" s="1"/>
      <c r="C478" s="1"/>
      <c r="D478" s="1"/>
      <c r="E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1"/>
      <c r="B479" s="1"/>
      <c r="C479" s="1"/>
      <c r="D479" s="1"/>
      <c r="E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1"/>
      <c r="B480" s="1"/>
      <c r="C480" s="1"/>
      <c r="D480" s="1"/>
      <c r="E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1"/>
      <c r="B481" s="1"/>
      <c r="C481" s="1"/>
      <c r="D481" s="1"/>
      <c r="E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1"/>
      <c r="B482" s="1"/>
      <c r="C482" s="1"/>
      <c r="D482" s="1"/>
      <c r="E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1"/>
      <c r="B483" s="1"/>
      <c r="C483" s="1"/>
      <c r="D483" s="1"/>
      <c r="E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1"/>
      <c r="B484" s="1"/>
      <c r="C484" s="1"/>
      <c r="D484" s="1"/>
      <c r="E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1"/>
      <c r="B485" s="1"/>
      <c r="C485" s="1"/>
      <c r="D485" s="1"/>
      <c r="E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1"/>
      <c r="B486" s="1"/>
      <c r="C486" s="1"/>
      <c r="D486" s="1"/>
      <c r="E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1"/>
      <c r="B487" s="1"/>
      <c r="C487" s="1"/>
      <c r="D487" s="1"/>
      <c r="E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1"/>
      <c r="B488" s="1"/>
      <c r="C488" s="1"/>
      <c r="D488" s="1"/>
      <c r="E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1"/>
      <c r="B489" s="1"/>
      <c r="C489" s="1"/>
      <c r="D489" s="1"/>
      <c r="E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1"/>
      <c r="B490" s="1"/>
      <c r="C490" s="1"/>
      <c r="D490" s="1"/>
      <c r="E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1"/>
      <c r="B491" s="1"/>
      <c r="C491" s="1"/>
      <c r="D491" s="1"/>
      <c r="E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1"/>
      <c r="B492" s="1"/>
      <c r="C492" s="1"/>
      <c r="D492" s="1"/>
      <c r="E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1"/>
      <c r="B493" s="1"/>
      <c r="C493" s="1"/>
      <c r="D493" s="1"/>
      <c r="E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1"/>
      <c r="B494" s="1"/>
      <c r="C494" s="1"/>
      <c r="D494" s="1"/>
      <c r="E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1"/>
      <c r="B495" s="1"/>
      <c r="C495" s="1"/>
      <c r="D495" s="1"/>
      <c r="E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1"/>
      <c r="B496" s="1"/>
      <c r="C496" s="1"/>
      <c r="D496" s="1"/>
      <c r="E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1"/>
      <c r="B497" s="1"/>
      <c r="C497" s="1"/>
      <c r="D497" s="1"/>
      <c r="E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1"/>
      <c r="B498" s="1"/>
      <c r="C498" s="1"/>
      <c r="D498" s="1"/>
      <c r="E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1"/>
      <c r="B499" s="1"/>
      <c r="C499" s="1"/>
      <c r="D499" s="1"/>
      <c r="E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1"/>
      <c r="B500" s="1"/>
      <c r="C500" s="1"/>
      <c r="D500" s="1"/>
      <c r="E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1"/>
      <c r="B501" s="1"/>
      <c r="C501" s="1"/>
      <c r="D501" s="1"/>
      <c r="E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1"/>
      <c r="B502" s="1"/>
      <c r="C502" s="1"/>
      <c r="D502" s="1"/>
      <c r="E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1"/>
      <c r="B503" s="1"/>
      <c r="C503" s="1"/>
      <c r="D503" s="1"/>
      <c r="E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1"/>
      <c r="B504" s="1"/>
      <c r="C504" s="1"/>
      <c r="D504" s="1"/>
      <c r="E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1"/>
      <c r="B505" s="1"/>
      <c r="C505" s="1"/>
      <c r="D505" s="1"/>
      <c r="E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1"/>
      <c r="B506" s="1"/>
      <c r="C506" s="1"/>
      <c r="D506" s="1"/>
      <c r="E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1"/>
      <c r="B507" s="1"/>
      <c r="C507" s="1"/>
      <c r="D507" s="1"/>
      <c r="E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1"/>
      <c r="B508" s="1"/>
      <c r="C508" s="1"/>
      <c r="D508" s="1"/>
      <c r="E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1"/>
      <c r="B509" s="1"/>
      <c r="C509" s="1"/>
      <c r="D509" s="1"/>
      <c r="E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1"/>
      <c r="B510" s="1"/>
      <c r="C510" s="1"/>
      <c r="D510" s="1"/>
      <c r="E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1"/>
      <c r="B511" s="1"/>
      <c r="C511" s="1"/>
      <c r="D511" s="1"/>
      <c r="E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1"/>
      <c r="B512" s="1"/>
      <c r="C512" s="1"/>
      <c r="D512" s="1"/>
      <c r="E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1"/>
      <c r="B513" s="1"/>
      <c r="C513" s="1"/>
      <c r="D513" s="1"/>
      <c r="E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1"/>
      <c r="B514" s="1"/>
      <c r="C514" s="1"/>
      <c r="D514" s="1"/>
      <c r="E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1"/>
      <c r="B515" s="1"/>
      <c r="C515" s="1"/>
      <c r="D515" s="1"/>
      <c r="E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1"/>
      <c r="B516" s="1"/>
      <c r="C516" s="1"/>
      <c r="D516" s="1"/>
      <c r="E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1"/>
      <c r="B517" s="1"/>
      <c r="C517" s="1"/>
      <c r="D517" s="1"/>
      <c r="E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1"/>
      <c r="B518" s="1"/>
      <c r="C518" s="1"/>
      <c r="D518" s="1"/>
      <c r="E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1"/>
      <c r="B519" s="1"/>
      <c r="C519" s="1"/>
      <c r="D519" s="1"/>
      <c r="E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1"/>
      <c r="B520" s="1"/>
      <c r="C520" s="1"/>
      <c r="D520" s="1"/>
      <c r="E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1"/>
      <c r="B521" s="1"/>
      <c r="C521" s="1"/>
      <c r="D521" s="1"/>
      <c r="E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1"/>
      <c r="B522" s="1"/>
      <c r="C522" s="1"/>
      <c r="D522" s="1"/>
      <c r="E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1"/>
      <c r="B523" s="1"/>
      <c r="C523" s="1"/>
      <c r="D523" s="1"/>
      <c r="E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1"/>
      <c r="B524" s="1"/>
      <c r="C524" s="1"/>
      <c r="D524" s="1"/>
      <c r="E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1"/>
      <c r="B525" s="1"/>
      <c r="C525" s="1"/>
      <c r="D525" s="1"/>
      <c r="E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1"/>
      <c r="B526" s="1"/>
      <c r="C526" s="1"/>
      <c r="D526" s="1"/>
      <c r="E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1"/>
      <c r="B527" s="1"/>
      <c r="C527" s="1"/>
      <c r="D527" s="1"/>
      <c r="E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1"/>
      <c r="B528" s="1"/>
      <c r="C528" s="1"/>
      <c r="D528" s="1"/>
      <c r="E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1"/>
      <c r="B529" s="1"/>
      <c r="C529" s="1"/>
      <c r="D529" s="1"/>
      <c r="E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1"/>
      <c r="B530" s="1"/>
      <c r="C530" s="1"/>
      <c r="D530" s="1"/>
      <c r="E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1"/>
      <c r="B531" s="1"/>
      <c r="C531" s="1"/>
      <c r="D531" s="1"/>
      <c r="E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1"/>
      <c r="B532" s="1"/>
      <c r="C532" s="1"/>
      <c r="D532" s="1"/>
      <c r="E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1"/>
      <c r="B533" s="1"/>
      <c r="C533" s="1"/>
      <c r="D533" s="1"/>
      <c r="E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1"/>
      <c r="B534" s="1"/>
      <c r="C534" s="1"/>
      <c r="D534" s="1"/>
      <c r="E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1"/>
      <c r="B535" s="1"/>
      <c r="C535" s="1"/>
      <c r="D535" s="1"/>
      <c r="E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1"/>
      <c r="B536" s="1"/>
      <c r="C536" s="1"/>
      <c r="D536" s="1"/>
      <c r="E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1"/>
      <c r="B537" s="1"/>
      <c r="C537" s="1"/>
      <c r="D537" s="1"/>
      <c r="E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1"/>
      <c r="B538" s="1"/>
      <c r="C538" s="1"/>
      <c r="D538" s="1"/>
      <c r="E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1"/>
      <c r="B539" s="1"/>
      <c r="C539" s="1"/>
      <c r="D539" s="1"/>
      <c r="E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1"/>
      <c r="B540" s="1"/>
      <c r="C540" s="1"/>
      <c r="D540" s="1"/>
      <c r="E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1"/>
      <c r="B541" s="1"/>
      <c r="C541" s="1"/>
      <c r="D541" s="1"/>
      <c r="E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1"/>
      <c r="B542" s="1"/>
      <c r="C542" s="1"/>
      <c r="D542" s="1"/>
      <c r="E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1"/>
      <c r="B543" s="1"/>
      <c r="C543" s="1"/>
      <c r="D543" s="1"/>
      <c r="E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1"/>
      <c r="B544" s="1"/>
      <c r="C544" s="1"/>
      <c r="D544" s="1"/>
      <c r="E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1"/>
      <c r="B545" s="1"/>
      <c r="C545" s="1"/>
      <c r="D545" s="1"/>
      <c r="E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1"/>
      <c r="B546" s="1"/>
      <c r="C546" s="1"/>
      <c r="D546" s="1"/>
      <c r="E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1"/>
      <c r="B547" s="1"/>
      <c r="C547" s="1"/>
      <c r="D547" s="1"/>
      <c r="E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1"/>
      <c r="B548" s="1"/>
      <c r="C548" s="1"/>
      <c r="D548" s="1"/>
      <c r="E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1"/>
      <c r="B549" s="1"/>
      <c r="C549" s="1"/>
      <c r="D549" s="1"/>
      <c r="E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1"/>
      <c r="B550" s="1"/>
      <c r="C550" s="1"/>
      <c r="D550" s="1"/>
      <c r="E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1"/>
      <c r="B551" s="1"/>
      <c r="C551" s="1"/>
      <c r="D551" s="1"/>
      <c r="E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1"/>
      <c r="B552" s="1"/>
      <c r="C552" s="1"/>
      <c r="D552" s="1"/>
      <c r="E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1"/>
      <c r="B553" s="1"/>
      <c r="C553" s="1"/>
      <c r="D553" s="1"/>
      <c r="E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1"/>
      <c r="B554" s="1"/>
      <c r="C554" s="1"/>
      <c r="D554" s="1"/>
      <c r="E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1"/>
      <c r="B555" s="1"/>
      <c r="C555" s="1"/>
      <c r="D555" s="1"/>
      <c r="E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1"/>
      <c r="B556" s="1"/>
      <c r="C556" s="1"/>
      <c r="D556" s="1"/>
      <c r="E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1"/>
      <c r="B557" s="1"/>
      <c r="C557" s="1"/>
      <c r="D557" s="1"/>
      <c r="E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1"/>
      <c r="B558" s="1"/>
      <c r="C558" s="1"/>
      <c r="D558" s="1"/>
      <c r="E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1"/>
      <c r="B559" s="1"/>
      <c r="C559" s="1"/>
      <c r="D559" s="1"/>
      <c r="E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1"/>
      <c r="B560" s="1"/>
      <c r="C560" s="1"/>
      <c r="D560" s="1"/>
      <c r="E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1"/>
      <c r="B561" s="1"/>
      <c r="C561" s="1"/>
      <c r="D561" s="1"/>
      <c r="E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1"/>
      <c r="B562" s="1"/>
      <c r="C562" s="1"/>
      <c r="D562" s="1"/>
      <c r="E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1"/>
      <c r="B563" s="1"/>
      <c r="C563" s="1"/>
      <c r="D563" s="1"/>
      <c r="E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1"/>
      <c r="B564" s="1"/>
      <c r="C564" s="1"/>
      <c r="D564" s="1"/>
      <c r="E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1"/>
      <c r="B565" s="1"/>
      <c r="C565" s="1"/>
      <c r="D565" s="1"/>
      <c r="E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1"/>
      <c r="B566" s="1"/>
      <c r="C566" s="1"/>
      <c r="D566" s="1"/>
      <c r="E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1"/>
      <c r="B567" s="1"/>
      <c r="C567" s="1"/>
      <c r="D567" s="1"/>
      <c r="E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1"/>
      <c r="B568" s="1"/>
      <c r="C568" s="1"/>
      <c r="D568" s="1"/>
      <c r="E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1"/>
      <c r="B569" s="1"/>
      <c r="C569" s="1"/>
      <c r="D569" s="1"/>
      <c r="E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1"/>
      <c r="B570" s="1"/>
      <c r="C570" s="1"/>
      <c r="D570" s="1"/>
      <c r="E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1"/>
      <c r="B571" s="1"/>
      <c r="C571" s="1"/>
      <c r="D571" s="1"/>
      <c r="E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1"/>
      <c r="B572" s="1"/>
      <c r="C572" s="1"/>
      <c r="D572" s="1"/>
      <c r="E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1"/>
      <c r="B573" s="1"/>
      <c r="C573" s="1"/>
      <c r="D573" s="1"/>
      <c r="E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1"/>
      <c r="B574" s="1"/>
      <c r="C574" s="1"/>
      <c r="D574" s="1"/>
      <c r="E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1"/>
      <c r="B575" s="1"/>
      <c r="C575" s="1"/>
      <c r="D575" s="1"/>
      <c r="E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1"/>
      <c r="B576" s="1"/>
      <c r="C576" s="1"/>
      <c r="D576" s="1"/>
      <c r="E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1"/>
      <c r="B577" s="1"/>
      <c r="C577" s="1"/>
      <c r="D577" s="1"/>
      <c r="E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1"/>
      <c r="B578" s="1"/>
      <c r="C578" s="1"/>
      <c r="D578" s="1"/>
      <c r="E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1"/>
      <c r="B579" s="1"/>
      <c r="C579" s="1"/>
      <c r="D579" s="1"/>
      <c r="E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1"/>
      <c r="B580" s="1"/>
      <c r="C580" s="1"/>
      <c r="D580" s="1"/>
      <c r="E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1"/>
      <c r="B581" s="1"/>
      <c r="C581" s="1"/>
      <c r="D581" s="1"/>
      <c r="E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1"/>
      <c r="B582" s="1"/>
      <c r="C582" s="1"/>
      <c r="D582" s="1"/>
      <c r="E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1"/>
      <c r="B583" s="1"/>
      <c r="C583" s="1"/>
      <c r="D583" s="1"/>
      <c r="E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1"/>
      <c r="B584" s="1"/>
      <c r="C584" s="1"/>
      <c r="D584" s="1"/>
      <c r="E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1"/>
      <c r="B585" s="1"/>
      <c r="C585" s="1"/>
      <c r="D585" s="1"/>
      <c r="E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1"/>
      <c r="B586" s="1"/>
      <c r="C586" s="1"/>
      <c r="D586" s="1"/>
      <c r="E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1"/>
      <c r="B587" s="1"/>
      <c r="C587" s="1"/>
      <c r="D587" s="1"/>
      <c r="E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1"/>
      <c r="B588" s="1"/>
      <c r="C588" s="1"/>
      <c r="D588" s="1"/>
      <c r="E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1"/>
      <c r="B589" s="1"/>
      <c r="C589" s="1"/>
      <c r="D589" s="1"/>
      <c r="E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1"/>
      <c r="B590" s="1"/>
      <c r="C590" s="1"/>
      <c r="D590" s="1"/>
      <c r="E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1"/>
      <c r="B591" s="1"/>
      <c r="C591" s="1"/>
      <c r="D591" s="1"/>
      <c r="E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1"/>
      <c r="B592" s="1"/>
      <c r="C592" s="1"/>
      <c r="D592" s="1"/>
      <c r="E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1"/>
      <c r="B593" s="1"/>
      <c r="C593" s="1"/>
      <c r="D593" s="1"/>
      <c r="E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1"/>
      <c r="B594" s="1"/>
      <c r="C594" s="1"/>
      <c r="D594" s="1"/>
      <c r="E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1"/>
      <c r="B595" s="1"/>
      <c r="C595" s="1"/>
      <c r="D595" s="1"/>
      <c r="E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1"/>
      <c r="B596" s="1"/>
      <c r="C596" s="1"/>
      <c r="D596" s="1"/>
      <c r="E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1"/>
      <c r="B597" s="1"/>
      <c r="C597" s="1"/>
      <c r="D597" s="1"/>
      <c r="E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1"/>
      <c r="B598" s="1"/>
      <c r="C598" s="1"/>
      <c r="D598" s="1"/>
      <c r="E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1"/>
      <c r="B599" s="1"/>
      <c r="C599" s="1"/>
      <c r="D599" s="1"/>
      <c r="E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1"/>
      <c r="B600" s="1"/>
      <c r="C600" s="1"/>
      <c r="D600" s="1"/>
      <c r="E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1"/>
      <c r="B601" s="1"/>
      <c r="C601" s="1"/>
      <c r="D601" s="1"/>
      <c r="E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1"/>
      <c r="B602" s="1"/>
      <c r="C602" s="1"/>
      <c r="D602" s="1"/>
      <c r="E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1"/>
      <c r="B603" s="1"/>
      <c r="C603" s="1"/>
      <c r="D603" s="1"/>
      <c r="E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1"/>
      <c r="B604" s="1"/>
      <c r="C604" s="1"/>
      <c r="D604" s="1"/>
      <c r="E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1"/>
      <c r="B605" s="1"/>
      <c r="C605" s="1"/>
      <c r="D605" s="1"/>
      <c r="E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1"/>
      <c r="B606" s="1"/>
      <c r="C606" s="1"/>
      <c r="D606" s="1"/>
      <c r="E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1"/>
      <c r="B607" s="1"/>
      <c r="C607" s="1"/>
      <c r="D607" s="1"/>
      <c r="E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1"/>
      <c r="B608" s="1"/>
      <c r="C608" s="1"/>
      <c r="D608" s="1"/>
      <c r="E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1"/>
      <c r="B609" s="1"/>
      <c r="C609" s="1"/>
      <c r="D609" s="1"/>
      <c r="E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1"/>
      <c r="B610" s="1"/>
      <c r="C610" s="1"/>
      <c r="D610" s="1"/>
      <c r="E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1"/>
      <c r="B611" s="1"/>
      <c r="C611" s="1"/>
      <c r="D611" s="1"/>
      <c r="E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1"/>
      <c r="B612" s="1"/>
      <c r="C612" s="1"/>
      <c r="D612" s="1"/>
      <c r="E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1"/>
      <c r="B613" s="1"/>
      <c r="C613" s="1"/>
      <c r="D613" s="1"/>
      <c r="E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1"/>
      <c r="B614" s="1"/>
      <c r="C614" s="1"/>
      <c r="D614" s="1"/>
      <c r="E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1"/>
      <c r="B615" s="1"/>
      <c r="C615" s="1"/>
      <c r="D615" s="1"/>
      <c r="E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1"/>
      <c r="B616" s="1"/>
      <c r="C616" s="1"/>
      <c r="D616" s="1"/>
      <c r="E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1"/>
      <c r="B617" s="1"/>
      <c r="C617" s="1"/>
      <c r="D617" s="1"/>
      <c r="E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1"/>
      <c r="B618" s="1"/>
      <c r="C618" s="1"/>
      <c r="D618" s="1"/>
      <c r="E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1"/>
      <c r="B619" s="1"/>
      <c r="C619" s="1"/>
      <c r="D619" s="1"/>
      <c r="E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1"/>
      <c r="B620" s="1"/>
      <c r="C620" s="1"/>
      <c r="D620" s="1"/>
      <c r="E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1"/>
      <c r="B621" s="1"/>
      <c r="C621" s="1"/>
      <c r="D621" s="1"/>
      <c r="E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1"/>
      <c r="B622" s="1"/>
      <c r="C622" s="1"/>
      <c r="D622" s="1"/>
      <c r="E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1"/>
      <c r="B623" s="1"/>
      <c r="C623" s="1"/>
      <c r="D623" s="1"/>
      <c r="E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1"/>
      <c r="B624" s="1"/>
      <c r="C624" s="1"/>
      <c r="D624" s="1"/>
      <c r="E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1"/>
      <c r="B625" s="1"/>
      <c r="C625" s="1"/>
      <c r="D625" s="1"/>
      <c r="E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1"/>
      <c r="B626" s="1"/>
      <c r="C626" s="1"/>
      <c r="D626" s="1"/>
      <c r="E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1"/>
      <c r="B627" s="1"/>
      <c r="C627" s="1"/>
      <c r="D627" s="1"/>
      <c r="E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1"/>
      <c r="B628" s="1"/>
      <c r="C628" s="1"/>
      <c r="D628" s="1"/>
      <c r="E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1"/>
      <c r="B629" s="1"/>
      <c r="C629" s="1"/>
      <c r="D629" s="1"/>
      <c r="E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1"/>
      <c r="B630" s="1"/>
      <c r="C630" s="1"/>
      <c r="D630" s="1"/>
      <c r="E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1"/>
      <c r="B631" s="1"/>
      <c r="C631" s="1"/>
      <c r="D631" s="1"/>
      <c r="E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1"/>
      <c r="B632" s="1"/>
      <c r="C632" s="1"/>
      <c r="D632" s="1"/>
      <c r="E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1"/>
      <c r="B633" s="1"/>
      <c r="C633" s="1"/>
      <c r="D633" s="1"/>
      <c r="E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1"/>
      <c r="B634" s="1"/>
      <c r="C634" s="1"/>
      <c r="D634" s="1"/>
      <c r="E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1"/>
      <c r="B635" s="1"/>
      <c r="C635" s="1"/>
      <c r="D635" s="1"/>
      <c r="E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1"/>
      <c r="B636" s="1"/>
      <c r="C636" s="1"/>
      <c r="D636" s="1"/>
      <c r="E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1"/>
      <c r="B637" s="1"/>
      <c r="C637" s="1"/>
      <c r="D637" s="1"/>
      <c r="E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1"/>
      <c r="B638" s="1"/>
      <c r="C638" s="1"/>
      <c r="D638" s="1"/>
      <c r="E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1"/>
      <c r="B639" s="1"/>
      <c r="C639" s="1"/>
      <c r="D639" s="1"/>
      <c r="E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1"/>
      <c r="B640" s="1"/>
      <c r="C640" s="1"/>
      <c r="D640" s="1"/>
      <c r="E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1"/>
      <c r="B641" s="1"/>
      <c r="C641" s="1"/>
      <c r="D641" s="1"/>
      <c r="E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1"/>
      <c r="B642" s="1"/>
      <c r="C642" s="1"/>
      <c r="D642" s="1"/>
      <c r="E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1"/>
      <c r="B643" s="1"/>
      <c r="C643" s="1"/>
      <c r="D643" s="1"/>
      <c r="E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1"/>
      <c r="B644" s="1"/>
      <c r="C644" s="1"/>
      <c r="D644" s="1"/>
      <c r="E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1"/>
      <c r="B645" s="1"/>
      <c r="C645" s="1"/>
      <c r="D645" s="1"/>
      <c r="E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1"/>
      <c r="B646" s="1"/>
      <c r="C646" s="1"/>
      <c r="D646" s="1"/>
      <c r="E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1"/>
      <c r="B647" s="1"/>
      <c r="C647" s="1"/>
      <c r="D647" s="1"/>
      <c r="E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1"/>
      <c r="B648" s="1"/>
      <c r="C648" s="1"/>
      <c r="D648" s="1"/>
      <c r="E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1"/>
      <c r="B649" s="1"/>
      <c r="C649" s="1"/>
      <c r="D649" s="1"/>
      <c r="E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1"/>
      <c r="B650" s="1"/>
      <c r="C650" s="1"/>
      <c r="D650" s="1"/>
      <c r="E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1"/>
      <c r="B651" s="1"/>
      <c r="C651" s="1"/>
      <c r="D651" s="1"/>
      <c r="E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1"/>
      <c r="B652" s="1"/>
      <c r="C652" s="1"/>
      <c r="D652" s="1"/>
      <c r="E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1"/>
      <c r="B653" s="1"/>
      <c r="C653" s="1"/>
      <c r="D653" s="1"/>
      <c r="E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1"/>
      <c r="B654" s="1"/>
      <c r="C654" s="1"/>
      <c r="D654" s="1"/>
      <c r="E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1"/>
      <c r="B655" s="1"/>
      <c r="C655" s="1"/>
      <c r="D655" s="1"/>
      <c r="E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1"/>
      <c r="B656" s="1"/>
      <c r="C656" s="1"/>
      <c r="D656" s="1"/>
      <c r="E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1"/>
      <c r="B657" s="1"/>
      <c r="C657" s="1"/>
      <c r="D657" s="1"/>
      <c r="E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1"/>
      <c r="B658" s="1"/>
      <c r="C658" s="1"/>
      <c r="D658" s="1"/>
      <c r="E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1"/>
      <c r="B659" s="1"/>
      <c r="C659" s="1"/>
      <c r="D659" s="1"/>
      <c r="E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1"/>
      <c r="B660" s="1"/>
      <c r="C660" s="1"/>
      <c r="D660" s="1"/>
      <c r="E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1"/>
      <c r="B661" s="1"/>
      <c r="C661" s="1"/>
      <c r="D661" s="1"/>
      <c r="E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1"/>
      <c r="B662" s="1"/>
      <c r="C662" s="1"/>
      <c r="D662" s="1"/>
      <c r="E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1"/>
      <c r="B663" s="1"/>
      <c r="C663" s="1"/>
      <c r="D663" s="1"/>
      <c r="E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1"/>
      <c r="B664" s="1"/>
      <c r="C664" s="1"/>
      <c r="D664" s="1"/>
      <c r="E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1"/>
      <c r="B665" s="1"/>
      <c r="C665" s="1"/>
      <c r="D665" s="1"/>
      <c r="E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1"/>
      <c r="B666" s="1"/>
      <c r="C666" s="1"/>
      <c r="D666" s="1"/>
      <c r="E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1"/>
      <c r="B667" s="1"/>
      <c r="C667" s="1"/>
      <c r="D667" s="1"/>
      <c r="E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1"/>
      <c r="B668" s="1"/>
      <c r="C668" s="1"/>
      <c r="D668" s="1"/>
      <c r="E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1"/>
      <c r="B669" s="1"/>
      <c r="C669" s="1"/>
      <c r="D669" s="1"/>
      <c r="E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1"/>
      <c r="B670" s="1"/>
      <c r="C670" s="1"/>
      <c r="D670" s="1"/>
      <c r="E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1"/>
      <c r="B671" s="1"/>
      <c r="C671" s="1"/>
      <c r="D671" s="1"/>
      <c r="E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1"/>
      <c r="B672" s="1"/>
      <c r="C672" s="1"/>
      <c r="D672" s="1"/>
      <c r="E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1"/>
      <c r="B673" s="1"/>
      <c r="C673" s="1"/>
      <c r="D673" s="1"/>
      <c r="E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1"/>
      <c r="B674" s="1"/>
      <c r="C674" s="1"/>
      <c r="D674" s="1"/>
      <c r="E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1"/>
      <c r="B675" s="1"/>
      <c r="C675" s="1"/>
      <c r="D675" s="1"/>
      <c r="E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1"/>
      <c r="B676" s="1"/>
      <c r="C676" s="1"/>
      <c r="D676" s="1"/>
      <c r="E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1"/>
      <c r="B677" s="1"/>
      <c r="C677" s="1"/>
      <c r="D677" s="1"/>
      <c r="E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1"/>
      <c r="B678" s="1"/>
      <c r="C678" s="1"/>
      <c r="D678" s="1"/>
      <c r="E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1"/>
      <c r="B679" s="1"/>
      <c r="C679" s="1"/>
      <c r="D679" s="1"/>
      <c r="E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1"/>
      <c r="B680" s="1"/>
      <c r="C680" s="1"/>
      <c r="D680" s="1"/>
      <c r="E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1"/>
      <c r="B681" s="1"/>
      <c r="C681" s="1"/>
      <c r="D681" s="1"/>
      <c r="E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1"/>
      <c r="B682" s="1"/>
      <c r="C682" s="1"/>
      <c r="D682" s="1"/>
      <c r="E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1"/>
      <c r="B683" s="1"/>
      <c r="C683" s="1"/>
      <c r="D683" s="1"/>
      <c r="E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1"/>
      <c r="B684" s="1"/>
      <c r="C684" s="1"/>
      <c r="D684" s="1"/>
      <c r="E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1"/>
      <c r="B685" s="1"/>
      <c r="C685" s="1"/>
      <c r="D685" s="1"/>
      <c r="E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1"/>
      <c r="B686" s="1"/>
      <c r="C686" s="1"/>
      <c r="D686" s="1"/>
      <c r="E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1"/>
      <c r="B687" s="1"/>
      <c r="C687" s="1"/>
      <c r="D687" s="1"/>
      <c r="E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1"/>
      <c r="B688" s="1"/>
      <c r="C688" s="1"/>
      <c r="D688" s="1"/>
      <c r="E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1"/>
      <c r="B689" s="1"/>
      <c r="C689" s="1"/>
      <c r="D689" s="1"/>
      <c r="E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1"/>
      <c r="B690" s="1"/>
      <c r="C690" s="1"/>
      <c r="D690" s="1"/>
      <c r="E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1"/>
      <c r="B691" s="1"/>
      <c r="C691" s="1"/>
      <c r="D691" s="1"/>
      <c r="E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1"/>
      <c r="B692" s="1"/>
      <c r="C692" s="1"/>
      <c r="D692" s="1"/>
      <c r="E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1"/>
      <c r="B693" s="1"/>
      <c r="C693" s="1"/>
      <c r="D693" s="1"/>
      <c r="E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1"/>
      <c r="B694" s="1"/>
      <c r="C694" s="1"/>
      <c r="D694" s="1"/>
      <c r="E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1"/>
      <c r="B695" s="1"/>
      <c r="C695" s="1"/>
      <c r="D695" s="1"/>
      <c r="E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1"/>
      <c r="B696" s="1"/>
      <c r="C696" s="1"/>
      <c r="D696" s="1"/>
      <c r="E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1"/>
      <c r="B697" s="1"/>
      <c r="C697" s="1"/>
      <c r="D697" s="1"/>
      <c r="E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1"/>
      <c r="B698" s="1"/>
      <c r="C698" s="1"/>
      <c r="D698" s="1"/>
      <c r="E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1"/>
      <c r="B699" s="1"/>
      <c r="C699" s="1"/>
      <c r="D699" s="1"/>
      <c r="E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1"/>
      <c r="B700" s="1"/>
      <c r="C700" s="1"/>
      <c r="D700" s="1"/>
      <c r="E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1"/>
      <c r="B701" s="1"/>
      <c r="C701" s="1"/>
      <c r="D701" s="1"/>
      <c r="E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1"/>
      <c r="B702" s="1"/>
      <c r="C702" s="1"/>
      <c r="D702" s="1"/>
      <c r="E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1"/>
      <c r="B703" s="1"/>
      <c r="C703" s="1"/>
      <c r="D703" s="1"/>
      <c r="E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1"/>
      <c r="B704" s="1"/>
      <c r="C704" s="1"/>
      <c r="D704" s="1"/>
      <c r="E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1"/>
      <c r="B705" s="1"/>
      <c r="C705" s="1"/>
      <c r="D705" s="1"/>
      <c r="E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1"/>
      <c r="B706" s="1"/>
      <c r="C706" s="1"/>
      <c r="D706" s="1"/>
      <c r="E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1"/>
      <c r="B707" s="1"/>
      <c r="C707" s="1"/>
      <c r="D707" s="1"/>
      <c r="E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1"/>
      <c r="B708" s="1"/>
      <c r="C708" s="1"/>
      <c r="D708" s="1"/>
      <c r="E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1"/>
      <c r="B709" s="1"/>
      <c r="C709" s="1"/>
      <c r="D709" s="1"/>
      <c r="E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1"/>
      <c r="B710" s="1"/>
      <c r="C710" s="1"/>
      <c r="D710" s="1"/>
      <c r="E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1"/>
      <c r="B711" s="1"/>
      <c r="C711" s="1"/>
      <c r="D711" s="1"/>
      <c r="E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1"/>
      <c r="B712" s="1"/>
      <c r="C712" s="1"/>
      <c r="D712" s="1"/>
      <c r="E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1"/>
      <c r="B713" s="1"/>
      <c r="C713" s="1"/>
      <c r="D713" s="1"/>
      <c r="E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1"/>
      <c r="B714" s="1"/>
      <c r="C714" s="1"/>
      <c r="D714" s="1"/>
      <c r="E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1"/>
      <c r="B715" s="1"/>
      <c r="C715" s="1"/>
      <c r="D715" s="1"/>
      <c r="E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1"/>
      <c r="B716" s="1"/>
      <c r="C716" s="1"/>
      <c r="D716" s="1"/>
      <c r="E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1"/>
      <c r="B717" s="1"/>
      <c r="C717" s="1"/>
      <c r="D717" s="1"/>
      <c r="E717" s="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1"/>
      <c r="B718" s="1"/>
      <c r="C718" s="1"/>
      <c r="D718" s="1"/>
      <c r="E718" s="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1"/>
      <c r="B719" s="1"/>
      <c r="C719" s="1"/>
      <c r="D719" s="1"/>
      <c r="E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1"/>
      <c r="B720" s="1"/>
      <c r="C720" s="1"/>
      <c r="D720" s="1"/>
      <c r="E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1"/>
      <c r="B721" s="1"/>
      <c r="C721" s="1"/>
      <c r="D721" s="1"/>
      <c r="E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1"/>
      <c r="B722" s="1"/>
      <c r="C722" s="1"/>
      <c r="D722" s="1"/>
      <c r="E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1"/>
      <c r="B723" s="1"/>
      <c r="C723" s="1"/>
      <c r="D723" s="1"/>
      <c r="E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1"/>
      <c r="B724" s="1"/>
      <c r="C724" s="1"/>
      <c r="D724" s="1"/>
      <c r="E724" s="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1"/>
      <c r="B725" s="1"/>
      <c r="C725" s="1"/>
      <c r="D725" s="1"/>
      <c r="E725" s="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1"/>
      <c r="B726" s="1"/>
      <c r="C726" s="1"/>
      <c r="D726" s="1"/>
      <c r="E726" s="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1"/>
      <c r="B727" s="1"/>
      <c r="C727" s="1"/>
      <c r="D727" s="1"/>
      <c r="E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1"/>
      <c r="B728" s="1"/>
      <c r="C728" s="1"/>
      <c r="D728" s="1"/>
      <c r="E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1"/>
      <c r="B729" s="1"/>
      <c r="C729" s="1"/>
      <c r="D729" s="1"/>
      <c r="E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1"/>
      <c r="B730" s="1"/>
      <c r="C730" s="1"/>
      <c r="D730" s="1"/>
      <c r="E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1"/>
      <c r="B731" s="1"/>
      <c r="C731" s="1"/>
      <c r="D731" s="1"/>
      <c r="E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1"/>
      <c r="B732" s="1"/>
      <c r="C732" s="1"/>
      <c r="D732" s="1"/>
      <c r="E732" s="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1"/>
      <c r="B733" s="1"/>
      <c r="C733" s="1"/>
      <c r="D733" s="1"/>
      <c r="E733" s="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1"/>
      <c r="B734" s="1"/>
      <c r="C734" s="1"/>
      <c r="D734" s="1"/>
      <c r="E734" s="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1"/>
      <c r="B735" s="1"/>
      <c r="C735" s="1"/>
      <c r="D735" s="1"/>
      <c r="E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1"/>
      <c r="B736" s="1"/>
      <c r="C736" s="1"/>
      <c r="D736" s="1"/>
      <c r="E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1"/>
      <c r="B737" s="1"/>
      <c r="C737" s="1"/>
      <c r="D737" s="1"/>
      <c r="E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1"/>
      <c r="B738" s="1"/>
      <c r="C738" s="1"/>
      <c r="D738" s="1"/>
      <c r="E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1"/>
      <c r="B739" s="1"/>
      <c r="C739" s="1"/>
      <c r="D739" s="1"/>
      <c r="E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1"/>
      <c r="B740" s="1"/>
      <c r="C740" s="1"/>
      <c r="D740" s="1"/>
      <c r="E740" s="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1"/>
      <c r="B741" s="1"/>
      <c r="C741" s="1"/>
      <c r="D741" s="1"/>
      <c r="E741" s="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1"/>
      <c r="B742" s="1"/>
      <c r="C742" s="1"/>
      <c r="D742" s="1"/>
      <c r="E742" s="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1"/>
      <c r="B743" s="1"/>
      <c r="C743" s="1"/>
      <c r="D743" s="1"/>
      <c r="E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1"/>
      <c r="B744" s="1"/>
      <c r="C744" s="1"/>
      <c r="D744" s="1"/>
      <c r="E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1"/>
      <c r="B745" s="1"/>
      <c r="C745" s="1"/>
      <c r="D745" s="1"/>
      <c r="E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1"/>
      <c r="B746" s="1"/>
      <c r="C746" s="1"/>
      <c r="D746" s="1"/>
      <c r="E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1"/>
      <c r="B747" s="1"/>
      <c r="C747" s="1"/>
      <c r="D747" s="1"/>
      <c r="E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1"/>
      <c r="B748" s="1"/>
      <c r="C748" s="1"/>
      <c r="D748" s="1"/>
      <c r="E748" s="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1"/>
      <c r="B749" s="1"/>
      <c r="C749" s="1"/>
      <c r="D749" s="1"/>
      <c r="E749" s="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1"/>
      <c r="B750" s="1"/>
      <c r="C750" s="1"/>
      <c r="D750" s="1"/>
      <c r="E750" s="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1"/>
      <c r="B751" s="1"/>
      <c r="C751" s="1"/>
      <c r="D751" s="1"/>
      <c r="E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1"/>
      <c r="B752" s="1"/>
      <c r="C752" s="1"/>
      <c r="D752" s="1"/>
      <c r="E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1"/>
      <c r="B753" s="1"/>
      <c r="C753" s="1"/>
      <c r="D753" s="1"/>
      <c r="E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1"/>
      <c r="B754" s="1"/>
      <c r="C754" s="1"/>
      <c r="D754" s="1"/>
      <c r="E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1"/>
      <c r="B755" s="1"/>
      <c r="C755" s="1"/>
      <c r="D755" s="1"/>
      <c r="E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1"/>
      <c r="B756" s="1"/>
      <c r="C756" s="1"/>
      <c r="D756" s="1"/>
      <c r="E756" s="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1"/>
      <c r="B757" s="1"/>
      <c r="C757" s="1"/>
      <c r="D757" s="1"/>
      <c r="E757" s="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1"/>
      <c r="B758" s="1"/>
      <c r="C758" s="1"/>
      <c r="D758" s="1"/>
      <c r="E758" s="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1"/>
      <c r="B759" s="1"/>
      <c r="C759" s="1"/>
      <c r="D759" s="1"/>
      <c r="E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1"/>
      <c r="B760" s="1"/>
      <c r="C760" s="1"/>
      <c r="D760" s="1"/>
      <c r="E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1"/>
      <c r="B761" s="1"/>
      <c r="C761" s="1"/>
      <c r="D761" s="1"/>
      <c r="E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1"/>
      <c r="B762" s="1"/>
      <c r="C762" s="1"/>
      <c r="D762" s="1"/>
      <c r="E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1"/>
      <c r="B763" s="1"/>
      <c r="C763" s="1"/>
      <c r="D763" s="1"/>
      <c r="E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1"/>
      <c r="B764" s="1"/>
      <c r="C764" s="1"/>
      <c r="D764" s="1"/>
      <c r="E764" s="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1"/>
      <c r="B765" s="1"/>
      <c r="C765" s="1"/>
      <c r="D765" s="1"/>
      <c r="E765" s="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1"/>
      <c r="B766" s="1"/>
      <c r="C766" s="1"/>
      <c r="D766" s="1"/>
      <c r="E766" s="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1"/>
      <c r="B767" s="1"/>
      <c r="C767" s="1"/>
      <c r="D767" s="1"/>
      <c r="E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1"/>
      <c r="B768" s="1"/>
      <c r="C768" s="1"/>
      <c r="D768" s="1"/>
      <c r="E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1"/>
      <c r="B769" s="1"/>
      <c r="C769" s="1"/>
      <c r="D769" s="1"/>
      <c r="E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1"/>
      <c r="B770" s="1"/>
      <c r="C770" s="1"/>
      <c r="D770" s="1"/>
      <c r="E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1"/>
      <c r="B771" s="1"/>
      <c r="C771" s="1"/>
      <c r="D771" s="1"/>
      <c r="E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1"/>
      <c r="B772" s="1"/>
      <c r="C772" s="1"/>
      <c r="D772" s="1"/>
      <c r="E772" s="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1"/>
      <c r="B773" s="1"/>
      <c r="C773" s="1"/>
      <c r="D773" s="1"/>
      <c r="E773" s="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1"/>
      <c r="B774" s="1"/>
      <c r="C774" s="1"/>
      <c r="D774" s="1"/>
      <c r="E774" s="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1"/>
      <c r="B775" s="1"/>
      <c r="C775" s="1"/>
      <c r="D775" s="1"/>
      <c r="E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1"/>
      <c r="B776" s="1"/>
      <c r="C776" s="1"/>
      <c r="D776" s="1"/>
      <c r="E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1"/>
      <c r="B777" s="1"/>
      <c r="C777" s="1"/>
      <c r="D777" s="1"/>
      <c r="E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1"/>
      <c r="B778" s="1"/>
      <c r="C778" s="1"/>
      <c r="D778" s="1"/>
      <c r="E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1"/>
      <c r="B779" s="1"/>
      <c r="C779" s="1"/>
      <c r="D779" s="1"/>
      <c r="E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1"/>
      <c r="B780" s="1"/>
      <c r="C780" s="1"/>
      <c r="D780" s="1"/>
      <c r="E780" s="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1"/>
      <c r="B781" s="1"/>
      <c r="C781" s="1"/>
      <c r="D781" s="1"/>
      <c r="E781" s="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1"/>
      <c r="B782" s="1"/>
      <c r="C782" s="1"/>
      <c r="D782" s="1"/>
      <c r="E782" s="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1"/>
      <c r="B783" s="1"/>
      <c r="C783" s="1"/>
      <c r="D783" s="1"/>
      <c r="E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1"/>
      <c r="B784" s="1"/>
      <c r="C784" s="1"/>
      <c r="D784" s="1"/>
      <c r="E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1"/>
      <c r="B785" s="1"/>
      <c r="C785" s="1"/>
      <c r="D785" s="1"/>
      <c r="E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1"/>
      <c r="B786" s="1"/>
      <c r="C786" s="1"/>
      <c r="D786" s="1"/>
      <c r="E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1"/>
      <c r="B787" s="1"/>
      <c r="C787" s="1"/>
      <c r="D787" s="1"/>
      <c r="E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1"/>
      <c r="B788" s="1"/>
      <c r="C788" s="1"/>
      <c r="D788" s="1"/>
      <c r="E788" s="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1"/>
      <c r="B789" s="1"/>
      <c r="C789" s="1"/>
      <c r="D789" s="1"/>
      <c r="E789" s="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1"/>
      <c r="B790" s="1"/>
      <c r="C790" s="1"/>
      <c r="D790" s="1"/>
      <c r="E790" s="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1"/>
      <c r="B791" s="1"/>
      <c r="C791" s="1"/>
      <c r="D791" s="1"/>
      <c r="E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1"/>
      <c r="B792" s="1"/>
      <c r="C792" s="1"/>
      <c r="D792" s="1"/>
      <c r="E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1"/>
      <c r="B793" s="1"/>
      <c r="C793" s="1"/>
      <c r="D793" s="1"/>
      <c r="E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1"/>
      <c r="B794" s="1"/>
      <c r="C794" s="1"/>
      <c r="D794" s="1"/>
      <c r="E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1"/>
      <c r="B795" s="1"/>
      <c r="C795" s="1"/>
      <c r="D795" s="1"/>
      <c r="E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1"/>
      <c r="B796" s="1"/>
      <c r="C796" s="1"/>
      <c r="D796" s="1"/>
      <c r="E796" s="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1"/>
      <c r="B797" s="1"/>
      <c r="C797" s="1"/>
      <c r="D797" s="1"/>
      <c r="E797" s="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1"/>
      <c r="B798" s="1"/>
      <c r="C798" s="1"/>
      <c r="D798" s="1"/>
      <c r="E798" s="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1"/>
      <c r="B799" s="1"/>
      <c r="C799" s="1"/>
      <c r="D799" s="1"/>
      <c r="E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1"/>
      <c r="B800" s="1"/>
      <c r="C800" s="1"/>
      <c r="D800" s="1"/>
      <c r="E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1"/>
      <c r="B801" s="1"/>
      <c r="C801" s="1"/>
      <c r="D801" s="1"/>
      <c r="E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1"/>
      <c r="B802" s="1"/>
      <c r="C802" s="1"/>
      <c r="D802" s="1"/>
      <c r="E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1"/>
      <c r="B803" s="1"/>
      <c r="C803" s="1"/>
      <c r="D803" s="1"/>
      <c r="E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1"/>
      <c r="B804" s="1"/>
      <c r="C804" s="1"/>
      <c r="D804" s="1"/>
      <c r="E804" s="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1"/>
      <c r="B805" s="1"/>
      <c r="C805" s="1"/>
      <c r="D805" s="1"/>
      <c r="E805" s="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1"/>
      <c r="B806" s="1"/>
      <c r="C806" s="1"/>
      <c r="D806" s="1"/>
      <c r="E806" s="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1"/>
      <c r="B807" s="1"/>
      <c r="C807" s="1"/>
      <c r="D807" s="1"/>
      <c r="E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1"/>
      <c r="B808" s="1"/>
      <c r="C808" s="1"/>
      <c r="D808" s="1"/>
      <c r="E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1"/>
      <c r="B809" s="1"/>
      <c r="C809" s="1"/>
      <c r="D809" s="1"/>
      <c r="E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1"/>
      <c r="B810" s="1"/>
      <c r="C810" s="1"/>
      <c r="D810" s="1"/>
      <c r="E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1"/>
      <c r="B811" s="1"/>
      <c r="C811" s="1"/>
      <c r="D811" s="1"/>
      <c r="E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1"/>
      <c r="B812" s="1"/>
      <c r="C812" s="1"/>
      <c r="D812" s="1"/>
      <c r="E812" s="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1"/>
      <c r="B813" s="1"/>
      <c r="C813" s="1"/>
      <c r="D813" s="1"/>
      <c r="E813" s="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1"/>
      <c r="B814" s="1"/>
      <c r="C814" s="1"/>
      <c r="D814" s="1"/>
      <c r="E814" s="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1"/>
      <c r="B815" s="1"/>
      <c r="C815" s="1"/>
      <c r="D815" s="1"/>
      <c r="E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1"/>
      <c r="B816" s="1"/>
      <c r="C816" s="1"/>
      <c r="D816" s="1"/>
      <c r="E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1"/>
      <c r="B817" s="1"/>
      <c r="C817" s="1"/>
      <c r="D817" s="1"/>
      <c r="E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1"/>
      <c r="B818" s="1"/>
      <c r="C818" s="1"/>
      <c r="D818" s="1"/>
      <c r="E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1"/>
      <c r="B819" s="1"/>
      <c r="C819" s="1"/>
      <c r="D819" s="1"/>
      <c r="E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1"/>
      <c r="B820" s="1"/>
      <c r="C820" s="1"/>
      <c r="D820" s="1"/>
      <c r="E820" s="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1"/>
      <c r="B821" s="1"/>
      <c r="C821" s="1"/>
      <c r="D821" s="1"/>
      <c r="E821" s="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1"/>
      <c r="B822" s="1"/>
      <c r="C822" s="1"/>
      <c r="D822" s="1"/>
      <c r="E822" s="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1"/>
      <c r="B823" s="1"/>
      <c r="C823" s="1"/>
      <c r="D823" s="1"/>
      <c r="E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1"/>
      <c r="B824" s="1"/>
      <c r="C824" s="1"/>
      <c r="D824" s="1"/>
      <c r="E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1"/>
      <c r="B825" s="1"/>
      <c r="C825" s="1"/>
      <c r="D825" s="1"/>
      <c r="E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1"/>
      <c r="B826" s="1"/>
      <c r="C826" s="1"/>
      <c r="D826" s="1"/>
      <c r="E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1"/>
      <c r="B827" s="1"/>
      <c r="C827" s="1"/>
      <c r="D827" s="1"/>
      <c r="E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1"/>
      <c r="B828" s="1"/>
      <c r="C828" s="1"/>
      <c r="D828" s="1"/>
      <c r="E828" s="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1"/>
      <c r="B829" s="1"/>
      <c r="C829" s="1"/>
      <c r="D829" s="1"/>
      <c r="E829" s="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1"/>
      <c r="B830" s="1"/>
      <c r="C830" s="1"/>
      <c r="D830" s="1"/>
      <c r="E830" s="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1"/>
      <c r="B831" s="1"/>
      <c r="C831" s="1"/>
      <c r="D831" s="1"/>
      <c r="E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1"/>
      <c r="B832" s="1"/>
      <c r="C832" s="1"/>
      <c r="D832" s="1"/>
      <c r="E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1"/>
      <c r="B833" s="1"/>
      <c r="C833" s="1"/>
      <c r="D833" s="1"/>
      <c r="E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1"/>
      <c r="B834" s="1"/>
      <c r="C834" s="1"/>
      <c r="D834" s="1"/>
      <c r="E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1"/>
      <c r="B835" s="1"/>
      <c r="C835" s="1"/>
      <c r="D835" s="1"/>
      <c r="E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1"/>
      <c r="B836" s="1"/>
      <c r="C836" s="1"/>
      <c r="D836" s="1"/>
      <c r="E836" s="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1"/>
      <c r="B837" s="1"/>
      <c r="C837" s="1"/>
      <c r="D837" s="1"/>
      <c r="E837" s="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1"/>
      <c r="B838" s="1"/>
      <c r="C838" s="1"/>
      <c r="D838" s="1"/>
      <c r="E838" s="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1"/>
      <c r="B839" s="1"/>
      <c r="C839" s="1"/>
      <c r="D839" s="1"/>
      <c r="E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1"/>
      <c r="B840" s="1"/>
      <c r="C840" s="1"/>
      <c r="D840" s="1"/>
      <c r="E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1"/>
      <c r="B841" s="1"/>
      <c r="C841" s="1"/>
      <c r="D841" s="1"/>
      <c r="E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1"/>
      <c r="B842" s="1"/>
      <c r="C842" s="1"/>
      <c r="D842" s="1"/>
      <c r="E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1"/>
      <c r="B843" s="1"/>
      <c r="C843" s="1"/>
      <c r="D843" s="1"/>
      <c r="E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1"/>
      <c r="B844" s="1"/>
      <c r="C844" s="1"/>
      <c r="D844" s="1"/>
      <c r="E844" s="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1"/>
      <c r="B845" s="1"/>
      <c r="C845" s="1"/>
      <c r="D845" s="1"/>
      <c r="E845" s="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1"/>
      <c r="B846" s="1"/>
      <c r="C846" s="1"/>
      <c r="D846" s="1"/>
      <c r="E846" s="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1"/>
      <c r="B847" s="1"/>
      <c r="C847" s="1"/>
      <c r="D847" s="1"/>
      <c r="E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1"/>
      <c r="B848" s="1"/>
      <c r="C848" s="1"/>
      <c r="D848" s="1"/>
      <c r="E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1"/>
      <c r="B849" s="1"/>
      <c r="C849" s="1"/>
      <c r="D849" s="1"/>
      <c r="E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1"/>
      <c r="B850" s="1"/>
      <c r="C850" s="1"/>
      <c r="D850" s="1"/>
      <c r="E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1"/>
      <c r="B851" s="1"/>
      <c r="C851" s="1"/>
      <c r="D851" s="1"/>
      <c r="E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1"/>
      <c r="B852" s="1"/>
      <c r="C852" s="1"/>
      <c r="D852" s="1"/>
      <c r="E852" s="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1"/>
      <c r="B853" s="1"/>
      <c r="C853" s="1"/>
      <c r="D853" s="1"/>
      <c r="E853" s="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1"/>
      <c r="B854" s="1"/>
      <c r="C854" s="1"/>
      <c r="D854" s="1"/>
      <c r="E854" s="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1"/>
      <c r="B855" s="1"/>
      <c r="C855" s="1"/>
      <c r="D855" s="1"/>
      <c r="E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1"/>
      <c r="B856" s="1"/>
      <c r="C856" s="1"/>
      <c r="D856" s="1"/>
      <c r="E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1"/>
      <c r="B857" s="1"/>
      <c r="C857" s="1"/>
      <c r="D857" s="1"/>
      <c r="E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1"/>
      <c r="B858" s="1"/>
      <c r="C858" s="1"/>
      <c r="D858" s="1"/>
      <c r="E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1"/>
      <c r="B859" s="1"/>
      <c r="C859" s="1"/>
      <c r="D859" s="1"/>
      <c r="E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1"/>
      <c r="B860" s="1"/>
      <c r="C860" s="1"/>
      <c r="D860" s="1"/>
      <c r="E860" s="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1"/>
      <c r="B861" s="1"/>
      <c r="C861" s="1"/>
      <c r="D861" s="1"/>
      <c r="E861" s="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1"/>
      <c r="B862" s="1"/>
      <c r="C862" s="1"/>
      <c r="D862" s="1"/>
      <c r="E862" s="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1"/>
      <c r="B863" s="1"/>
      <c r="C863" s="1"/>
      <c r="D863" s="1"/>
      <c r="E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1"/>
      <c r="B864" s="1"/>
      <c r="C864" s="1"/>
      <c r="D864" s="1"/>
      <c r="E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1"/>
      <c r="B865" s="1"/>
      <c r="C865" s="1"/>
      <c r="D865" s="1"/>
      <c r="E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1"/>
      <c r="B866" s="1"/>
      <c r="C866" s="1"/>
      <c r="D866" s="1"/>
      <c r="E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1"/>
      <c r="B867" s="1"/>
      <c r="C867" s="1"/>
      <c r="D867" s="1"/>
      <c r="E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1"/>
      <c r="B868" s="1"/>
      <c r="C868" s="1"/>
      <c r="D868" s="1"/>
      <c r="E868" s="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1"/>
      <c r="B869" s="1"/>
      <c r="C869" s="1"/>
      <c r="D869" s="1"/>
      <c r="E869" s="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1"/>
      <c r="B870" s="1"/>
      <c r="C870" s="1"/>
      <c r="D870" s="1"/>
      <c r="E870" s="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1"/>
      <c r="B871" s="1"/>
      <c r="C871" s="1"/>
      <c r="D871" s="1"/>
      <c r="E871" s="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1"/>
      <c r="B872" s="1"/>
      <c r="C872" s="1"/>
      <c r="D872" s="1"/>
      <c r="E872" s="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1"/>
      <c r="B873" s="1"/>
      <c r="C873" s="1"/>
      <c r="D873" s="1"/>
      <c r="E873" s="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1"/>
      <c r="B874" s="1"/>
      <c r="C874" s="1"/>
      <c r="D874" s="1"/>
      <c r="E874" s="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1"/>
      <c r="B875" s="1"/>
      <c r="C875" s="1"/>
      <c r="D875" s="1"/>
      <c r="E875" s="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1"/>
      <c r="B876" s="1"/>
      <c r="C876" s="1"/>
      <c r="D876" s="1"/>
      <c r="E876" s="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1"/>
      <c r="B877" s="1"/>
      <c r="C877" s="1"/>
      <c r="D877" s="1"/>
      <c r="E877" s="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1"/>
      <c r="B878" s="1"/>
      <c r="C878" s="1"/>
      <c r="D878" s="1"/>
      <c r="E878" s="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1"/>
      <c r="B879" s="1"/>
      <c r="C879" s="1"/>
      <c r="D879" s="1"/>
      <c r="E879" s="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1"/>
      <c r="B880" s="1"/>
      <c r="C880" s="1"/>
      <c r="D880" s="1"/>
      <c r="E880" s="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1"/>
      <c r="B881" s="1"/>
      <c r="C881" s="1"/>
      <c r="D881" s="1"/>
      <c r="E881" s="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1"/>
      <c r="B882" s="1"/>
      <c r="C882" s="1"/>
      <c r="D882" s="1"/>
      <c r="E882" s="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1"/>
      <c r="B883" s="1"/>
      <c r="C883" s="1"/>
      <c r="D883" s="1"/>
      <c r="E883" s="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1"/>
      <c r="B884" s="1"/>
      <c r="C884" s="1"/>
      <c r="D884" s="1"/>
      <c r="E884" s="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1"/>
      <c r="B885" s="1"/>
      <c r="C885" s="1"/>
      <c r="D885" s="1"/>
      <c r="E885" s="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1"/>
      <c r="B886" s="1"/>
      <c r="C886" s="1"/>
      <c r="D886" s="1"/>
      <c r="E886" s="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1"/>
      <c r="B887" s="1"/>
      <c r="C887" s="1"/>
      <c r="D887" s="1"/>
      <c r="E887" s="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1"/>
      <c r="B888" s="1"/>
      <c r="C888" s="1"/>
      <c r="D888" s="1"/>
      <c r="E888" s="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1"/>
      <c r="B889" s="1"/>
      <c r="C889" s="1"/>
      <c r="D889" s="1"/>
      <c r="E889" s="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1"/>
      <c r="B890" s="1"/>
      <c r="C890" s="1"/>
      <c r="D890" s="1"/>
      <c r="E890" s="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1"/>
      <c r="B891" s="1"/>
      <c r="C891" s="1"/>
      <c r="D891" s="1"/>
      <c r="E891" s="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1"/>
      <c r="B892" s="1"/>
      <c r="C892" s="1"/>
      <c r="D892" s="1"/>
      <c r="E892" s="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1"/>
      <c r="B893" s="1"/>
      <c r="C893" s="1"/>
      <c r="D893" s="1"/>
      <c r="E893" s="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1"/>
      <c r="B894" s="1"/>
      <c r="C894" s="1"/>
      <c r="D894" s="1"/>
      <c r="E894" s="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1"/>
      <c r="B895" s="1"/>
      <c r="C895" s="1"/>
      <c r="D895" s="1"/>
      <c r="E895" s="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1"/>
      <c r="B896" s="1"/>
      <c r="C896" s="1"/>
      <c r="D896" s="1"/>
      <c r="E896" s="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1"/>
      <c r="B897" s="1"/>
      <c r="C897" s="1"/>
      <c r="D897" s="1"/>
      <c r="E897" s="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1"/>
      <c r="B898" s="1"/>
      <c r="C898" s="1"/>
      <c r="D898" s="1"/>
      <c r="E898" s="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1"/>
      <c r="B899" s="1"/>
      <c r="C899" s="1"/>
      <c r="D899" s="1"/>
      <c r="E899" s="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1"/>
      <c r="B900" s="1"/>
      <c r="C900" s="1"/>
      <c r="D900" s="1"/>
      <c r="E900" s="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1"/>
      <c r="B901" s="1"/>
      <c r="C901" s="1"/>
      <c r="D901" s="1"/>
      <c r="E901" s="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1"/>
      <c r="B902" s="1"/>
      <c r="C902" s="1"/>
      <c r="D902" s="1"/>
      <c r="E902" s="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1"/>
      <c r="B903" s="1"/>
      <c r="C903" s="1"/>
      <c r="D903" s="1"/>
      <c r="E903" s="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1"/>
      <c r="B904" s="1"/>
      <c r="C904" s="1"/>
      <c r="D904" s="1"/>
      <c r="E904" s="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1"/>
      <c r="B905" s="1"/>
      <c r="C905" s="1"/>
      <c r="D905" s="1"/>
      <c r="E905" s="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1"/>
      <c r="B906" s="1"/>
      <c r="C906" s="1"/>
      <c r="D906" s="1"/>
      <c r="E906" s="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1"/>
      <c r="B907" s="1"/>
      <c r="C907" s="1"/>
      <c r="D907" s="1"/>
      <c r="E907" s="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1"/>
      <c r="B908" s="1"/>
      <c r="C908" s="1"/>
      <c r="D908" s="1"/>
      <c r="E908" s="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1"/>
      <c r="B909" s="1"/>
      <c r="C909" s="1"/>
      <c r="D909" s="1"/>
      <c r="E909" s="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1"/>
      <c r="B910" s="1"/>
      <c r="C910" s="1"/>
      <c r="D910" s="1"/>
      <c r="E910" s="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1"/>
      <c r="B911" s="1"/>
      <c r="C911" s="1"/>
      <c r="D911" s="1"/>
      <c r="E911" s="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1"/>
      <c r="B912" s="1"/>
      <c r="C912" s="1"/>
      <c r="D912" s="1"/>
      <c r="E912" s="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1"/>
      <c r="B913" s="1"/>
      <c r="C913" s="1"/>
      <c r="D913" s="1"/>
      <c r="E913" s="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1"/>
      <c r="B914" s="1"/>
      <c r="C914" s="1"/>
      <c r="D914" s="1"/>
      <c r="E914" s="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1"/>
      <c r="B915" s="1"/>
      <c r="C915" s="1"/>
      <c r="D915" s="1"/>
      <c r="E915" s="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1"/>
      <c r="B916" s="1"/>
      <c r="C916" s="1"/>
      <c r="D916" s="1"/>
      <c r="E916" s="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1"/>
      <c r="B917" s="1"/>
      <c r="C917" s="1"/>
      <c r="D917" s="1"/>
      <c r="E917" s="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1"/>
      <c r="B918" s="1"/>
      <c r="C918" s="1"/>
      <c r="D918" s="1"/>
      <c r="E918" s="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1"/>
      <c r="B919" s="1"/>
      <c r="C919" s="1"/>
      <c r="D919" s="1"/>
      <c r="E919" s="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1"/>
      <c r="B920" s="1"/>
      <c r="C920" s="1"/>
      <c r="D920" s="1"/>
      <c r="E920" s="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1"/>
      <c r="B921" s="1"/>
      <c r="C921" s="1"/>
      <c r="D921" s="1"/>
      <c r="E921" s="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1"/>
      <c r="B922" s="1"/>
      <c r="C922" s="1"/>
      <c r="D922" s="1"/>
      <c r="E922" s="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1"/>
      <c r="B923" s="1"/>
      <c r="C923" s="1"/>
      <c r="D923" s="1"/>
      <c r="E923" s="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1"/>
      <c r="B924" s="1"/>
      <c r="C924" s="1"/>
      <c r="D924" s="1"/>
      <c r="E924" s="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1"/>
      <c r="B925" s="1"/>
      <c r="C925" s="1"/>
      <c r="D925" s="1"/>
      <c r="E925" s="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1"/>
      <c r="B926" s="1"/>
      <c r="C926" s="1"/>
      <c r="D926" s="1"/>
      <c r="E926" s="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1"/>
      <c r="B927" s="1"/>
      <c r="C927" s="1"/>
      <c r="D927" s="1"/>
      <c r="E927" s="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1"/>
      <c r="B928" s="1"/>
      <c r="C928" s="1"/>
      <c r="D928" s="1"/>
      <c r="E928" s="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1"/>
      <c r="B929" s="1"/>
      <c r="C929" s="1"/>
      <c r="D929" s="1"/>
      <c r="E929" s="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1"/>
      <c r="B930" s="1"/>
      <c r="C930" s="1"/>
      <c r="D930" s="1"/>
      <c r="E930" s="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1"/>
      <c r="B931" s="1"/>
      <c r="C931" s="1"/>
      <c r="D931" s="1"/>
      <c r="E931" s="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1"/>
      <c r="B932" s="1"/>
      <c r="C932" s="1"/>
      <c r="D932" s="1"/>
      <c r="E932" s="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1"/>
      <c r="B933" s="1"/>
      <c r="C933" s="1"/>
      <c r="D933" s="1"/>
      <c r="E933" s="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1"/>
      <c r="B934" s="1"/>
      <c r="C934" s="1"/>
      <c r="D934" s="1"/>
      <c r="E934" s="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1"/>
      <c r="B935" s="1"/>
      <c r="C935" s="1"/>
      <c r="D935" s="1"/>
      <c r="E935" s="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1"/>
      <c r="B936" s="1"/>
      <c r="C936" s="1"/>
      <c r="D936" s="1"/>
      <c r="E936" s="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1"/>
      <c r="B937" s="1"/>
      <c r="C937" s="1"/>
      <c r="D937" s="1"/>
      <c r="E937" s="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1"/>
      <c r="B938" s="1"/>
      <c r="C938" s="1"/>
      <c r="D938" s="1"/>
      <c r="E938" s="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1"/>
      <c r="B939" s="1"/>
      <c r="C939" s="1"/>
      <c r="D939" s="1"/>
      <c r="E939" s="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1"/>
      <c r="B940" s="1"/>
      <c r="C940" s="1"/>
      <c r="D940" s="1"/>
      <c r="E940" s="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1"/>
      <c r="B941" s="1"/>
      <c r="C941" s="1"/>
      <c r="D941" s="1"/>
      <c r="E941" s="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1"/>
      <c r="B942" s="1"/>
      <c r="C942" s="1"/>
      <c r="D942" s="1"/>
      <c r="E942" s="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1"/>
      <c r="B943" s="1"/>
      <c r="C943" s="1"/>
      <c r="D943" s="1"/>
      <c r="E943" s="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1"/>
      <c r="B944" s="1"/>
      <c r="C944" s="1"/>
      <c r="D944" s="1"/>
      <c r="E944" s="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1"/>
      <c r="B945" s="1"/>
      <c r="C945" s="1"/>
      <c r="D945" s="1"/>
      <c r="E945" s="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1"/>
      <c r="B946" s="1"/>
      <c r="C946" s="1"/>
      <c r="D946" s="1"/>
      <c r="E946" s="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1"/>
      <c r="B947" s="1"/>
      <c r="C947" s="1"/>
      <c r="D947" s="1"/>
      <c r="E947" s="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1"/>
      <c r="B948" s="1"/>
      <c r="C948" s="1"/>
      <c r="D948" s="1"/>
      <c r="E948" s="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1"/>
      <c r="B949" s="1"/>
      <c r="C949" s="1"/>
      <c r="D949" s="1"/>
      <c r="E949" s="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1"/>
      <c r="B950" s="1"/>
      <c r="C950" s="1"/>
      <c r="D950" s="1"/>
      <c r="E950" s="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1"/>
      <c r="B951" s="1"/>
      <c r="C951" s="1"/>
      <c r="D951" s="1"/>
      <c r="E951" s="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1"/>
      <c r="B952" s="1"/>
      <c r="C952" s="1"/>
      <c r="D952" s="1"/>
      <c r="E952" s="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1"/>
      <c r="B953" s="1"/>
      <c r="C953" s="1"/>
      <c r="D953" s="1"/>
      <c r="E953" s="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1"/>
      <c r="B954" s="1"/>
      <c r="C954" s="1"/>
      <c r="D954" s="1"/>
      <c r="E954" s="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1"/>
      <c r="B955" s="1"/>
      <c r="C955" s="1"/>
      <c r="D955" s="1"/>
      <c r="E955" s="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1"/>
      <c r="B956" s="1"/>
      <c r="C956" s="1"/>
      <c r="D956" s="1"/>
      <c r="E956" s="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1"/>
      <c r="B957" s="1"/>
      <c r="C957" s="1"/>
      <c r="D957" s="1"/>
      <c r="E957" s="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1"/>
      <c r="B958" s="1"/>
      <c r="C958" s="1"/>
      <c r="D958" s="1"/>
      <c r="E958" s="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1"/>
      <c r="B959" s="1"/>
      <c r="C959" s="1"/>
      <c r="D959" s="1"/>
      <c r="E959" s="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1"/>
      <c r="B960" s="1"/>
      <c r="C960" s="1"/>
      <c r="D960" s="1"/>
      <c r="E960" s="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1"/>
      <c r="B961" s="1"/>
      <c r="C961" s="1"/>
      <c r="D961" s="1"/>
      <c r="E961" s="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1"/>
      <c r="B962" s="1"/>
      <c r="C962" s="1"/>
      <c r="D962" s="1"/>
      <c r="E962" s="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1"/>
      <c r="B963" s="1"/>
      <c r="C963" s="1"/>
      <c r="D963" s="1"/>
      <c r="E963" s="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1"/>
      <c r="B964" s="1"/>
      <c r="C964" s="1"/>
      <c r="D964" s="1"/>
      <c r="E964" s="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1"/>
      <c r="B965" s="1"/>
      <c r="C965" s="1"/>
      <c r="D965" s="1"/>
      <c r="E965" s="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1"/>
      <c r="B966" s="1"/>
      <c r="C966" s="1"/>
      <c r="D966" s="1"/>
      <c r="E966" s="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1"/>
      <c r="B967" s="1"/>
      <c r="C967" s="1"/>
      <c r="D967" s="1"/>
      <c r="E967" s="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1"/>
      <c r="B968" s="1"/>
      <c r="C968" s="1"/>
      <c r="D968" s="1"/>
      <c r="E968" s="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1"/>
      <c r="B969" s="1"/>
      <c r="C969" s="1"/>
      <c r="D969" s="1"/>
      <c r="E969" s="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1"/>
      <c r="B970" s="1"/>
      <c r="C970" s="1"/>
      <c r="D970" s="1"/>
      <c r="E970" s="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1"/>
      <c r="B971" s="1"/>
      <c r="C971" s="1"/>
      <c r="D971" s="1"/>
      <c r="E971" s="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1"/>
      <c r="B972" s="1"/>
      <c r="C972" s="1"/>
      <c r="D972" s="1"/>
      <c r="E972" s="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</sheetData>
  <dataValidations>
    <dataValidation type="list" allowBlank="1" showErrorMessage="1" sqref="F3:F100">
      <formula1>"可調各月數值/不可調年加總金額/不可調項目,可調各月數值/可調年加總/不可刪改項目,可調各月數值/可調年加總金額/可刪改項目"</formula1>
    </dataValidation>
    <dataValidation type="list" allowBlank="1" showErrorMessage="1" sqref="G3:G100">
      <formula1>"不可調,難，需跨事業協調,中等，事業可自行調整部分項目,易，事業可自行調整多數項目"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24.63"/>
    <col customWidth="1" min="3" max="3" width="23.88"/>
    <col customWidth="1" min="4" max="4" width="25.38"/>
    <col customWidth="1" min="5" max="5" width="15.25"/>
  </cols>
  <sheetData>
    <row r="1">
      <c r="A1" s="20"/>
      <c r="B1" s="20"/>
      <c r="C1" s="20"/>
      <c r="D1" s="20"/>
      <c r="E1" s="21"/>
      <c r="F1" s="22">
        <v>45658.0</v>
      </c>
      <c r="G1" s="22">
        <v>45689.0</v>
      </c>
      <c r="H1" s="22">
        <v>45717.0</v>
      </c>
      <c r="I1" s="22">
        <v>45748.0</v>
      </c>
      <c r="J1" s="22">
        <v>45778.0</v>
      </c>
      <c r="K1" s="22">
        <v>45809.0</v>
      </c>
      <c r="L1" s="23" t="s">
        <v>9</v>
      </c>
      <c r="M1" s="23" t="s">
        <v>9</v>
      </c>
      <c r="N1" s="22">
        <v>45839.0</v>
      </c>
      <c r="O1" s="22">
        <v>45870.0</v>
      </c>
      <c r="P1" s="22">
        <v>45901.0</v>
      </c>
      <c r="Q1" s="22">
        <v>45931.0</v>
      </c>
      <c r="R1" s="22">
        <v>45962.0</v>
      </c>
      <c r="S1" s="22">
        <v>45992.0</v>
      </c>
      <c r="T1" s="24" t="s">
        <v>10</v>
      </c>
      <c r="U1" s="24" t="s">
        <v>10</v>
      </c>
      <c r="V1" s="22">
        <v>46023.0</v>
      </c>
      <c r="W1" s="22">
        <v>46054.0</v>
      </c>
      <c r="X1" s="22">
        <v>46082.0</v>
      </c>
      <c r="Y1" s="22">
        <v>46113.0</v>
      </c>
      <c r="Z1" s="22">
        <v>46143.0</v>
      </c>
      <c r="AA1" s="22">
        <v>46174.0</v>
      </c>
      <c r="AB1" s="22">
        <v>46204.0</v>
      </c>
      <c r="AC1" s="22">
        <v>46235.0</v>
      </c>
      <c r="AD1" s="22">
        <v>46266.0</v>
      </c>
      <c r="AE1" s="22">
        <v>46296.0</v>
      </c>
      <c r="AF1" s="22">
        <v>46327.0</v>
      </c>
      <c r="AG1" s="22">
        <v>46357.0</v>
      </c>
      <c r="AH1" s="24" t="s">
        <v>11</v>
      </c>
      <c r="AI1" s="24" t="s">
        <v>11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  <c r="AW1" s="26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6"/>
      <c r="BK1" s="26"/>
    </row>
    <row r="2">
      <c r="A2" s="27" t="s">
        <v>12</v>
      </c>
      <c r="B2" s="27" t="s">
        <v>13</v>
      </c>
      <c r="C2" s="27" t="s">
        <v>14</v>
      </c>
      <c r="D2" s="27" t="s">
        <v>15</v>
      </c>
      <c r="E2" s="27" t="s">
        <v>16</v>
      </c>
      <c r="F2" s="28" t="s">
        <v>17</v>
      </c>
      <c r="G2" s="28" t="s">
        <v>17</v>
      </c>
      <c r="H2" s="28" t="s">
        <v>17</v>
      </c>
      <c r="I2" s="28" t="s">
        <v>17</v>
      </c>
      <c r="J2" s="28" t="s">
        <v>17</v>
      </c>
      <c r="K2" s="28" t="s">
        <v>17</v>
      </c>
      <c r="L2" s="29" t="s">
        <v>18</v>
      </c>
      <c r="M2" s="29" t="s">
        <v>19</v>
      </c>
      <c r="N2" s="30" t="s">
        <v>20</v>
      </c>
      <c r="O2" s="30" t="s">
        <v>20</v>
      </c>
      <c r="P2" s="30" t="s">
        <v>20</v>
      </c>
      <c r="Q2" s="30" t="s">
        <v>20</v>
      </c>
      <c r="R2" s="31" t="s">
        <v>20</v>
      </c>
      <c r="S2" s="31" t="s">
        <v>20</v>
      </c>
      <c r="T2" s="24" t="s">
        <v>18</v>
      </c>
      <c r="U2" s="24" t="s">
        <v>19</v>
      </c>
      <c r="V2" s="31" t="s">
        <v>20</v>
      </c>
      <c r="W2" s="31" t="s">
        <v>20</v>
      </c>
      <c r="X2" s="31" t="s">
        <v>20</v>
      </c>
      <c r="Y2" s="31" t="s">
        <v>20</v>
      </c>
      <c r="Z2" s="31" t="s">
        <v>20</v>
      </c>
      <c r="AA2" s="31" t="s">
        <v>20</v>
      </c>
      <c r="AB2" s="31" t="s">
        <v>20</v>
      </c>
      <c r="AC2" s="31" t="s">
        <v>20</v>
      </c>
      <c r="AD2" s="31" t="s">
        <v>20</v>
      </c>
      <c r="AE2" s="31" t="s">
        <v>20</v>
      </c>
      <c r="AF2" s="31" t="s">
        <v>20</v>
      </c>
      <c r="AG2" s="31" t="s">
        <v>20</v>
      </c>
      <c r="AH2" s="24" t="s">
        <v>18</v>
      </c>
      <c r="AI2" s="24" t="s">
        <v>19</v>
      </c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26"/>
      <c r="AW2" s="26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26"/>
      <c r="BK2" s="26"/>
    </row>
    <row r="3">
      <c r="A3" s="33" t="s">
        <v>21</v>
      </c>
      <c r="B3" s="33" t="s">
        <v>22</v>
      </c>
      <c r="C3" s="33" t="s">
        <v>21</v>
      </c>
      <c r="D3" s="33"/>
      <c r="E3" s="33"/>
      <c r="F3" s="34">
        <f t="shared" ref="F3:K3" si="1">F4</f>
        <v>1671746</v>
      </c>
      <c r="G3" s="34">
        <f t="shared" si="1"/>
        <v>1723716</v>
      </c>
      <c r="H3" s="34">
        <f t="shared" si="1"/>
        <v>1657711</v>
      </c>
      <c r="I3" s="34">
        <f t="shared" si="1"/>
        <v>1654058</v>
      </c>
      <c r="J3" s="34">
        <f t="shared" si="1"/>
        <v>1737264</v>
      </c>
      <c r="K3" s="34">
        <f t="shared" si="1"/>
        <v>1729151</v>
      </c>
      <c r="L3" s="34">
        <f t="shared" ref="L3:L7" si="4">SUM(F3:K3)</f>
        <v>10173646</v>
      </c>
      <c r="M3" s="35">
        <f>L3/L3</f>
        <v>1</v>
      </c>
      <c r="N3" s="34">
        <f t="shared" ref="N3:S3" si="2">N4</f>
        <v>1861151</v>
      </c>
      <c r="O3" s="34">
        <f t="shared" si="2"/>
        <v>2047601</v>
      </c>
      <c r="P3" s="34">
        <f t="shared" si="2"/>
        <v>2247251</v>
      </c>
      <c r="Q3" s="34">
        <f t="shared" si="2"/>
        <v>2453501</v>
      </c>
      <c r="R3" s="34">
        <f t="shared" si="2"/>
        <v>2691101</v>
      </c>
      <c r="S3" s="34">
        <f t="shared" si="2"/>
        <v>2943551</v>
      </c>
      <c r="T3" s="34">
        <f t="shared" ref="T3:T7" si="6">SUM(N3:S3)+L3</f>
        <v>24417802</v>
      </c>
      <c r="U3" s="35">
        <f>T3/T3</f>
        <v>1</v>
      </c>
      <c r="V3" s="34">
        <f t="shared" ref="V3:AG3" si="3">V4</f>
        <v>3221500</v>
      </c>
      <c r="W3" s="34">
        <f t="shared" si="3"/>
        <v>3332000</v>
      </c>
      <c r="X3" s="34">
        <f t="shared" si="3"/>
        <v>3442500</v>
      </c>
      <c r="Y3" s="34">
        <f t="shared" si="3"/>
        <v>3544500</v>
      </c>
      <c r="Z3" s="34">
        <f t="shared" si="3"/>
        <v>3646500</v>
      </c>
      <c r="AA3" s="34">
        <f t="shared" si="3"/>
        <v>3748500</v>
      </c>
      <c r="AB3" s="34">
        <f t="shared" si="3"/>
        <v>3842000</v>
      </c>
      <c r="AC3" s="34">
        <f t="shared" si="3"/>
        <v>3935500</v>
      </c>
      <c r="AD3" s="34">
        <f t="shared" si="3"/>
        <v>4029000</v>
      </c>
      <c r="AE3" s="34">
        <f t="shared" si="3"/>
        <v>4114000</v>
      </c>
      <c r="AF3" s="34">
        <f t="shared" si="3"/>
        <v>4199000</v>
      </c>
      <c r="AG3" s="34">
        <f t="shared" si="3"/>
        <v>4284000</v>
      </c>
      <c r="AH3" s="34">
        <f t="shared" ref="AH3:AH7" si="8">SUM(V3:AG3)</f>
        <v>45339000</v>
      </c>
      <c r="AI3" s="35">
        <f>AH3/AH3</f>
        <v>1</v>
      </c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>
      <c r="A4" s="33"/>
      <c r="B4" s="37" t="s">
        <v>23</v>
      </c>
      <c r="C4" s="38"/>
      <c r="D4" s="33"/>
      <c r="E4" s="33"/>
      <c r="F4" s="34">
        <f>F5+F6+F7</f>
        <v>1671746</v>
      </c>
      <c r="G4" s="34">
        <v>1723716.0</v>
      </c>
      <c r="H4" s="34">
        <v>1657711.0</v>
      </c>
      <c r="I4" s="34">
        <v>1654058.0</v>
      </c>
      <c r="J4" s="34">
        <v>1737264.0</v>
      </c>
      <c r="K4" s="34">
        <v>1729151.0</v>
      </c>
      <c r="L4" s="34">
        <f t="shared" si="4"/>
        <v>10173646</v>
      </c>
      <c r="M4" s="33"/>
      <c r="N4" s="34">
        <f t="shared" ref="N4:S4" si="5">N5+N6+N7</f>
        <v>1861151</v>
      </c>
      <c r="O4" s="34">
        <f t="shared" si="5"/>
        <v>2047601</v>
      </c>
      <c r="P4" s="34">
        <f t="shared" si="5"/>
        <v>2247251</v>
      </c>
      <c r="Q4" s="34">
        <f t="shared" si="5"/>
        <v>2453501</v>
      </c>
      <c r="R4" s="34">
        <f t="shared" si="5"/>
        <v>2691101</v>
      </c>
      <c r="S4" s="34">
        <f t="shared" si="5"/>
        <v>2943551</v>
      </c>
      <c r="T4" s="34">
        <f t="shared" si="6"/>
        <v>24417802</v>
      </c>
      <c r="U4" s="33"/>
      <c r="V4" s="34">
        <f t="shared" ref="V4:AG4" si="7">sum(V5:V7)</f>
        <v>3221500</v>
      </c>
      <c r="W4" s="34">
        <f t="shared" si="7"/>
        <v>3332000</v>
      </c>
      <c r="X4" s="34">
        <f t="shared" si="7"/>
        <v>3442500</v>
      </c>
      <c r="Y4" s="34">
        <f t="shared" si="7"/>
        <v>3544500</v>
      </c>
      <c r="Z4" s="34">
        <f t="shared" si="7"/>
        <v>3646500</v>
      </c>
      <c r="AA4" s="34">
        <f t="shared" si="7"/>
        <v>3748500</v>
      </c>
      <c r="AB4" s="34">
        <f t="shared" si="7"/>
        <v>3842000</v>
      </c>
      <c r="AC4" s="34">
        <f t="shared" si="7"/>
        <v>3935500</v>
      </c>
      <c r="AD4" s="34">
        <f t="shared" si="7"/>
        <v>4029000</v>
      </c>
      <c r="AE4" s="34">
        <f t="shared" si="7"/>
        <v>4114000</v>
      </c>
      <c r="AF4" s="34">
        <f t="shared" si="7"/>
        <v>4199000</v>
      </c>
      <c r="AG4" s="34">
        <f t="shared" si="7"/>
        <v>4284000</v>
      </c>
      <c r="AH4" s="34">
        <f t="shared" si="8"/>
        <v>45339000</v>
      </c>
      <c r="AI4" s="33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>
      <c r="A5" s="33"/>
      <c r="B5" s="33"/>
      <c r="C5" s="33" t="s">
        <v>24</v>
      </c>
      <c r="D5" s="37" t="s">
        <v>25</v>
      </c>
      <c r="E5" s="33" t="s">
        <v>26</v>
      </c>
      <c r="F5" s="34">
        <v>1692290.0</v>
      </c>
      <c r="G5" s="34">
        <f t="shared" ref="G5:K5" si="9">F4</f>
        <v>1671746</v>
      </c>
      <c r="H5" s="34">
        <f t="shared" si="9"/>
        <v>1723716</v>
      </c>
      <c r="I5" s="34">
        <f t="shared" si="9"/>
        <v>1657711</v>
      </c>
      <c r="J5" s="34">
        <f t="shared" si="9"/>
        <v>1654058</v>
      </c>
      <c r="K5" s="34">
        <f t="shared" si="9"/>
        <v>1737264</v>
      </c>
      <c r="L5" s="34">
        <f t="shared" si="4"/>
        <v>10136785</v>
      </c>
      <c r="M5" s="33"/>
      <c r="N5" s="34">
        <f>K4</f>
        <v>1729151</v>
      </c>
      <c r="O5" s="34">
        <f t="shared" ref="O5:S5" si="10">N4</f>
        <v>1861151</v>
      </c>
      <c r="P5" s="34">
        <f t="shared" si="10"/>
        <v>2047601</v>
      </c>
      <c r="Q5" s="34">
        <f t="shared" si="10"/>
        <v>2247251</v>
      </c>
      <c r="R5" s="34">
        <f t="shared" si="10"/>
        <v>2453501</v>
      </c>
      <c r="S5" s="34">
        <f t="shared" si="10"/>
        <v>2691101</v>
      </c>
      <c r="T5" s="34">
        <f t="shared" si="6"/>
        <v>23166541</v>
      </c>
      <c r="U5" s="33"/>
      <c r="V5" s="34">
        <f t="shared" ref="V5:AG5" si="11">V48*V$58</f>
        <v>3111000</v>
      </c>
      <c r="W5" s="34">
        <f t="shared" si="11"/>
        <v>3221500</v>
      </c>
      <c r="X5" s="34">
        <f t="shared" si="11"/>
        <v>3332000</v>
      </c>
      <c r="Y5" s="34">
        <f t="shared" si="11"/>
        <v>3442500</v>
      </c>
      <c r="Z5" s="34">
        <f t="shared" si="11"/>
        <v>3544500</v>
      </c>
      <c r="AA5" s="34">
        <f t="shared" si="11"/>
        <v>3646500</v>
      </c>
      <c r="AB5" s="34">
        <f t="shared" si="11"/>
        <v>3748500</v>
      </c>
      <c r="AC5" s="34">
        <f t="shared" si="11"/>
        <v>3842000</v>
      </c>
      <c r="AD5" s="34">
        <f t="shared" si="11"/>
        <v>3935500</v>
      </c>
      <c r="AE5" s="34">
        <f t="shared" si="11"/>
        <v>4029000</v>
      </c>
      <c r="AF5" s="34">
        <f t="shared" si="11"/>
        <v>4114000</v>
      </c>
      <c r="AG5" s="34">
        <f t="shared" si="11"/>
        <v>4199000</v>
      </c>
      <c r="AH5" s="34">
        <f t="shared" si="8"/>
        <v>44166000</v>
      </c>
      <c r="AI5" s="33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3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3"/>
    </row>
    <row r="6">
      <c r="A6" s="33"/>
      <c r="B6" s="33"/>
      <c r="C6" s="33" t="s">
        <v>27</v>
      </c>
      <c r="D6" s="37" t="s">
        <v>28</v>
      </c>
      <c r="E6" s="37" t="s">
        <v>29</v>
      </c>
      <c r="F6" s="34">
        <f t="shared" ref="F6:K6" si="12">F49*F58</f>
        <v>27392</v>
      </c>
      <c r="G6" s="34">
        <f t="shared" si="12"/>
        <v>40480</v>
      </c>
      <c r="H6" s="34">
        <f t="shared" si="12"/>
        <v>64448</v>
      </c>
      <c r="I6" s="34">
        <f t="shared" si="12"/>
        <v>61753</v>
      </c>
      <c r="J6" s="34">
        <f t="shared" si="12"/>
        <v>95256</v>
      </c>
      <c r="K6" s="34">
        <f t="shared" si="12"/>
        <v>117288</v>
      </c>
      <c r="L6" s="34">
        <f t="shared" si="4"/>
        <v>406617</v>
      </c>
      <c r="M6" s="33"/>
      <c r="N6" s="34">
        <f t="shared" ref="N6:S6" si="13">N49*N58</f>
        <v>165000</v>
      </c>
      <c r="O6" s="34">
        <f t="shared" si="13"/>
        <v>219450</v>
      </c>
      <c r="P6" s="34">
        <f t="shared" si="13"/>
        <v>240900</v>
      </c>
      <c r="Q6" s="34">
        <f t="shared" si="13"/>
        <v>247500</v>
      </c>
      <c r="R6" s="34">
        <f t="shared" si="13"/>
        <v>287100</v>
      </c>
      <c r="S6" s="34">
        <f t="shared" si="13"/>
        <v>301950</v>
      </c>
      <c r="T6" s="34">
        <f t="shared" si="6"/>
        <v>1868517</v>
      </c>
      <c r="U6" s="33"/>
      <c r="V6" s="34">
        <f t="shared" ref="V6:AG6" si="14">V49*V58</f>
        <v>170000</v>
      </c>
      <c r="W6" s="34">
        <f t="shared" si="14"/>
        <v>170000</v>
      </c>
      <c r="X6" s="34">
        <f t="shared" si="14"/>
        <v>170000</v>
      </c>
      <c r="Y6" s="34">
        <f t="shared" si="14"/>
        <v>170000</v>
      </c>
      <c r="Z6" s="34">
        <f t="shared" si="14"/>
        <v>170000</v>
      </c>
      <c r="AA6" s="34">
        <f t="shared" si="14"/>
        <v>170000</v>
      </c>
      <c r="AB6" s="34">
        <f t="shared" si="14"/>
        <v>170000</v>
      </c>
      <c r="AC6" s="34">
        <f t="shared" si="14"/>
        <v>170000</v>
      </c>
      <c r="AD6" s="34">
        <f t="shared" si="14"/>
        <v>170000</v>
      </c>
      <c r="AE6" s="34">
        <f t="shared" si="14"/>
        <v>170000</v>
      </c>
      <c r="AF6" s="34">
        <f t="shared" si="14"/>
        <v>170000</v>
      </c>
      <c r="AG6" s="34">
        <f t="shared" si="14"/>
        <v>170000</v>
      </c>
      <c r="AH6" s="34">
        <f t="shared" si="8"/>
        <v>2040000</v>
      </c>
      <c r="AI6" s="33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3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3"/>
    </row>
    <row r="7">
      <c r="A7" s="33"/>
      <c r="B7" s="33"/>
      <c r="C7" s="33" t="s">
        <v>30</v>
      </c>
      <c r="D7" s="33" t="s">
        <v>31</v>
      </c>
      <c r="E7" s="33" t="s">
        <v>32</v>
      </c>
      <c r="F7" s="34">
        <f t="shared" ref="F7:K7" si="15">F50*F59</f>
        <v>-47936</v>
      </c>
      <c r="G7" s="34">
        <f t="shared" si="15"/>
        <v>-19360</v>
      </c>
      <c r="H7" s="34">
        <f t="shared" si="15"/>
        <v>-64448</v>
      </c>
      <c r="I7" s="34">
        <f t="shared" si="15"/>
        <v>-33380</v>
      </c>
      <c r="J7" s="34">
        <f t="shared" si="15"/>
        <v>-32319</v>
      </c>
      <c r="K7" s="34">
        <f t="shared" si="15"/>
        <v>-32580</v>
      </c>
      <c r="L7" s="34">
        <f t="shared" si="4"/>
        <v>-230023</v>
      </c>
      <c r="M7" s="33"/>
      <c r="N7" s="34">
        <f t="shared" ref="N7:S7" si="16">N50*N59</f>
        <v>-33000</v>
      </c>
      <c r="O7" s="34">
        <f t="shared" si="16"/>
        <v>-33000</v>
      </c>
      <c r="P7" s="34">
        <f t="shared" si="16"/>
        <v>-41250</v>
      </c>
      <c r="Q7" s="34">
        <f t="shared" si="16"/>
        <v>-41250</v>
      </c>
      <c r="R7" s="34">
        <f t="shared" si="16"/>
        <v>-49500</v>
      </c>
      <c r="S7" s="34">
        <f t="shared" si="16"/>
        <v>-49500</v>
      </c>
      <c r="T7" s="34">
        <f t="shared" si="6"/>
        <v>-477523</v>
      </c>
      <c r="U7" s="33"/>
      <c r="V7" s="34">
        <f t="shared" ref="V7:AG7" si="17">V50*V58</f>
        <v>-59500</v>
      </c>
      <c r="W7" s="34">
        <f t="shared" si="17"/>
        <v>-59500</v>
      </c>
      <c r="X7" s="34">
        <f t="shared" si="17"/>
        <v>-59500</v>
      </c>
      <c r="Y7" s="34">
        <f t="shared" si="17"/>
        <v>-68000</v>
      </c>
      <c r="Z7" s="34">
        <f t="shared" si="17"/>
        <v>-68000</v>
      </c>
      <c r="AA7" s="34">
        <f t="shared" si="17"/>
        <v>-68000</v>
      </c>
      <c r="AB7" s="34">
        <f t="shared" si="17"/>
        <v>-76500</v>
      </c>
      <c r="AC7" s="34">
        <f t="shared" si="17"/>
        <v>-76500</v>
      </c>
      <c r="AD7" s="34">
        <f t="shared" si="17"/>
        <v>-76500</v>
      </c>
      <c r="AE7" s="34">
        <f t="shared" si="17"/>
        <v>-85000</v>
      </c>
      <c r="AF7" s="34">
        <f t="shared" si="17"/>
        <v>-85000</v>
      </c>
      <c r="AG7" s="34">
        <f t="shared" si="17"/>
        <v>-85000</v>
      </c>
      <c r="AH7" s="34">
        <f t="shared" si="8"/>
        <v>-867000</v>
      </c>
      <c r="AI7" s="33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3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3"/>
    </row>
    <row r="8">
      <c r="A8" s="33"/>
      <c r="B8" s="37" t="s">
        <v>33</v>
      </c>
      <c r="C8" s="38"/>
      <c r="D8" s="33"/>
      <c r="E8" s="33"/>
      <c r="F8" s="34"/>
      <c r="G8" s="34"/>
      <c r="H8" s="34"/>
      <c r="I8" s="34"/>
      <c r="J8" s="34"/>
      <c r="K8" s="34"/>
      <c r="L8" s="34"/>
      <c r="M8" s="33"/>
      <c r="N8" s="34"/>
      <c r="O8" s="34"/>
      <c r="P8" s="34"/>
      <c r="Q8" s="34"/>
      <c r="R8" s="34"/>
      <c r="S8" s="34"/>
      <c r="T8" s="34"/>
      <c r="U8" s="33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3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3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3"/>
    </row>
    <row r="9">
      <c r="A9" s="33" t="s">
        <v>34</v>
      </c>
      <c r="B9" s="33" t="s">
        <v>22</v>
      </c>
      <c r="C9" s="39" t="s">
        <v>34</v>
      </c>
      <c r="D9" s="33"/>
      <c r="E9" s="33"/>
      <c r="F9" s="34">
        <f t="shared" ref="F9:K9" si="18">F10+F12+F16</f>
        <v>-358918</v>
      </c>
      <c r="G9" s="34">
        <f t="shared" si="18"/>
        <v>-322413</v>
      </c>
      <c r="H9" s="34">
        <f t="shared" si="18"/>
        <v>-372701</v>
      </c>
      <c r="I9" s="34">
        <f t="shared" si="18"/>
        <v>-358189</v>
      </c>
      <c r="J9" s="34">
        <f t="shared" si="18"/>
        <v>-358259</v>
      </c>
      <c r="K9" s="34">
        <f t="shared" si="18"/>
        <v>-348408</v>
      </c>
      <c r="L9" s="34">
        <f t="shared" ref="L9:L18" si="22">SUM(F9:K9)</f>
        <v>-2118888</v>
      </c>
      <c r="M9" s="35">
        <f>L9/L$3</f>
        <v>-0.2082722359</v>
      </c>
      <c r="N9" s="40">
        <f t="shared" ref="N9:S9" si="19">N10+N12+N16</f>
        <v>-492217</v>
      </c>
      <c r="O9" s="40">
        <f t="shared" si="19"/>
        <v>-355845</v>
      </c>
      <c r="P9" s="40">
        <f t="shared" si="19"/>
        <v>-377590</v>
      </c>
      <c r="Q9" s="40">
        <f t="shared" si="19"/>
        <v>-421592</v>
      </c>
      <c r="R9" s="40">
        <f t="shared" si="19"/>
        <v>-429710</v>
      </c>
      <c r="S9" s="40">
        <f t="shared" si="19"/>
        <v>-465311</v>
      </c>
      <c r="T9" s="40">
        <f t="shared" ref="T9:T18" si="24">SUM(N9:S9)+L9</f>
        <v>-4661153</v>
      </c>
      <c r="U9" s="35">
        <f>T9/T$3</f>
        <v>-0.190891588</v>
      </c>
      <c r="V9" s="34">
        <f t="shared" ref="V9:AG9" si="20">V10+V12+V16</f>
        <v>-557319.5</v>
      </c>
      <c r="W9" s="34">
        <f t="shared" si="20"/>
        <v>-569772</v>
      </c>
      <c r="X9" s="34">
        <f t="shared" si="20"/>
        <v>-581782.5</v>
      </c>
      <c r="Y9" s="34">
        <f t="shared" si="20"/>
        <v>-591931.5</v>
      </c>
      <c r="Z9" s="34">
        <f t="shared" si="20"/>
        <v>-601672.5</v>
      </c>
      <c r="AA9" s="34">
        <f t="shared" si="20"/>
        <v>-611005.5</v>
      </c>
      <c r="AB9" s="34">
        <f t="shared" si="20"/>
        <v>-618562</v>
      </c>
      <c r="AC9" s="34">
        <f t="shared" si="20"/>
        <v>-625744.5</v>
      </c>
      <c r="AD9" s="34">
        <f t="shared" si="20"/>
        <v>-632553</v>
      </c>
      <c r="AE9" s="34">
        <f t="shared" si="20"/>
        <v>-637670</v>
      </c>
      <c r="AF9" s="34">
        <f t="shared" si="20"/>
        <v>-642447</v>
      </c>
      <c r="AG9" s="34">
        <f t="shared" si="20"/>
        <v>-646884</v>
      </c>
      <c r="AH9" s="34">
        <f t="shared" ref="AH9:AH18" si="26">SUM(V9:AG9)</f>
        <v>-7317344</v>
      </c>
      <c r="AI9" s="35">
        <f>AH9/AH$3</f>
        <v>-0.161391826</v>
      </c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6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6"/>
      <c r="BK9" s="33"/>
    </row>
    <row r="10">
      <c r="A10" s="33"/>
      <c r="B10" s="33" t="s">
        <v>35</v>
      </c>
      <c r="C10" s="39" t="s">
        <v>36</v>
      </c>
      <c r="D10" s="33"/>
      <c r="E10" s="33"/>
      <c r="F10" s="34">
        <f t="shared" ref="F10:K10" si="21">F11</f>
        <v>-89469</v>
      </c>
      <c r="G10" s="34">
        <f t="shared" si="21"/>
        <v>-79460</v>
      </c>
      <c r="H10" s="34">
        <f t="shared" si="21"/>
        <v>-76377</v>
      </c>
      <c r="I10" s="34">
        <f t="shared" si="21"/>
        <v>-71462</v>
      </c>
      <c r="J10" s="34">
        <f t="shared" si="21"/>
        <v>-112366</v>
      </c>
      <c r="K10" s="34">
        <f t="shared" si="21"/>
        <v>-62236</v>
      </c>
      <c r="L10" s="34">
        <f t="shared" si="22"/>
        <v>-491370</v>
      </c>
      <c r="M10" s="33"/>
      <c r="N10" s="40">
        <f t="shared" ref="N10:S10" si="23">N11</f>
        <v>-115735</v>
      </c>
      <c r="O10" s="40">
        <f t="shared" si="23"/>
        <v>-138522</v>
      </c>
      <c r="P10" s="40">
        <f t="shared" si="23"/>
        <v>-107084</v>
      </c>
      <c r="Q10" s="40">
        <f t="shared" si="23"/>
        <v>-108285</v>
      </c>
      <c r="R10" s="40">
        <f t="shared" si="23"/>
        <v>-109371</v>
      </c>
      <c r="S10" s="40">
        <f t="shared" si="23"/>
        <v>-110659</v>
      </c>
      <c r="T10" s="40">
        <f t="shared" si="24"/>
        <v>-1181026</v>
      </c>
      <c r="U10" s="33"/>
      <c r="V10" s="34">
        <f t="shared" ref="V10:AG10" si="25">V11</f>
        <v>-154632</v>
      </c>
      <c r="W10" s="34">
        <f t="shared" si="25"/>
        <v>-159936</v>
      </c>
      <c r="X10" s="34">
        <f t="shared" si="25"/>
        <v>-165240</v>
      </c>
      <c r="Y10" s="34">
        <f t="shared" si="25"/>
        <v>-170136</v>
      </c>
      <c r="Z10" s="34">
        <f t="shared" si="25"/>
        <v>-175032</v>
      </c>
      <c r="AA10" s="34">
        <f t="shared" si="25"/>
        <v>-179928</v>
      </c>
      <c r="AB10" s="34">
        <f t="shared" si="25"/>
        <v>-184416</v>
      </c>
      <c r="AC10" s="34">
        <f t="shared" si="25"/>
        <v>-188904</v>
      </c>
      <c r="AD10" s="34">
        <f t="shared" si="25"/>
        <v>-193392</v>
      </c>
      <c r="AE10" s="34">
        <f t="shared" si="25"/>
        <v>-197472</v>
      </c>
      <c r="AF10" s="34">
        <f t="shared" si="25"/>
        <v>-201552</v>
      </c>
      <c r="AG10" s="34">
        <f t="shared" si="25"/>
        <v>-205632</v>
      </c>
      <c r="AH10" s="34">
        <f t="shared" si="26"/>
        <v>-2176272</v>
      </c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6"/>
      <c r="AW10" s="36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6"/>
      <c r="BK10" s="36"/>
    </row>
    <row r="11">
      <c r="A11" s="33"/>
      <c r="B11" s="33"/>
      <c r="C11" s="33" t="s">
        <v>36</v>
      </c>
      <c r="D11" s="33" t="s">
        <v>37</v>
      </c>
      <c r="E11" s="33" t="s">
        <v>38</v>
      </c>
      <c r="F11" s="34">
        <v>-89469.0</v>
      </c>
      <c r="G11" s="34">
        <v>-79460.0</v>
      </c>
      <c r="H11" s="34">
        <v>-76377.0</v>
      </c>
      <c r="I11" s="34">
        <v>-71462.0</v>
      </c>
      <c r="J11" s="34">
        <v>-112366.0</v>
      </c>
      <c r="K11" s="34">
        <v>-62236.0</v>
      </c>
      <c r="L11" s="34">
        <f t="shared" si="22"/>
        <v>-491370</v>
      </c>
      <c r="M11" s="33"/>
      <c r="N11" s="41">
        <v>-115735.0</v>
      </c>
      <c r="O11" s="41">
        <v>-138522.0</v>
      </c>
      <c r="P11" s="41">
        <v>-107084.0</v>
      </c>
      <c r="Q11" s="41">
        <v>-108285.0</v>
      </c>
      <c r="R11" s="41">
        <v>-109371.0</v>
      </c>
      <c r="S11" s="41">
        <v>-110659.0</v>
      </c>
      <c r="T11" s="40">
        <f t="shared" si="24"/>
        <v>-1181026</v>
      </c>
      <c r="U11" s="33"/>
      <c r="V11" s="34">
        <f t="shared" ref="V11:AG11" si="27">V3*V73</f>
        <v>-154632</v>
      </c>
      <c r="W11" s="34">
        <f t="shared" si="27"/>
        <v>-159936</v>
      </c>
      <c r="X11" s="34">
        <f t="shared" si="27"/>
        <v>-165240</v>
      </c>
      <c r="Y11" s="34">
        <f t="shared" si="27"/>
        <v>-170136</v>
      </c>
      <c r="Z11" s="34">
        <f t="shared" si="27"/>
        <v>-175032</v>
      </c>
      <c r="AA11" s="34">
        <f t="shared" si="27"/>
        <v>-179928</v>
      </c>
      <c r="AB11" s="34">
        <f t="shared" si="27"/>
        <v>-184416</v>
      </c>
      <c r="AC11" s="34">
        <f t="shared" si="27"/>
        <v>-188904</v>
      </c>
      <c r="AD11" s="34">
        <f t="shared" si="27"/>
        <v>-193392</v>
      </c>
      <c r="AE11" s="34">
        <f t="shared" si="27"/>
        <v>-197472</v>
      </c>
      <c r="AF11" s="34">
        <f t="shared" si="27"/>
        <v>-201552</v>
      </c>
      <c r="AG11" s="34">
        <f t="shared" si="27"/>
        <v>-205632</v>
      </c>
      <c r="AH11" s="34">
        <f t="shared" si="26"/>
        <v>-2176272</v>
      </c>
      <c r="AI11" s="33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>
      <c r="A12" s="33"/>
      <c r="B12" s="33" t="s">
        <v>35</v>
      </c>
      <c r="C12" s="33" t="s">
        <v>39</v>
      </c>
      <c r="D12" s="33"/>
      <c r="E12" s="33"/>
      <c r="F12" s="34">
        <f t="shared" ref="F12:K12" si="28">sum(F13:F15)</f>
        <v>-269449</v>
      </c>
      <c r="G12" s="34">
        <f t="shared" si="28"/>
        <v>-242953</v>
      </c>
      <c r="H12" s="34">
        <f t="shared" si="28"/>
        <v>-296324</v>
      </c>
      <c r="I12" s="34">
        <f t="shared" si="28"/>
        <v>-286727</v>
      </c>
      <c r="J12" s="34">
        <f t="shared" si="28"/>
        <v>-245893</v>
      </c>
      <c r="K12" s="34">
        <f t="shared" si="28"/>
        <v>-286172</v>
      </c>
      <c r="L12" s="34">
        <f t="shared" si="22"/>
        <v>-1627518</v>
      </c>
      <c r="M12" s="33"/>
      <c r="N12" s="40">
        <f t="shared" ref="N12:S12" si="29">sum(N13:N15)</f>
        <v>-340430</v>
      </c>
      <c r="O12" s="40">
        <f t="shared" si="29"/>
        <v>-202211</v>
      </c>
      <c r="P12" s="40">
        <f t="shared" si="29"/>
        <v>-255394</v>
      </c>
      <c r="Q12" s="40">
        <f t="shared" si="29"/>
        <v>-298195</v>
      </c>
      <c r="R12" s="40">
        <f t="shared" si="29"/>
        <v>-305227</v>
      </c>
      <c r="S12" s="40">
        <f t="shared" si="29"/>
        <v>-340430</v>
      </c>
      <c r="T12" s="40">
        <f t="shared" si="24"/>
        <v>-3369405</v>
      </c>
      <c r="U12" s="33"/>
      <c r="V12" s="34">
        <f t="shared" ref="V12:AG12" si="30">sum(V13:V15)</f>
        <v>-386580</v>
      </c>
      <c r="W12" s="34">
        <f t="shared" si="30"/>
        <v>-393176</v>
      </c>
      <c r="X12" s="34">
        <f t="shared" si="30"/>
        <v>-399330</v>
      </c>
      <c r="Y12" s="34">
        <f t="shared" si="30"/>
        <v>-404073</v>
      </c>
      <c r="Z12" s="34">
        <f t="shared" si="30"/>
        <v>-408408</v>
      </c>
      <c r="AA12" s="34">
        <f t="shared" si="30"/>
        <v>-412335</v>
      </c>
      <c r="AB12" s="34">
        <f t="shared" si="30"/>
        <v>-414936</v>
      </c>
      <c r="AC12" s="34">
        <f t="shared" si="30"/>
        <v>-417163</v>
      </c>
      <c r="AD12" s="34">
        <f t="shared" si="30"/>
        <v>-419016</v>
      </c>
      <c r="AE12" s="34">
        <f t="shared" si="30"/>
        <v>-419628</v>
      </c>
      <c r="AF12" s="34">
        <f t="shared" si="30"/>
        <v>-419900</v>
      </c>
      <c r="AG12" s="34">
        <f t="shared" si="30"/>
        <v>-419832</v>
      </c>
      <c r="AH12" s="34">
        <f t="shared" si="26"/>
        <v>-4914377</v>
      </c>
      <c r="AI12" s="33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3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3"/>
    </row>
    <row r="13">
      <c r="A13" s="33"/>
      <c r="B13" s="33"/>
      <c r="C13" s="33" t="s">
        <v>40</v>
      </c>
      <c r="D13" s="37" t="s">
        <v>41</v>
      </c>
      <c r="E13" s="37" t="s">
        <v>42</v>
      </c>
      <c r="F13" s="34">
        <v>-269449.0</v>
      </c>
      <c r="G13" s="34">
        <v>-242953.0</v>
      </c>
      <c r="H13" s="34">
        <v>-296324.0</v>
      </c>
      <c r="I13" s="34">
        <v>-286727.0</v>
      </c>
      <c r="J13" s="34">
        <v>-245893.0</v>
      </c>
      <c r="K13" s="34">
        <v>-286172.0</v>
      </c>
      <c r="L13" s="34">
        <f t="shared" si="22"/>
        <v>-1627518</v>
      </c>
      <c r="M13" s="33"/>
      <c r="N13" s="41">
        <v>-340430.0</v>
      </c>
      <c r="O13" s="41">
        <v>-202211.0</v>
      </c>
      <c r="P13" s="41">
        <v>-255394.0</v>
      </c>
      <c r="Q13" s="41">
        <v>-298195.0</v>
      </c>
      <c r="R13" s="41">
        <v>-305227.0</v>
      </c>
      <c r="S13" s="41">
        <v>-340430.0</v>
      </c>
      <c r="T13" s="40">
        <f t="shared" si="24"/>
        <v>-3369405</v>
      </c>
      <c r="U13" s="33"/>
      <c r="V13" s="34">
        <f t="shared" ref="V13:AG13" si="31">V3*V75</f>
        <v>-386580</v>
      </c>
      <c r="W13" s="34">
        <f t="shared" si="31"/>
        <v>-393176</v>
      </c>
      <c r="X13" s="34">
        <f t="shared" si="31"/>
        <v>-399330</v>
      </c>
      <c r="Y13" s="34">
        <f t="shared" si="31"/>
        <v>-404073</v>
      </c>
      <c r="Z13" s="34">
        <f t="shared" si="31"/>
        <v>-408408</v>
      </c>
      <c r="AA13" s="34">
        <f t="shared" si="31"/>
        <v>-412335</v>
      </c>
      <c r="AB13" s="34">
        <f t="shared" si="31"/>
        <v>-414936</v>
      </c>
      <c r="AC13" s="34">
        <f t="shared" si="31"/>
        <v>-417163</v>
      </c>
      <c r="AD13" s="34">
        <f t="shared" si="31"/>
        <v>-419016</v>
      </c>
      <c r="AE13" s="34">
        <f t="shared" si="31"/>
        <v>-419628</v>
      </c>
      <c r="AF13" s="34">
        <f t="shared" si="31"/>
        <v>-419900</v>
      </c>
      <c r="AG13" s="34">
        <f t="shared" si="31"/>
        <v>-419832</v>
      </c>
      <c r="AH13" s="34">
        <f t="shared" si="26"/>
        <v>-4914377</v>
      </c>
      <c r="AI13" s="33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3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3"/>
    </row>
    <row r="14">
      <c r="A14" s="33"/>
      <c r="B14" s="33"/>
      <c r="C14" s="33" t="s">
        <v>43</v>
      </c>
      <c r="D14" s="33" t="s">
        <v>44</v>
      </c>
      <c r="E14" s="33" t="s">
        <v>45</v>
      </c>
      <c r="F14" s="36">
        <v>0.0</v>
      </c>
      <c r="G14" s="36">
        <v>0.0</v>
      </c>
      <c r="H14" s="36">
        <v>0.0</v>
      </c>
      <c r="I14" s="36">
        <v>0.0</v>
      </c>
      <c r="J14" s="36">
        <v>0.0</v>
      </c>
      <c r="K14" s="34">
        <v>0.0</v>
      </c>
      <c r="L14" s="36">
        <f t="shared" si="22"/>
        <v>0</v>
      </c>
      <c r="M14" s="33"/>
      <c r="N14" s="36">
        <v>0.0</v>
      </c>
      <c r="O14" s="36">
        <v>0.0</v>
      </c>
      <c r="P14" s="36">
        <v>0.0</v>
      </c>
      <c r="Q14" s="36">
        <v>0.0</v>
      </c>
      <c r="R14" s="36">
        <v>0.0</v>
      </c>
      <c r="S14" s="36">
        <v>0.0</v>
      </c>
      <c r="T14" s="36">
        <f t="shared" si="24"/>
        <v>0</v>
      </c>
      <c r="U14" s="33"/>
      <c r="V14" s="34">
        <f t="shared" ref="V14:AG14" si="32">V4*V76</f>
        <v>0</v>
      </c>
      <c r="W14" s="34">
        <f t="shared" si="32"/>
        <v>0</v>
      </c>
      <c r="X14" s="34">
        <f t="shared" si="32"/>
        <v>0</v>
      </c>
      <c r="Y14" s="34">
        <f t="shared" si="32"/>
        <v>0</v>
      </c>
      <c r="Z14" s="34">
        <f t="shared" si="32"/>
        <v>0</v>
      </c>
      <c r="AA14" s="34">
        <f t="shared" si="32"/>
        <v>0</v>
      </c>
      <c r="AB14" s="34">
        <f t="shared" si="32"/>
        <v>0</v>
      </c>
      <c r="AC14" s="34">
        <f t="shared" si="32"/>
        <v>0</v>
      </c>
      <c r="AD14" s="34">
        <f t="shared" si="32"/>
        <v>0</v>
      </c>
      <c r="AE14" s="34">
        <f t="shared" si="32"/>
        <v>0</v>
      </c>
      <c r="AF14" s="34">
        <f t="shared" si="32"/>
        <v>0</v>
      </c>
      <c r="AG14" s="34">
        <f t="shared" si="32"/>
        <v>0</v>
      </c>
      <c r="AH14" s="34">
        <f t="shared" si="26"/>
        <v>0</v>
      </c>
      <c r="AI14" s="33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3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3"/>
    </row>
    <row r="15">
      <c r="A15" s="33"/>
      <c r="B15" s="33"/>
      <c r="C15" s="42" t="s">
        <v>46</v>
      </c>
      <c r="D15" s="33" t="s">
        <v>47</v>
      </c>
      <c r="E15" s="33" t="s">
        <v>48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4">
        <v>0.0</v>
      </c>
      <c r="L15" s="36">
        <f t="shared" si="22"/>
        <v>0</v>
      </c>
      <c r="M15" s="33"/>
      <c r="N15" s="36">
        <v>0.0</v>
      </c>
      <c r="O15" s="36">
        <v>0.0</v>
      </c>
      <c r="P15" s="36">
        <v>0.0</v>
      </c>
      <c r="Q15" s="36">
        <v>0.0</v>
      </c>
      <c r="R15" s="36">
        <v>0.0</v>
      </c>
      <c r="S15" s="36">
        <v>0.0</v>
      </c>
      <c r="T15" s="36">
        <f t="shared" si="24"/>
        <v>0</v>
      </c>
      <c r="U15" s="33"/>
      <c r="V15" s="34">
        <f t="shared" ref="V15:AG15" si="33">V3*V77</f>
        <v>0</v>
      </c>
      <c r="W15" s="34">
        <f t="shared" si="33"/>
        <v>0</v>
      </c>
      <c r="X15" s="34">
        <f t="shared" si="33"/>
        <v>0</v>
      </c>
      <c r="Y15" s="34">
        <f t="shared" si="33"/>
        <v>0</v>
      </c>
      <c r="Z15" s="34">
        <f t="shared" si="33"/>
        <v>0</v>
      </c>
      <c r="AA15" s="34">
        <f t="shared" si="33"/>
        <v>0</v>
      </c>
      <c r="AB15" s="34">
        <f t="shared" si="33"/>
        <v>0</v>
      </c>
      <c r="AC15" s="34">
        <f t="shared" si="33"/>
        <v>0</v>
      </c>
      <c r="AD15" s="34">
        <f t="shared" si="33"/>
        <v>0</v>
      </c>
      <c r="AE15" s="34">
        <f t="shared" si="33"/>
        <v>0</v>
      </c>
      <c r="AF15" s="34">
        <f t="shared" si="33"/>
        <v>0</v>
      </c>
      <c r="AG15" s="34">
        <f t="shared" si="33"/>
        <v>0</v>
      </c>
      <c r="AH15" s="34">
        <f t="shared" si="26"/>
        <v>0</v>
      </c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</row>
    <row r="16">
      <c r="A16" s="33"/>
      <c r="B16" s="33" t="s">
        <v>35</v>
      </c>
      <c r="C16" s="33" t="s">
        <v>49</v>
      </c>
      <c r="D16" s="37"/>
      <c r="E16" s="37"/>
      <c r="F16" s="36">
        <f t="shared" ref="F16:K16" si="34">F17</f>
        <v>0</v>
      </c>
      <c r="G16" s="36">
        <f t="shared" si="34"/>
        <v>0</v>
      </c>
      <c r="H16" s="36">
        <f t="shared" si="34"/>
        <v>0</v>
      </c>
      <c r="I16" s="36">
        <f t="shared" si="34"/>
        <v>0</v>
      </c>
      <c r="J16" s="36">
        <f t="shared" si="34"/>
        <v>0</v>
      </c>
      <c r="K16" s="34">
        <f t="shared" si="34"/>
        <v>0</v>
      </c>
      <c r="L16" s="36">
        <f t="shared" si="22"/>
        <v>0</v>
      </c>
      <c r="M16" s="33"/>
      <c r="N16" s="40">
        <f t="shared" ref="N16:S16" si="35">N17</f>
        <v>-36052</v>
      </c>
      <c r="O16" s="40">
        <f t="shared" si="35"/>
        <v>-15112</v>
      </c>
      <c r="P16" s="40">
        <f t="shared" si="35"/>
        <v>-15112</v>
      </c>
      <c r="Q16" s="40">
        <f t="shared" si="35"/>
        <v>-15112</v>
      </c>
      <c r="R16" s="40">
        <f t="shared" si="35"/>
        <v>-15112</v>
      </c>
      <c r="S16" s="40">
        <f t="shared" si="35"/>
        <v>-14222</v>
      </c>
      <c r="T16" s="40">
        <f t="shared" si="24"/>
        <v>-110722</v>
      </c>
      <c r="U16" s="33"/>
      <c r="V16" s="34">
        <f t="shared" ref="V16:AG16" si="36">V17</f>
        <v>-16107.5</v>
      </c>
      <c r="W16" s="34">
        <f t="shared" si="36"/>
        <v>-16660</v>
      </c>
      <c r="X16" s="34">
        <f t="shared" si="36"/>
        <v>-17212.5</v>
      </c>
      <c r="Y16" s="34">
        <f t="shared" si="36"/>
        <v>-17722.5</v>
      </c>
      <c r="Z16" s="34">
        <f t="shared" si="36"/>
        <v>-18232.5</v>
      </c>
      <c r="AA16" s="34">
        <f t="shared" si="36"/>
        <v>-18742.5</v>
      </c>
      <c r="AB16" s="34">
        <f t="shared" si="36"/>
        <v>-19210</v>
      </c>
      <c r="AC16" s="34">
        <f t="shared" si="36"/>
        <v>-19677.5</v>
      </c>
      <c r="AD16" s="34">
        <f t="shared" si="36"/>
        <v>-20145</v>
      </c>
      <c r="AE16" s="34">
        <f t="shared" si="36"/>
        <v>-20570</v>
      </c>
      <c r="AF16" s="34">
        <f t="shared" si="36"/>
        <v>-20995</v>
      </c>
      <c r="AG16" s="34">
        <f t="shared" si="36"/>
        <v>-21420</v>
      </c>
      <c r="AH16" s="34">
        <f t="shared" si="26"/>
        <v>-226695</v>
      </c>
      <c r="AI16" s="33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</row>
    <row r="17">
      <c r="A17" s="33"/>
      <c r="B17" s="33"/>
      <c r="C17" s="33" t="s">
        <v>49</v>
      </c>
      <c r="D17" s="33" t="s">
        <v>50</v>
      </c>
      <c r="E17" s="33" t="s">
        <v>51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43">
        <v>0.0</v>
      </c>
      <c r="L17" s="36">
        <f t="shared" si="22"/>
        <v>0</v>
      </c>
      <c r="M17" s="33"/>
      <c r="N17" s="40">
        <v>-36052.0</v>
      </c>
      <c r="O17" s="40">
        <v>-15112.0</v>
      </c>
      <c r="P17" s="40">
        <v>-15112.0</v>
      </c>
      <c r="Q17" s="40">
        <v>-15112.0</v>
      </c>
      <c r="R17" s="40">
        <v>-15112.0</v>
      </c>
      <c r="S17" s="40">
        <v>-14222.0</v>
      </c>
      <c r="T17" s="40">
        <f t="shared" si="24"/>
        <v>-110722</v>
      </c>
      <c r="U17" s="33"/>
      <c r="V17" s="34">
        <f t="shared" ref="V17:AG17" si="37">V3*V79</f>
        <v>-16107.5</v>
      </c>
      <c r="W17" s="34">
        <f t="shared" si="37"/>
        <v>-16660</v>
      </c>
      <c r="X17" s="34">
        <f t="shared" si="37"/>
        <v>-17212.5</v>
      </c>
      <c r="Y17" s="34">
        <f t="shared" si="37"/>
        <v>-17722.5</v>
      </c>
      <c r="Z17" s="34">
        <f t="shared" si="37"/>
        <v>-18232.5</v>
      </c>
      <c r="AA17" s="34">
        <f t="shared" si="37"/>
        <v>-18742.5</v>
      </c>
      <c r="AB17" s="34">
        <f t="shared" si="37"/>
        <v>-19210</v>
      </c>
      <c r="AC17" s="34">
        <f t="shared" si="37"/>
        <v>-19677.5</v>
      </c>
      <c r="AD17" s="34">
        <f t="shared" si="37"/>
        <v>-20145</v>
      </c>
      <c r="AE17" s="34">
        <f t="shared" si="37"/>
        <v>-20570</v>
      </c>
      <c r="AF17" s="34">
        <f t="shared" si="37"/>
        <v>-20995</v>
      </c>
      <c r="AG17" s="34">
        <f t="shared" si="37"/>
        <v>-21420</v>
      </c>
      <c r="AH17" s="34">
        <f t="shared" si="26"/>
        <v>-226695</v>
      </c>
      <c r="AI17" s="33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>
      <c r="A18" s="33" t="s">
        <v>52</v>
      </c>
      <c r="B18" s="33" t="s">
        <v>22</v>
      </c>
      <c r="C18" s="33" t="s">
        <v>53</v>
      </c>
      <c r="D18" s="33"/>
      <c r="E18" s="33"/>
      <c r="F18" s="34">
        <v>1312828.0</v>
      </c>
      <c r="G18" s="34">
        <v>1401303.0</v>
      </c>
      <c r="H18" s="34">
        <v>1285010.0</v>
      </c>
      <c r="I18" s="34">
        <v>1295869.0</v>
      </c>
      <c r="J18" s="34">
        <v>1379005.0</v>
      </c>
      <c r="K18" s="34">
        <v>1380743.0</v>
      </c>
      <c r="L18" s="34">
        <f t="shared" si="22"/>
        <v>8054758</v>
      </c>
      <c r="M18" s="35">
        <f>L18/L$3</f>
        <v>0.7917277641</v>
      </c>
      <c r="N18" s="34">
        <f t="shared" ref="N18:S18" si="38">N4+N9</f>
        <v>1368934</v>
      </c>
      <c r="O18" s="34">
        <f t="shared" si="38"/>
        <v>1691756</v>
      </c>
      <c r="P18" s="34">
        <f t="shared" si="38"/>
        <v>1869661</v>
      </c>
      <c r="Q18" s="34">
        <f t="shared" si="38"/>
        <v>2031909</v>
      </c>
      <c r="R18" s="34">
        <f t="shared" si="38"/>
        <v>2261391</v>
      </c>
      <c r="S18" s="34">
        <f t="shared" si="38"/>
        <v>2478240</v>
      </c>
      <c r="T18" s="34">
        <f t="shared" si="24"/>
        <v>19756649</v>
      </c>
      <c r="U18" s="35">
        <f>T18/T$3</f>
        <v>0.809108412</v>
      </c>
      <c r="V18" s="34">
        <f t="shared" ref="V18:AG18" si="39">V4+V9</f>
        <v>2664180.5</v>
      </c>
      <c r="W18" s="34">
        <f t="shared" si="39"/>
        <v>2762228</v>
      </c>
      <c r="X18" s="34">
        <f t="shared" si="39"/>
        <v>2860717.5</v>
      </c>
      <c r="Y18" s="34">
        <f t="shared" si="39"/>
        <v>2952568.5</v>
      </c>
      <c r="Z18" s="34">
        <f t="shared" si="39"/>
        <v>3044827.5</v>
      </c>
      <c r="AA18" s="34">
        <f t="shared" si="39"/>
        <v>3137494.5</v>
      </c>
      <c r="AB18" s="34">
        <f t="shared" si="39"/>
        <v>3223438</v>
      </c>
      <c r="AC18" s="34">
        <f t="shared" si="39"/>
        <v>3309755.5</v>
      </c>
      <c r="AD18" s="34">
        <f t="shared" si="39"/>
        <v>3396447</v>
      </c>
      <c r="AE18" s="34">
        <f t="shared" si="39"/>
        <v>3476330</v>
      </c>
      <c r="AF18" s="34">
        <f t="shared" si="39"/>
        <v>3556553</v>
      </c>
      <c r="AG18" s="34">
        <f t="shared" si="39"/>
        <v>3637116</v>
      </c>
      <c r="AH18" s="34">
        <f t="shared" si="26"/>
        <v>38021656</v>
      </c>
      <c r="AI18" s="35">
        <f>AH18/AH$3</f>
        <v>0.838608174</v>
      </c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>
      <c r="A19" s="33" t="s">
        <v>54</v>
      </c>
      <c r="B19" s="33" t="s">
        <v>22</v>
      </c>
      <c r="C19" s="33" t="s">
        <v>55</v>
      </c>
      <c r="D19" s="37"/>
      <c r="E19" s="37"/>
      <c r="F19" s="35">
        <f t="shared" ref="F19:K19" si="40">F18/F3</f>
        <v>0.785303509</v>
      </c>
      <c r="G19" s="35">
        <f t="shared" si="40"/>
        <v>0.8129546863</v>
      </c>
      <c r="H19" s="35">
        <f t="shared" si="40"/>
        <v>0.7751713055</v>
      </c>
      <c r="I19" s="35">
        <f t="shared" si="40"/>
        <v>0.7834483434</v>
      </c>
      <c r="J19" s="35">
        <f t="shared" si="40"/>
        <v>0.7937797594</v>
      </c>
      <c r="K19" s="35">
        <f t="shared" si="40"/>
        <v>0.7985092106</v>
      </c>
      <c r="L19" s="33"/>
      <c r="M19" s="44"/>
      <c r="N19" s="35">
        <f t="shared" ref="N19:S19" si="41">N18/N3</f>
        <v>0.7355308624</v>
      </c>
      <c r="O19" s="35">
        <f t="shared" si="41"/>
        <v>0.8262137008</v>
      </c>
      <c r="P19" s="35">
        <f t="shared" si="41"/>
        <v>0.8319769354</v>
      </c>
      <c r="Q19" s="35">
        <f t="shared" si="41"/>
        <v>0.8281671782</v>
      </c>
      <c r="R19" s="35">
        <f t="shared" si="41"/>
        <v>0.8403218608</v>
      </c>
      <c r="S19" s="35">
        <f t="shared" si="41"/>
        <v>0.8419218828</v>
      </c>
      <c r="T19" s="33"/>
      <c r="U19" s="44"/>
      <c r="V19" s="35">
        <f t="shared" ref="V19:AG19" si="42">V18/V3</f>
        <v>0.827</v>
      </c>
      <c r="W19" s="35">
        <f t="shared" si="42"/>
        <v>0.829</v>
      </c>
      <c r="X19" s="35">
        <f t="shared" si="42"/>
        <v>0.831</v>
      </c>
      <c r="Y19" s="35">
        <f t="shared" si="42"/>
        <v>0.833</v>
      </c>
      <c r="Z19" s="35">
        <f t="shared" si="42"/>
        <v>0.835</v>
      </c>
      <c r="AA19" s="35">
        <f t="shared" si="42"/>
        <v>0.837</v>
      </c>
      <c r="AB19" s="35">
        <f t="shared" si="42"/>
        <v>0.839</v>
      </c>
      <c r="AC19" s="35">
        <f t="shared" si="42"/>
        <v>0.841</v>
      </c>
      <c r="AD19" s="35">
        <f t="shared" si="42"/>
        <v>0.843</v>
      </c>
      <c r="AE19" s="35">
        <f t="shared" si="42"/>
        <v>0.845</v>
      </c>
      <c r="AF19" s="35">
        <f t="shared" si="42"/>
        <v>0.847</v>
      </c>
      <c r="AG19" s="35">
        <f t="shared" si="42"/>
        <v>0.849</v>
      </c>
      <c r="AH19" s="45"/>
      <c r="AI19" s="44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</row>
    <row r="20">
      <c r="A20" s="33" t="s">
        <v>56</v>
      </c>
      <c r="B20" s="33" t="s">
        <v>22</v>
      </c>
      <c r="C20" s="33" t="s">
        <v>56</v>
      </c>
      <c r="D20" s="33"/>
      <c r="E20" s="33"/>
      <c r="F20" s="34">
        <f t="shared" ref="F20:K20" si="43">F21</f>
        <v>3000</v>
      </c>
      <c r="G20" s="34">
        <f t="shared" si="43"/>
        <v>44400</v>
      </c>
      <c r="H20" s="34">
        <f t="shared" si="43"/>
        <v>29000</v>
      </c>
      <c r="I20" s="34">
        <f t="shared" si="43"/>
        <v>28281</v>
      </c>
      <c r="J20" s="34">
        <f t="shared" si="43"/>
        <v>25400</v>
      </c>
      <c r="K20" s="34">
        <f t="shared" si="43"/>
        <v>21429</v>
      </c>
      <c r="L20" s="34">
        <f t="shared" ref="L20:L31" si="44">SUM(F20:K20)</f>
        <v>151510</v>
      </c>
      <c r="M20" s="35">
        <f>L20/L$3</f>
        <v>0.01489239944</v>
      </c>
      <c r="N20" s="36">
        <v>0.0</v>
      </c>
      <c r="O20" s="36">
        <v>0.0</v>
      </c>
      <c r="P20" s="36">
        <v>0.0</v>
      </c>
      <c r="Q20" s="36">
        <v>0.0</v>
      </c>
      <c r="R20" s="36">
        <v>0.0</v>
      </c>
      <c r="S20" s="36">
        <v>0.0</v>
      </c>
      <c r="T20" s="34">
        <f t="shared" ref="T20:T31" si="45">SUM(N20:S20)+L20</f>
        <v>151510</v>
      </c>
      <c r="U20" s="35">
        <f>T20/T$3</f>
        <v>0.006204899196</v>
      </c>
      <c r="V20" s="34">
        <v>0.0</v>
      </c>
      <c r="W20" s="34">
        <v>0.0</v>
      </c>
      <c r="X20" s="34">
        <v>0.0</v>
      </c>
      <c r="Y20" s="34">
        <v>0.0</v>
      </c>
      <c r="Z20" s="34">
        <v>0.0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f t="shared" ref="AH20:AH31" si="46">SUM(V20:AG20)</f>
        <v>0</v>
      </c>
      <c r="AI20" s="35">
        <f>AH20/AH$3</f>
        <v>0</v>
      </c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>
      <c r="A21" s="33"/>
      <c r="B21" s="33"/>
      <c r="C21" s="33" t="s">
        <v>56</v>
      </c>
      <c r="D21" s="33" t="s">
        <v>57</v>
      </c>
      <c r="E21" s="33"/>
      <c r="F21" s="34">
        <v>3000.0</v>
      </c>
      <c r="G21" s="34">
        <v>44400.0</v>
      </c>
      <c r="H21" s="34">
        <v>29000.0</v>
      </c>
      <c r="I21" s="34">
        <v>28281.0</v>
      </c>
      <c r="J21" s="34">
        <v>25400.0</v>
      </c>
      <c r="K21" s="34">
        <v>21429.0</v>
      </c>
      <c r="L21" s="34">
        <f t="shared" si="44"/>
        <v>151510</v>
      </c>
      <c r="M21" s="33"/>
      <c r="N21" s="36">
        <v>0.0</v>
      </c>
      <c r="O21" s="36">
        <v>0.0</v>
      </c>
      <c r="P21" s="36">
        <v>0.0</v>
      </c>
      <c r="Q21" s="36">
        <v>0.0</v>
      </c>
      <c r="R21" s="36">
        <v>0.0</v>
      </c>
      <c r="S21" s="36">
        <v>0.0</v>
      </c>
      <c r="T21" s="34">
        <f t="shared" si="45"/>
        <v>151510</v>
      </c>
      <c r="U21" s="33"/>
      <c r="V21" s="34">
        <v>0.0</v>
      </c>
      <c r="W21" s="34">
        <v>0.0</v>
      </c>
      <c r="X21" s="34">
        <v>0.0</v>
      </c>
      <c r="Y21" s="34">
        <v>0.0</v>
      </c>
      <c r="Z21" s="34">
        <v>0.0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f t="shared" si="46"/>
        <v>0</v>
      </c>
      <c r="AI21" s="33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>
      <c r="A22" s="33" t="s">
        <v>58</v>
      </c>
      <c r="B22" s="33" t="s">
        <v>22</v>
      </c>
      <c r="C22" s="33" t="s">
        <v>58</v>
      </c>
      <c r="D22" s="33"/>
      <c r="E22" s="33"/>
      <c r="F22" s="34">
        <f t="shared" ref="F22:K22" si="47">F23</f>
        <v>34062</v>
      </c>
      <c r="G22" s="34">
        <f t="shared" si="47"/>
        <v>47624</v>
      </c>
      <c r="H22" s="34">
        <f t="shared" si="47"/>
        <v>37105</v>
      </c>
      <c r="I22" s="34">
        <f t="shared" si="47"/>
        <v>67428</v>
      </c>
      <c r="J22" s="34">
        <f t="shared" si="47"/>
        <v>34255</v>
      </c>
      <c r="K22" s="34">
        <f t="shared" si="47"/>
        <v>60445</v>
      </c>
      <c r="L22" s="34">
        <f t="shared" si="44"/>
        <v>280919</v>
      </c>
      <c r="M22" s="35">
        <f>L22/L$3</f>
        <v>0.02761242135</v>
      </c>
      <c r="N22" s="36">
        <v>0.0</v>
      </c>
      <c r="O22" s="36">
        <v>0.0</v>
      </c>
      <c r="P22" s="36">
        <v>0.0</v>
      </c>
      <c r="Q22" s="36">
        <v>0.0</v>
      </c>
      <c r="R22" s="36">
        <v>0.0</v>
      </c>
      <c r="S22" s="36">
        <v>0.0</v>
      </c>
      <c r="T22" s="34">
        <f t="shared" si="45"/>
        <v>280919</v>
      </c>
      <c r="U22" s="35">
        <f>T22/T$3</f>
        <v>0.01150468007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f t="shared" si="46"/>
        <v>0</v>
      </c>
      <c r="AI22" s="35">
        <f>AH22/AH$3</f>
        <v>0</v>
      </c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</row>
    <row r="23">
      <c r="A23" s="33"/>
      <c r="B23" s="33"/>
      <c r="C23" s="33" t="s">
        <v>58</v>
      </c>
      <c r="D23" s="33" t="s">
        <v>59</v>
      </c>
      <c r="E23" s="33"/>
      <c r="F23" s="34">
        <v>34062.0</v>
      </c>
      <c r="G23" s="34">
        <v>47624.0</v>
      </c>
      <c r="H23" s="34">
        <v>37105.0</v>
      </c>
      <c r="I23" s="34">
        <v>67428.0</v>
      </c>
      <c r="J23" s="34">
        <v>34255.0</v>
      </c>
      <c r="K23" s="34">
        <v>60445.0</v>
      </c>
      <c r="L23" s="34">
        <f t="shared" si="44"/>
        <v>280919</v>
      </c>
      <c r="M23" s="33"/>
      <c r="N23" s="36">
        <v>0.0</v>
      </c>
      <c r="O23" s="36">
        <v>0.0</v>
      </c>
      <c r="P23" s="36">
        <v>0.0</v>
      </c>
      <c r="Q23" s="36">
        <v>0.0</v>
      </c>
      <c r="R23" s="36">
        <v>0.0</v>
      </c>
      <c r="S23" s="36">
        <v>0.0</v>
      </c>
      <c r="T23" s="34">
        <f t="shared" si="45"/>
        <v>280919</v>
      </c>
      <c r="U23" s="33"/>
      <c r="V23" s="34">
        <v>0.0</v>
      </c>
      <c r="W23" s="34">
        <v>0.0</v>
      </c>
      <c r="X23" s="34">
        <v>0.0</v>
      </c>
      <c r="Y23" s="34">
        <v>0.0</v>
      </c>
      <c r="Z23" s="34">
        <v>0.0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f t="shared" si="46"/>
        <v>0</v>
      </c>
      <c r="AI23" s="33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>
      <c r="A24" s="33" t="s">
        <v>60</v>
      </c>
      <c r="B24" s="33" t="s">
        <v>22</v>
      </c>
      <c r="C24" s="33" t="s">
        <v>60</v>
      </c>
      <c r="D24" s="33"/>
      <c r="E24" s="33"/>
      <c r="F24" s="34">
        <f t="shared" ref="F24:K24" si="48">sum(F25)</f>
        <v>-1458455</v>
      </c>
      <c r="G24" s="34">
        <f t="shared" si="48"/>
        <v>-1462033</v>
      </c>
      <c r="H24" s="34">
        <f t="shared" si="48"/>
        <v>-1756069</v>
      </c>
      <c r="I24" s="34">
        <f t="shared" si="48"/>
        <v>-1559523</v>
      </c>
      <c r="J24" s="34">
        <f t="shared" si="48"/>
        <v>-1559949</v>
      </c>
      <c r="K24" s="34">
        <f t="shared" si="48"/>
        <v>-1536476</v>
      </c>
      <c r="L24" s="34">
        <f t="shared" si="44"/>
        <v>-9332505</v>
      </c>
      <c r="M24" s="35">
        <f>L24/L$3</f>
        <v>-0.9173215777</v>
      </c>
      <c r="N24" s="40">
        <f t="shared" ref="N24:S24" si="49">N25</f>
        <v>-1700000</v>
      </c>
      <c r="O24" s="40">
        <f t="shared" si="49"/>
        <v>-1700000</v>
      </c>
      <c r="P24" s="40">
        <f t="shared" si="49"/>
        <v>-1700000</v>
      </c>
      <c r="Q24" s="40">
        <f t="shared" si="49"/>
        <v>-1700000</v>
      </c>
      <c r="R24" s="40">
        <f t="shared" si="49"/>
        <v>-1700000</v>
      </c>
      <c r="S24" s="40">
        <f t="shared" si="49"/>
        <v>-1700000</v>
      </c>
      <c r="T24" s="40">
        <f t="shared" si="45"/>
        <v>-19532505</v>
      </c>
      <c r="U24" s="35">
        <f>T24/T$3</f>
        <v>-0.7999288798</v>
      </c>
      <c r="V24" s="34">
        <f t="shared" ref="V24:AG24" si="50">V25</f>
        <v>-1771825</v>
      </c>
      <c r="W24" s="34">
        <f t="shared" si="50"/>
        <v>-1765960</v>
      </c>
      <c r="X24" s="34">
        <f t="shared" si="50"/>
        <v>-1755675</v>
      </c>
      <c r="Y24" s="34">
        <f t="shared" si="50"/>
        <v>-1736805</v>
      </c>
      <c r="Z24" s="34">
        <f t="shared" si="50"/>
        <v>-1713855</v>
      </c>
      <c r="AA24" s="34">
        <f t="shared" si="50"/>
        <v>-1686825</v>
      </c>
      <c r="AB24" s="34">
        <f t="shared" si="50"/>
        <v>-1728900</v>
      </c>
      <c r="AC24" s="34">
        <f t="shared" si="50"/>
        <v>-1770975</v>
      </c>
      <c r="AD24" s="34">
        <f t="shared" si="50"/>
        <v>-1732470</v>
      </c>
      <c r="AE24" s="34">
        <f t="shared" si="50"/>
        <v>-1769020</v>
      </c>
      <c r="AF24" s="34">
        <f t="shared" si="50"/>
        <v>-1679600</v>
      </c>
      <c r="AG24" s="34">
        <f t="shared" si="50"/>
        <v>-1627920</v>
      </c>
      <c r="AH24" s="34">
        <f t="shared" si="46"/>
        <v>-20739830</v>
      </c>
      <c r="AI24" s="35">
        <f>AH24/AH$3</f>
        <v>-0.4574390701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>
      <c r="A25" s="33"/>
      <c r="B25" s="33"/>
      <c r="C25" s="33" t="s">
        <v>60</v>
      </c>
      <c r="D25" s="33" t="s">
        <v>61</v>
      </c>
      <c r="E25" s="33" t="s">
        <v>62</v>
      </c>
      <c r="F25" s="34">
        <v>-1458455.0</v>
      </c>
      <c r="G25" s="34">
        <v>-1462033.0</v>
      </c>
      <c r="H25" s="34">
        <v>-1756069.0</v>
      </c>
      <c r="I25" s="34">
        <v>-1559523.0</v>
      </c>
      <c r="J25" s="34">
        <v>-1559949.0</v>
      </c>
      <c r="K25" s="34">
        <v>-1536476.0</v>
      </c>
      <c r="L25" s="34">
        <f t="shared" si="44"/>
        <v>-9332505</v>
      </c>
      <c r="M25" s="33"/>
      <c r="N25" s="41">
        <v>-1700000.0</v>
      </c>
      <c r="O25" s="41">
        <v>-1700000.0</v>
      </c>
      <c r="P25" s="41">
        <v>-1700000.0</v>
      </c>
      <c r="Q25" s="41">
        <v>-1700000.0</v>
      </c>
      <c r="R25" s="41">
        <v>-1700000.0</v>
      </c>
      <c r="S25" s="41">
        <v>-1700000.0</v>
      </c>
      <c r="T25" s="40">
        <f t="shared" si="45"/>
        <v>-19532505</v>
      </c>
      <c r="U25" s="33"/>
      <c r="V25" s="34">
        <f t="shared" ref="V25:AG25" si="51">V3*V85</f>
        <v>-1771825</v>
      </c>
      <c r="W25" s="34">
        <f t="shared" si="51"/>
        <v>-1765960</v>
      </c>
      <c r="X25" s="34">
        <f t="shared" si="51"/>
        <v>-1755675</v>
      </c>
      <c r="Y25" s="34">
        <f t="shared" si="51"/>
        <v>-1736805</v>
      </c>
      <c r="Z25" s="34">
        <f t="shared" si="51"/>
        <v>-1713855</v>
      </c>
      <c r="AA25" s="34">
        <f t="shared" si="51"/>
        <v>-1686825</v>
      </c>
      <c r="AB25" s="34">
        <f t="shared" si="51"/>
        <v>-1728900</v>
      </c>
      <c r="AC25" s="34">
        <f t="shared" si="51"/>
        <v>-1770975</v>
      </c>
      <c r="AD25" s="34">
        <f t="shared" si="51"/>
        <v>-1732470</v>
      </c>
      <c r="AE25" s="34">
        <f t="shared" si="51"/>
        <v>-1769020</v>
      </c>
      <c r="AF25" s="34">
        <f t="shared" si="51"/>
        <v>-1679600</v>
      </c>
      <c r="AG25" s="34">
        <f t="shared" si="51"/>
        <v>-1627920</v>
      </c>
      <c r="AH25" s="34">
        <f t="shared" si="46"/>
        <v>-20739830</v>
      </c>
      <c r="AI25" s="33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</row>
    <row r="26">
      <c r="A26" s="44" t="s">
        <v>63</v>
      </c>
      <c r="B26" s="44" t="s">
        <v>22</v>
      </c>
      <c r="C26" s="44" t="s">
        <v>63</v>
      </c>
      <c r="D26" s="44"/>
      <c r="E26" s="44"/>
      <c r="F26" s="34">
        <f t="shared" ref="F26:K26" si="52">sum(F27:F30)</f>
        <v>-780179</v>
      </c>
      <c r="G26" s="34">
        <f t="shared" si="52"/>
        <v>-892360</v>
      </c>
      <c r="H26" s="34">
        <f t="shared" si="52"/>
        <v>-904596</v>
      </c>
      <c r="I26" s="34">
        <f t="shared" si="52"/>
        <v>-787904</v>
      </c>
      <c r="J26" s="34">
        <f t="shared" si="52"/>
        <v>-737899</v>
      </c>
      <c r="K26" s="34">
        <f t="shared" si="52"/>
        <v>-59961</v>
      </c>
      <c r="L26" s="34">
        <f t="shared" si="44"/>
        <v>-4162899</v>
      </c>
      <c r="M26" s="35">
        <f>L26/L$3</f>
        <v>-0.4091845736</v>
      </c>
      <c r="N26" s="40">
        <f t="shared" ref="N26:S26" si="53">sum(N27:N30)</f>
        <v>-861212</v>
      </c>
      <c r="O26" s="40">
        <f t="shared" si="53"/>
        <v>-864160</v>
      </c>
      <c r="P26" s="40">
        <f t="shared" si="53"/>
        <v>-865954</v>
      </c>
      <c r="Q26" s="40">
        <f t="shared" si="53"/>
        <v>-865250</v>
      </c>
      <c r="R26" s="40">
        <f t="shared" si="53"/>
        <v>-864180</v>
      </c>
      <c r="S26" s="40">
        <f t="shared" si="53"/>
        <v>-867373</v>
      </c>
      <c r="T26" s="40">
        <f t="shared" si="45"/>
        <v>-9351028</v>
      </c>
      <c r="U26" s="35">
        <f>T26/T$3</f>
        <v>-0.382959449</v>
      </c>
      <c r="V26" s="34">
        <f t="shared" ref="V26:AG26" si="54">sum(V27:V30)</f>
        <v>-773160</v>
      </c>
      <c r="W26" s="34">
        <f t="shared" si="54"/>
        <v>-779021.6</v>
      </c>
      <c r="X26" s="34">
        <f t="shared" si="54"/>
        <v>-783513</v>
      </c>
      <c r="Y26" s="34">
        <f t="shared" si="54"/>
        <v>-784752.3</v>
      </c>
      <c r="Z26" s="34">
        <f t="shared" si="54"/>
        <v>-784726.8</v>
      </c>
      <c r="AA26" s="34">
        <f t="shared" si="54"/>
        <v>-783436.5</v>
      </c>
      <c r="AB26" s="34">
        <f t="shared" si="54"/>
        <v>-779157.6</v>
      </c>
      <c r="AC26" s="34">
        <f t="shared" si="54"/>
        <v>-773719.3</v>
      </c>
      <c r="AD26" s="34">
        <f t="shared" si="54"/>
        <v>-767121.6</v>
      </c>
      <c r="AE26" s="34">
        <f t="shared" si="54"/>
        <v>-757798.8</v>
      </c>
      <c r="AF26" s="34">
        <f t="shared" si="54"/>
        <v>-747422</v>
      </c>
      <c r="AG26" s="34">
        <f t="shared" si="54"/>
        <v>-735991.2</v>
      </c>
      <c r="AH26" s="34">
        <f t="shared" si="46"/>
        <v>-9249820.7</v>
      </c>
      <c r="AI26" s="35">
        <f>AH26/AH$3</f>
        <v>-0.2040146607</v>
      </c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44"/>
      <c r="AW26" s="44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44"/>
      <c r="BK26" s="44"/>
    </row>
    <row r="27">
      <c r="A27" s="33"/>
      <c r="B27" s="33"/>
      <c r="C27" s="33" t="s">
        <v>64</v>
      </c>
      <c r="D27" s="33" t="s">
        <v>65</v>
      </c>
      <c r="E27" s="33" t="s">
        <v>66</v>
      </c>
      <c r="F27" s="34">
        <v>-780179.0</v>
      </c>
      <c r="G27" s="34">
        <v>-892360.0</v>
      </c>
      <c r="H27" s="34">
        <v>-904596.0</v>
      </c>
      <c r="I27" s="34">
        <v>-787904.0</v>
      </c>
      <c r="J27" s="34">
        <v>-737899.0</v>
      </c>
      <c r="K27" s="34">
        <v>-59961.0</v>
      </c>
      <c r="L27" s="34">
        <f t="shared" si="44"/>
        <v>-4162899</v>
      </c>
      <c r="M27" s="33"/>
      <c r="N27" s="40">
        <v>-700000.0</v>
      </c>
      <c r="O27" s="40">
        <v>-700000.0</v>
      </c>
      <c r="P27" s="40">
        <v>-700000.0</v>
      </c>
      <c r="Q27" s="40">
        <v>-700000.0</v>
      </c>
      <c r="R27" s="40">
        <v>-700000.0</v>
      </c>
      <c r="S27" s="40">
        <v>-700000.0</v>
      </c>
      <c r="T27" s="40">
        <f t="shared" si="45"/>
        <v>-8362899</v>
      </c>
      <c r="U27" s="33"/>
      <c r="V27" s="34">
        <f t="shared" ref="V27:AG27" si="55">V$3*V87</f>
        <v>-644300</v>
      </c>
      <c r="W27" s="34">
        <f t="shared" si="55"/>
        <v>-649740</v>
      </c>
      <c r="X27" s="34">
        <f t="shared" si="55"/>
        <v>-654075</v>
      </c>
      <c r="Y27" s="34">
        <f t="shared" si="55"/>
        <v>-655732.5</v>
      </c>
      <c r="Z27" s="34">
        <f t="shared" si="55"/>
        <v>-656370</v>
      </c>
      <c r="AA27" s="34">
        <f t="shared" si="55"/>
        <v>-655987.5</v>
      </c>
      <c r="AB27" s="34">
        <f t="shared" si="55"/>
        <v>-653140</v>
      </c>
      <c r="AC27" s="34">
        <f t="shared" si="55"/>
        <v>-649357.5</v>
      </c>
      <c r="AD27" s="34">
        <f t="shared" si="55"/>
        <v>-644640</v>
      </c>
      <c r="AE27" s="34">
        <f t="shared" si="55"/>
        <v>-637670</v>
      </c>
      <c r="AF27" s="34">
        <f t="shared" si="55"/>
        <v>-629850</v>
      </c>
      <c r="AG27" s="34">
        <f t="shared" si="55"/>
        <v>-621180</v>
      </c>
      <c r="AH27" s="34">
        <f t="shared" si="46"/>
        <v>-7752042.5</v>
      </c>
      <c r="AI27" s="33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>
      <c r="A28" s="33"/>
      <c r="B28" s="33"/>
      <c r="C28" s="33" t="s">
        <v>67</v>
      </c>
      <c r="D28" s="33" t="s">
        <v>68</v>
      </c>
      <c r="E28" s="33" t="s">
        <v>69</v>
      </c>
      <c r="F28" s="36">
        <v>0.0</v>
      </c>
      <c r="G28" s="36">
        <v>0.0</v>
      </c>
      <c r="H28" s="36">
        <v>0.0</v>
      </c>
      <c r="I28" s="36">
        <v>0.0</v>
      </c>
      <c r="J28" s="36">
        <v>0.0</v>
      </c>
      <c r="K28" s="34">
        <v>0.0</v>
      </c>
      <c r="L28" s="36">
        <f t="shared" si="44"/>
        <v>0</v>
      </c>
      <c r="M28" s="33"/>
      <c r="N28" s="40">
        <v>-33376.0</v>
      </c>
      <c r="O28" s="40">
        <v>-33376.0</v>
      </c>
      <c r="P28" s="40">
        <v>-33376.0</v>
      </c>
      <c r="Q28" s="40">
        <v>-33376.0</v>
      </c>
      <c r="R28" s="40">
        <v>-33376.0</v>
      </c>
      <c r="S28" s="40">
        <v>-36569.0</v>
      </c>
      <c r="T28" s="40">
        <f t="shared" si="45"/>
        <v>-203449</v>
      </c>
      <c r="U28" s="33"/>
      <c r="V28" s="34">
        <f t="shared" ref="V28:AG28" si="56">V$3*V88</f>
        <v>-32215</v>
      </c>
      <c r="W28" s="34">
        <f t="shared" si="56"/>
        <v>-32653.6</v>
      </c>
      <c r="X28" s="34">
        <f t="shared" si="56"/>
        <v>-33048</v>
      </c>
      <c r="Y28" s="34">
        <f t="shared" si="56"/>
        <v>-33318.3</v>
      </c>
      <c r="Z28" s="34">
        <f t="shared" si="56"/>
        <v>-33547.8</v>
      </c>
      <c r="AA28" s="34">
        <f t="shared" si="56"/>
        <v>-33736.5</v>
      </c>
      <c r="AB28" s="34">
        <f t="shared" si="56"/>
        <v>-33809.6</v>
      </c>
      <c r="AC28" s="34">
        <f t="shared" si="56"/>
        <v>-33845.3</v>
      </c>
      <c r="AD28" s="34">
        <f t="shared" si="56"/>
        <v>-33843.6</v>
      </c>
      <c r="AE28" s="34">
        <f t="shared" si="56"/>
        <v>-33734.8</v>
      </c>
      <c r="AF28" s="34">
        <f t="shared" si="56"/>
        <v>-33592</v>
      </c>
      <c r="AG28" s="34">
        <f t="shared" si="56"/>
        <v>-33415.2</v>
      </c>
      <c r="AH28" s="34">
        <f t="shared" si="46"/>
        <v>-400759.7</v>
      </c>
      <c r="AI28" s="33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3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3"/>
    </row>
    <row r="29">
      <c r="A29" s="33"/>
      <c r="B29" s="33"/>
      <c r="C29" s="33" t="s">
        <v>70</v>
      </c>
      <c r="D29" s="33" t="s">
        <v>71</v>
      </c>
      <c r="E29" s="33" t="s">
        <v>72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4">
        <v>0.0</v>
      </c>
      <c r="L29" s="36">
        <f t="shared" si="44"/>
        <v>0</v>
      </c>
      <c r="M29" s="33"/>
      <c r="N29" s="40">
        <v>-15167.0</v>
      </c>
      <c r="O29" s="40">
        <v>-18115.0</v>
      </c>
      <c r="P29" s="40">
        <v>-19909.0</v>
      </c>
      <c r="Q29" s="40">
        <v>-19205.0</v>
      </c>
      <c r="R29" s="40">
        <v>-18135.0</v>
      </c>
      <c r="S29" s="40">
        <v>-18135.0</v>
      </c>
      <c r="T29" s="40">
        <f t="shared" si="45"/>
        <v>-108666</v>
      </c>
      <c r="U29" s="33"/>
      <c r="V29" s="34">
        <f t="shared" ref="V29:AG29" si="57">V$3*V89</f>
        <v>-16107.5</v>
      </c>
      <c r="W29" s="34">
        <f t="shared" si="57"/>
        <v>-16660</v>
      </c>
      <c r="X29" s="34">
        <f t="shared" si="57"/>
        <v>-17212.5</v>
      </c>
      <c r="Y29" s="34">
        <f t="shared" si="57"/>
        <v>-17722.5</v>
      </c>
      <c r="Z29" s="34">
        <f t="shared" si="57"/>
        <v>-18232.5</v>
      </c>
      <c r="AA29" s="34">
        <f t="shared" si="57"/>
        <v>-18742.5</v>
      </c>
      <c r="AB29" s="34">
        <f t="shared" si="57"/>
        <v>-19210</v>
      </c>
      <c r="AC29" s="34">
        <f t="shared" si="57"/>
        <v>-19677.5</v>
      </c>
      <c r="AD29" s="34">
        <f t="shared" si="57"/>
        <v>-20145</v>
      </c>
      <c r="AE29" s="34">
        <f t="shared" si="57"/>
        <v>-20570</v>
      </c>
      <c r="AF29" s="34">
        <f t="shared" si="57"/>
        <v>-20995</v>
      </c>
      <c r="AG29" s="34">
        <f t="shared" si="57"/>
        <v>-21420</v>
      </c>
      <c r="AH29" s="34">
        <f t="shared" si="46"/>
        <v>-226695</v>
      </c>
      <c r="AI29" s="33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>
      <c r="A30" s="33"/>
      <c r="B30" s="33"/>
      <c r="C30" s="33" t="s">
        <v>73</v>
      </c>
      <c r="D30" s="33" t="s">
        <v>74</v>
      </c>
      <c r="E30" s="33" t="s">
        <v>75</v>
      </c>
      <c r="F30" s="36">
        <v>0.0</v>
      </c>
      <c r="G30" s="36">
        <v>0.0</v>
      </c>
      <c r="H30" s="36">
        <v>0.0</v>
      </c>
      <c r="I30" s="36">
        <v>0.0</v>
      </c>
      <c r="J30" s="36">
        <v>0.0</v>
      </c>
      <c r="K30" s="34">
        <v>0.0</v>
      </c>
      <c r="L30" s="36">
        <f t="shared" si="44"/>
        <v>0</v>
      </c>
      <c r="M30" s="33"/>
      <c r="N30" s="40">
        <v>-112669.0</v>
      </c>
      <c r="O30" s="40">
        <v>-112669.0</v>
      </c>
      <c r="P30" s="40">
        <v>-112669.0</v>
      </c>
      <c r="Q30" s="40">
        <v>-112669.0</v>
      </c>
      <c r="R30" s="40">
        <v>-112669.0</v>
      </c>
      <c r="S30" s="40">
        <v>-112669.0</v>
      </c>
      <c r="T30" s="40">
        <f t="shared" si="45"/>
        <v>-676014</v>
      </c>
      <c r="U30" s="33"/>
      <c r="V30" s="34">
        <f t="shared" ref="V30:AG30" si="58">V$3*V90</f>
        <v>-80537.5</v>
      </c>
      <c r="W30" s="34">
        <f t="shared" si="58"/>
        <v>-79968</v>
      </c>
      <c r="X30" s="34">
        <f t="shared" si="58"/>
        <v>-79177.5</v>
      </c>
      <c r="Y30" s="34">
        <f t="shared" si="58"/>
        <v>-77979</v>
      </c>
      <c r="Z30" s="34">
        <f t="shared" si="58"/>
        <v>-76576.5</v>
      </c>
      <c r="AA30" s="34">
        <f t="shared" si="58"/>
        <v>-74970</v>
      </c>
      <c r="AB30" s="34">
        <f t="shared" si="58"/>
        <v>-72998</v>
      </c>
      <c r="AC30" s="34">
        <f t="shared" si="58"/>
        <v>-70839</v>
      </c>
      <c r="AD30" s="34">
        <f t="shared" si="58"/>
        <v>-68493</v>
      </c>
      <c r="AE30" s="34">
        <f t="shared" si="58"/>
        <v>-65824</v>
      </c>
      <c r="AF30" s="34">
        <f t="shared" si="58"/>
        <v>-62985</v>
      </c>
      <c r="AG30" s="34">
        <f t="shared" si="58"/>
        <v>-59976</v>
      </c>
      <c r="AH30" s="34">
        <f t="shared" si="46"/>
        <v>-870323.5</v>
      </c>
      <c r="AI30" s="33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3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3"/>
    </row>
    <row r="31">
      <c r="A31" s="33" t="s">
        <v>76</v>
      </c>
      <c r="B31" s="33" t="s">
        <v>22</v>
      </c>
      <c r="C31" s="33" t="s">
        <v>76</v>
      </c>
      <c r="D31" s="33"/>
      <c r="E31" s="33"/>
      <c r="F31" s="34">
        <v>-888744.0</v>
      </c>
      <c r="G31" s="34">
        <v>-861066.0</v>
      </c>
      <c r="H31" s="34">
        <v>-1309550.0</v>
      </c>
      <c r="I31" s="34">
        <v>-955849.0</v>
      </c>
      <c r="J31" s="34">
        <v>-859188.0</v>
      </c>
      <c r="K31" s="34">
        <v>-133820.0</v>
      </c>
      <c r="L31" s="34">
        <f t="shared" si="44"/>
        <v>-5008217</v>
      </c>
      <c r="M31" s="35">
        <f>L31/L$3</f>
        <v>-0.4922735664</v>
      </c>
      <c r="N31" s="34">
        <f t="shared" ref="N31:S31" si="59">N18+N20+N22+N24+N26</f>
        <v>-1192278</v>
      </c>
      <c r="O31" s="34">
        <f t="shared" si="59"/>
        <v>-872404</v>
      </c>
      <c r="P31" s="34">
        <f t="shared" si="59"/>
        <v>-696293</v>
      </c>
      <c r="Q31" s="34">
        <f t="shared" si="59"/>
        <v>-533341</v>
      </c>
      <c r="R31" s="34">
        <f t="shared" si="59"/>
        <v>-302789</v>
      </c>
      <c r="S31" s="34">
        <f t="shared" si="59"/>
        <v>-89133</v>
      </c>
      <c r="T31" s="34">
        <f t="shared" si="45"/>
        <v>-8694455</v>
      </c>
      <c r="U31" s="35">
        <f>T31/T$3</f>
        <v>-0.3560703375</v>
      </c>
      <c r="V31" s="34">
        <f t="shared" ref="V31:AG31" si="60">V18+V20+V22+V24+V26</f>
        <v>119195.5</v>
      </c>
      <c r="W31" s="34">
        <f t="shared" si="60"/>
        <v>217246.4</v>
      </c>
      <c r="X31" s="34">
        <f t="shared" si="60"/>
        <v>321529.5</v>
      </c>
      <c r="Y31" s="34">
        <f t="shared" si="60"/>
        <v>431011.2</v>
      </c>
      <c r="Z31" s="34">
        <f t="shared" si="60"/>
        <v>546245.7</v>
      </c>
      <c r="AA31" s="34">
        <f t="shared" si="60"/>
        <v>667233</v>
      </c>
      <c r="AB31" s="34">
        <f t="shared" si="60"/>
        <v>715380.4</v>
      </c>
      <c r="AC31" s="34">
        <f t="shared" si="60"/>
        <v>765061.2</v>
      </c>
      <c r="AD31" s="34">
        <f t="shared" si="60"/>
        <v>896855.4</v>
      </c>
      <c r="AE31" s="34">
        <f t="shared" si="60"/>
        <v>949511.2</v>
      </c>
      <c r="AF31" s="34">
        <f t="shared" si="60"/>
        <v>1129531</v>
      </c>
      <c r="AG31" s="34">
        <f t="shared" si="60"/>
        <v>1273204.8</v>
      </c>
      <c r="AH31" s="34">
        <f t="shared" si="46"/>
        <v>8032005.3</v>
      </c>
      <c r="AI31" s="35">
        <f>AH31/AH$3</f>
        <v>0.1771544432</v>
      </c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</row>
    <row r="32">
      <c r="A32" s="33" t="s">
        <v>77</v>
      </c>
      <c r="B32" s="33" t="s">
        <v>22</v>
      </c>
      <c r="C32" s="33" t="s">
        <v>77</v>
      </c>
      <c r="D32" s="33"/>
      <c r="E32" s="33"/>
      <c r="F32" s="35">
        <f t="shared" ref="F32:K32" si="61">F31/F3</f>
        <v>-0.5316262159</v>
      </c>
      <c r="G32" s="35">
        <f t="shared" si="61"/>
        <v>-0.4995405276</v>
      </c>
      <c r="H32" s="35">
        <f t="shared" si="61"/>
        <v>-0.7899748509</v>
      </c>
      <c r="I32" s="35">
        <f t="shared" si="61"/>
        <v>-0.5778811868</v>
      </c>
      <c r="J32" s="35">
        <f t="shared" si="61"/>
        <v>-0.4945638659</v>
      </c>
      <c r="K32" s="35">
        <f t="shared" si="61"/>
        <v>-0.0773905807</v>
      </c>
      <c r="L32" s="33"/>
      <c r="M32" s="44"/>
      <c r="N32" s="35">
        <f t="shared" ref="N32:S32" si="62">N31/N3</f>
        <v>-0.6406132549</v>
      </c>
      <c r="O32" s="35">
        <f t="shared" si="62"/>
        <v>-0.4260615227</v>
      </c>
      <c r="P32" s="35">
        <f t="shared" si="62"/>
        <v>-0.3098421138</v>
      </c>
      <c r="Q32" s="35">
        <f t="shared" si="62"/>
        <v>-0.2173795731</v>
      </c>
      <c r="R32" s="35">
        <f t="shared" si="62"/>
        <v>-0.1125149149</v>
      </c>
      <c r="S32" s="35">
        <f t="shared" si="62"/>
        <v>-0.03028077312</v>
      </c>
      <c r="T32" s="33"/>
      <c r="U32" s="44"/>
      <c r="V32" s="35">
        <f t="shared" ref="V32:AG32" si="63">V31/V3</f>
        <v>0.037</v>
      </c>
      <c r="W32" s="35">
        <f t="shared" si="63"/>
        <v>0.0652</v>
      </c>
      <c r="X32" s="35">
        <f t="shared" si="63"/>
        <v>0.0934</v>
      </c>
      <c r="Y32" s="35">
        <f t="shared" si="63"/>
        <v>0.1216</v>
      </c>
      <c r="Z32" s="35">
        <f t="shared" si="63"/>
        <v>0.1498</v>
      </c>
      <c r="AA32" s="35">
        <f t="shared" si="63"/>
        <v>0.178</v>
      </c>
      <c r="AB32" s="35">
        <f t="shared" si="63"/>
        <v>0.1862</v>
      </c>
      <c r="AC32" s="35">
        <f t="shared" si="63"/>
        <v>0.1944</v>
      </c>
      <c r="AD32" s="35">
        <f t="shared" si="63"/>
        <v>0.2226</v>
      </c>
      <c r="AE32" s="35">
        <f t="shared" si="63"/>
        <v>0.2308</v>
      </c>
      <c r="AF32" s="35">
        <f t="shared" si="63"/>
        <v>0.269</v>
      </c>
      <c r="AG32" s="35">
        <f t="shared" si="63"/>
        <v>0.2972</v>
      </c>
      <c r="AH32" s="45"/>
      <c r="AI32" s="44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3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3"/>
    </row>
    <row r="33">
      <c r="A33" s="33" t="s">
        <v>78</v>
      </c>
      <c r="B33" s="33" t="s">
        <v>22</v>
      </c>
      <c r="C33" s="33" t="s">
        <v>79</v>
      </c>
      <c r="D33" s="33"/>
      <c r="E33" s="33"/>
      <c r="F33" s="34">
        <f t="shared" ref="F33:K33" si="64">F34</f>
        <v>-1579531</v>
      </c>
      <c r="G33" s="34">
        <f t="shared" si="64"/>
        <v>-725626</v>
      </c>
      <c r="H33" s="34">
        <f t="shared" si="64"/>
        <v>-1396013</v>
      </c>
      <c r="I33" s="34">
        <f t="shared" si="64"/>
        <v>-1578361</v>
      </c>
      <c r="J33" s="34">
        <f t="shared" si="64"/>
        <v>-1606912</v>
      </c>
      <c r="K33" s="34">
        <f t="shared" si="64"/>
        <v>-1526863</v>
      </c>
      <c r="L33" s="34">
        <f t="shared" ref="L33:L35" si="67">SUM(F33:K33)</f>
        <v>-8413306</v>
      </c>
      <c r="M33" s="35">
        <f>L33/L$3</f>
        <v>-0.8269705866</v>
      </c>
      <c r="N33" s="40">
        <f t="shared" ref="N33:S33" si="65">N34</f>
        <v>-2476609</v>
      </c>
      <c r="O33" s="40">
        <f t="shared" si="65"/>
        <v>-2509424</v>
      </c>
      <c r="P33" s="40">
        <f t="shared" si="65"/>
        <v>-2395257</v>
      </c>
      <c r="Q33" s="40">
        <f t="shared" si="65"/>
        <v>-2279418</v>
      </c>
      <c r="R33" s="40">
        <f t="shared" si="65"/>
        <v>-2271525</v>
      </c>
      <c r="S33" s="40">
        <f t="shared" si="65"/>
        <v>-2380275</v>
      </c>
      <c r="T33" s="40">
        <f t="shared" ref="T33:T35" si="68">SUM(N33:S33)+L33</f>
        <v>-22725814</v>
      </c>
      <c r="U33" s="35">
        <f>T33/T$3</f>
        <v>-0.9307067852</v>
      </c>
      <c r="V33" s="34">
        <f t="shared" ref="V33:AG33" si="66">V34</f>
        <v>-1400000</v>
      </c>
      <c r="W33" s="34">
        <f t="shared" si="66"/>
        <v>-1400000</v>
      </c>
      <c r="X33" s="34">
        <f t="shared" si="66"/>
        <v>-1400000</v>
      </c>
      <c r="Y33" s="34">
        <f t="shared" si="66"/>
        <v>-1400000</v>
      </c>
      <c r="Z33" s="34">
        <f t="shared" si="66"/>
        <v>-1400000</v>
      </c>
      <c r="AA33" s="34">
        <f t="shared" si="66"/>
        <v>-1400000</v>
      </c>
      <c r="AB33" s="34">
        <f t="shared" si="66"/>
        <v>-1400000</v>
      </c>
      <c r="AC33" s="34">
        <f t="shared" si="66"/>
        <v>-1400000</v>
      </c>
      <c r="AD33" s="34">
        <f t="shared" si="66"/>
        <v>-1400000</v>
      </c>
      <c r="AE33" s="34">
        <f t="shared" si="66"/>
        <v>-1400000</v>
      </c>
      <c r="AF33" s="34">
        <f t="shared" si="66"/>
        <v>-1400000</v>
      </c>
      <c r="AG33" s="34">
        <f t="shared" si="66"/>
        <v>-1400000</v>
      </c>
      <c r="AH33" s="34">
        <f t="shared" ref="AH33:AH35" si="70">SUM(V33:AG33)</f>
        <v>-16800000</v>
      </c>
      <c r="AI33" s="35">
        <f>AH33/AH$3</f>
        <v>-0.3705419176</v>
      </c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>
      <c r="A34" s="33"/>
      <c r="B34" s="33"/>
      <c r="C34" s="33" t="s">
        <v>79</v>
      </c>
      <c r="D34" s="33" t="s">
        <v>80</v>
      </c>
      <c r="E34" s="33" t="s">
        <v>81</v>
      </c>
      <c r="F34" s="34">
        <v>-1579531.0</v>
      </c>
      <c r="G34" s="34">
        <v>-725626.0</v>
      </c>
      <c r="H34" s="34">
        <v>-1396013.0</v>
      </c>
      <c r="I34" s="34">
        <v>-1578361.0</v>
      </c>
      <c r="J34" s="34">
        <v>-1606912.0</v>
      </c>
      <c r="K34" s="34">
        <v>-1526863.0</v>
      </c>
      <c r="L34" s="34">
        <f t="shared" si="67"/>
        <v>-8413306</v>
      </c>
      <c r="M34" s="33"/>
      <c r="N34" s="40">
        <v>-2476609.0</v>
      </c>
      <c r="O34" s="40">
        <v>-2509424.0</v>
      </c>
      <c r="P34" s="40">
        <v>-2395257.0</v>
      </c>
      <c r="Q34" s="40">
        <v>-2279418.0</v>
      </c>
      <c r="R34" s="40">
        <v>-2271525.0</v>
      </c>
      <c r="S34" s="40">
        <v>-2380275.0</v>
      </c>
      <c r="T34" s="40">
        <f t="shared" si="68"/>
        <v>-22725814</v>
      </c>
      <c r="U34" s="33"/>
      <c r="V34" s="34">
        <f t="shared" ref="V34:AG34" si="69">V49*V92</f>
        <v>-1400000</v>
      </c>
      <c r="W34" s="34">
        <f t="shared" si="69"/>
        <v>-1400000</v>
      </c>
      <c r="X34" s="34">
        <f t="shared" si="69"/>
        <v>-1400000</v>
      </c>
      <c r="Y34" s="34">
        <f t="shared" si="69"/>
        <v>-1400000</v>
      </c>
      <c r="Z34" s="34">
        <f t="shared" si="69"/>
        <v>-1400000</v>
      </c>
      <c r="AA34" s="34">
        <f t="shared" si="69"/>
        <v>-1400000</v>
      </c>
      <c r="AB34" s="34">
        <f t="shared" si="69"/>
        <v>-1400000</v>
      </c>
      <c r="AC34" s="34">
        <f t="shared" si="69"/>
        <v>-1400000</v>
      </c>
      <c r="AD34" s="34">
        <f t="shared" si="69"/>
        <v>-1400000</v>
      </c>
      <c r="AE34" s="34">
        <f t="shared" si="69"/>
        <v>-1400000</v>
      </c>
      <c r="AF34" s="34">
        <f t="shared" si="69"/>
        <v>-1400000</v>
      </c>
      <c r="AG34" s="34">
        <f t="shared" si="69"/>
        <v>-1400000</v>
      </c>
      <c r="AH34" s="34">
        <f t="shared" si="70"/>
        <v>-16800000</v>
      </c>
      <c r="AI34" s="33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>
      <c r="A35" s="33" t="s">
        <v>82</v>
      </c>
      <c r="B35" s="33" t="s">
        <v>22</v>
      </c>
      <c r="C35" s="33" t="s">
        <v>83</v>
      </c>
      <c r="D35" s="33"/>
      <c r="E35" s="33"/>
      <c r="F35" s="34">
        <v>-2468275.0</v>
      </c>
      <c r="G35" s="34">
        <v>-1586692.0</v>
      </c>
      <c r="H35" s="34">
        <v>-2705563.0</v>
      </c>
      <c r="I35" s="34">
        <v>-2534210.0</v>
      </c>
      <c r="J35" s="34">
        <v>-2466100.0</v>
      </c>
      <c r="K35" s="34">
        <v>-1660683.0</v>
      </c>
      <c r="L35" s="34">
        <f t="shared" si="67"/>
        <v>-13421523</v>
      </c>
      <c r="M35" s="35">
        <f>L35/L$3</f>
        <v>-1.319244153</v>
      </c>
      <c r="N35" s="34">
        <f t="shared" ref="N35:S35" si="71">N31+N33</f>
        <v>-3668887</v>
      </c>
      <c r="O35" s="34">
        <f t="shared" si="71"/>
        <v>-3381828</v>
      </c>
      <c r="P35" s="34">
        <f t="shared" si="71"/>
        <v>-3091550</v>
      </c>
      <c r="Q35" s="34">
        <f t="shared" si="71"/>
        <v>-2812759</v>
      </c>
      <c r="R35" s="34">
        <f t="shared" si="71"/>
        <v>-2574314</v>
      </c>
      <c r="S35" s="34">
        <f t="shared" si="71"/>
        <v>-2469408</v>
      </c>
      <c r="T35" s="34">
        <f t="shared" si="68"/>
        <v>-31420269</v>
      </c>
      <c r="U35" s="35">
        <f>T35/T$3</f>
        <v>-1.286777123</v>
      </c>
      <c r="V35" s="34">
        <f t="shared" ref="V35:AG35" si="72">V31+V33</f>
        <v>-1280804.5</v>
      </c>
      <c r="W35" s="34">
        <f t="shared" si="72"/>
        <v>-1182753.6</v>
      </c>
      <c r="X35" s="34">
        <f t="shared" si="72"/>
        <v>-1078470.5</v>
      </c>
      <c r="Y35" s="34">
        <f t="shared" si="72"/>
        <v>-968988.8</v>
      </c>
      <c r="Z35" s="34">
        <f t="shared" si="72"/>
        <v>-853754.3</v>
      </c>
      <c r="AA35" s="34">
        <f t="shared" si="72"/>
        <v>-732767</v>
      </c>
      <c r="AB35" s="34">
        <f t="shared" si="72"/>
        <v>-684619.6</v>
      </c>
      <c r="AC35" s="34">
        <f t="shared" si="72"/>
        <v>-634938.8</v>
      </c>
      <c r="AD35" s="34">
        <f t="shared" si="72"/>
        <v>-503144.6</v>
      </c>
      <c r="AE35" s="34">
        <f t="shared" si="72"/>
        <v>-450488.8</v>
      </c>
      <c r="AF35" s="34">
        <f t="shared" si="72"/>
        <v>-270469</v>
      </c>
      <c r="AG35" s="34">
        <f t="shared" si="72"/>
        <v>-126795.2</v>
      </c>
      <c r="AH35" s="34">
        <f t="shared" si="70"/>
        <v>-8767994.7</v>
      </c>
      <c r="AI35" s="35">
        <f>AH35/AH$3</f>
        <v>-0.1933874744</v>
      </c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>
      <c r="A36" s="33" t="s">
        <v>84</v>
      </c>
      <c r="B36" s="33" t="s">
        <v>22</v>
      </c>
      <c r="C36" s="33" t="s">
        <v>84</v>
      </c>
      <c r="D36" s="33"/>
      <c r="E36" s="33"/>
      <c r="F36" s="35">
        <f t="shared" ref="F36:K36" si="73">F35/F3</f>
        <v>-1.476465324</v>
      </c>
      <c r="G36" s="35">
        <f t="shared" si="73"/>
        <v>-0.9205066264</v>
      </c>
      <c r="H36" s="35">
        <f t="shared" si="73"/>
        <v>-1.632107768</v>
      </c>
      <c r="I36" s="35">
        <f t="shared" si="73"/>
        <v>-1.53211677</v>
      </c>
      <c r="J36" s="35">
        <f t="shared" si="73"/>
        <v>-1.419530941</v>
      </c>
      <c r="K36" s="35">
        <f t="shared" si="73"/>
        <v>-0.9604036894</v>
      </c>
      <c r="L36" s="33"/>
      <c r="M36" s="44"/>
      <c r="N36" s="35">
        <f t="shared" ref="N36:S36" si="74">N35/N3</f>
        <v>-1.971300018</v>
      </c>
      <c r="O36" s="35">
        <f t="shared" si="74"/>
        <v>-1.651604976</v>
      </c>
      <c r="P36" s="35">
        <f t="shared" si="74"/>
        <v>-1.375703026</v>
      </c>
      <c r="Q36" s="35">
        <f t="shared" si="74"/>
        <v>-1.146426678</v>
      </c>
      <c r="R36" s="35">
        <f t="shared" si="74"/>
        <v>-0.9566025207</v>
      </c>
      <c r="S36" s="35">
        <f t="shared" si="74"/>
        <v>-0.8389214252</v>
      </c>
      <c r="T36" s="33"/>
      <c r="U36" s="44"/>
      <c r="V36" s="35">
        <f t="shared" ref="V36:AG36" si="75">V35/V3</f>
        <v>-0.3975801645</v>
      </c>
      <c r="W36" s="35">
        <f t="shared" si="75"/>
        <v>-0.3549680672</v>
      </c>
      <c r="X36" s="35">
        <f t="shared" si="75"/>
        <v>-0.313281191</v>
      </c>
      <c r="Y36" s="35">
        <f t="shared" si="75"/>
        <v>-0.2733781351</v>
      </c>
      <c r="Z36" s="35">
        <f t="shared" si="75"/>
        <v>-0.2341297957</v>
      </c>
      <c r="AA36" s="35">
        <f t="shared" si="75"/>
        <v>-0.1954827264</v>
      </c>
      <c r="AB36" s="35">
        <f t="shared" si="75"/>
        <v>-0.178193545</v>
      </c>
      <c r="AC36" s="35">
        <f t="shared" si="75"/>
        <v>-0.161336247</v>
      </c>
      <c r="AD36" s="35">
        <f t="shared" si="75"/>
        <v>-0.1248807645</v>
      </c>
      <c r="AE36" s="35">
        <f t="shared" si="75"/>
        <v>-0.1095014098</v>
      </c>
      <c r="AF36" s="35">
        <f t="shared" si="75"/>
        <v>-0.06441271731</v>
      </c>
      <c r="AG36" s="35">
        <f t="shared" si="75"/>
        <v>-0.02959738562</v>
      </c>
      <c r="AH36" s="45"/>
      <c r="AI36" s="44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>
      <c r="A37" s="33" t="s">
        <v>85</v>
      </c>
      <c r="B37" s="33" t="s">
        <v>22</v>
      </c>
      <c r="C37" s="33" t="s">
        <v>85</v>
      </c>
      <c r="D37" s="33"/>
      <c r="E37" s="33"/>
      <c r="F37" s="34">
        <f t="shared" ref="F37:K37" si="76">F38</f>
        <v>-8337</v>
      </c>
      <c r="G37" s="34">
        <f t="shared" si="76"/>
        <v>-7888</v>
      </c>
      <c r="H37" s="34">
        <f t="shared" si="76"/>
        <v>-7768</v>
      </c>
      <c r="I37" s="34">
        <f t="shared" si="76"/>
        <v>-8070</v>
      </c>
      <c r="J37" s="34">
        <f t="shared" si="76"/>
        <v>-6831</v>
      </c>
      <c r="K37" s="34">
        <f t="shared" si="76"/>
        <v>21156</v>
      </c>
      <c r="L37" s="34">
        <f t="shared" ref="L37:L39" si="77">SUM(F37:K37)</f>
        <v>-17738</v>
      </c>
      <c r="M37" s="35">
        <f>L37/L$3</f>
        <v>-0.001743524396</v>
      </c>
      <c r="N37" s="36">
        <v>0.0</v>
      </c>
      <c r="O37" s="36">
        <v>0.0</v>
      </c>
      <c r="P37" s="36">
        <v>0.0</v>
      </c>
      <c r="Q37" s="36">
        <v>0.0</v>
      </c>
      <c r="R37" s="36">
        <v>0.0</v>
      </c>
      <c r="S37" s="36">
        <v>0.0</v>
      </c>
      <c r="T37" s="34">
        <f t="shared" ref="T37:T39" si="78">SUM(N37:S37)+L37</f>
        <v>-17738</v>
      </c>
      <c r="U37" s="35">
        <f>T37/T$3</f>
        <v>-0.0007264372117</v>
      </c>
      <c r="V37" s="36">
        <v>0.0</v>
      </c>
      <c r="W37" s="36">
        <v>0.0</v>
      </c>
      <c r="X37" s="36">
        <v>0.0</v>
      </c>
      <c r="Y37" s="36">
        <v>0.0</v>
      </c>
      <c r="Z37" s="36">
        <v>0.0</v>
      </c>
      <c r="AA37" s="36">
        <v>0.0</v>
      </c>
      <c r="AB37" s="36">
        <v>0.0</v>
      </c>
      <c r="AC37" s="36">
        <v>0.0</v>
      </c>
      <c r="AD37" s="36">
        <v>0.0</v>
      </c>
      <c r="AE37" s="36">
        <v>0.0</v>
      </c>
      <c r="AF37" s="36">
        <v>0.0</v>
      </c>
      <c r="AG37" s="36">
        <v>0.0</v>
      </c>
      <c r="AH37" s="34">
        <f t="shared" ref="AH37:AH39" si="79">SUM(V37:AG37)</f>
        <v>0</v>
      </c>
      <c r="AI37" s="35">
        <f>AH37/AH$3</f>
        <v>0</v>
      </c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>
      <c r="A38" s="33"/>
      <c r="B38" s="33"/>
      <c r="C38" s="33" t="s">
        <v>85</v>
      </c>
      <c r="D38" s="33" t="s">
        <v>86</v>
      </c>
      <c r="E38" s="33"/>
      <c r="F38" s="34">
        <v>-8337.0</v>
      </c>
      <c r="G38" s="34">
        <v>-7888.0</v>
      </c>
      <c r="H38" s="34">
        <v>-7768.0</v>
      </c>
      <c r="I38" s="34">
        <v>-8070.0</v>
      </c>
      <c r="J38" s="34">
        <v>-6831.0</v>
      </c>
      <c r="K38" s="34">
        <v>21156.0</v>
      </c>
      <c r="L38" s="34">
        <f t="shared" si="77"/>
        <v>-17738</v>
      </c>
      <c r="M38" s="33"/>
      <c r="N38" s="36">
        <v>0.0</v>
      </c>
      <c r="O38" s="36">
        <v>0.0</v>
      </c>
      <c r="P38" s="36">
        <v>0.0</v>
      </c>
      <c r="Q38" s="36">
        <v>0.0</v>
      </c>
      <c r="R38" s="36">
        <v>0.0</v>
      </c>
      <c r="S38" s="36">
        <v>0.0</v>
      </c>
      <c r="T38" s="34">
        <f t="shared" si="78"/>
        <v>-17738</v>
      </c>
      <c r="U38" s="33"/>
      <c r="V38" s="36">
        <v>0.0</v>
      </c>
      <c r="W38" s="36">
        <v>0.0</v>
      </c>
      <c r="X38" s="36">
        <v>0.0</v>
      </c>
      <c r="Y38" s="36">
        <v>0.0</v>
      </c>
      <c r="Z38" s="36">
        <v>0.0</v>
      </c>
      <c r="AA38" s="36">
        <v>0.0</v>
      </c>
      <c r="AB38" s="36">
        <v>0.0</v>
      </c>
      <c r="AC38" s="36">
        <v>0.0</v>
      </c>
      <c r="AD38" s="36">
        <v>0.0</v>
      </c>
      <c r="AE38" s="36">
        <v>0.0</v>
      </c>
      <c r="AF38" s="36">
        <v>0.0</v>
      </c>
      <c r="AG38" s="36">
        <v>0.0</v>
      </c>
      <c r="AH38" s="34">
        <f t="shared" si="79"/>
        <v>0</v>
      </c>
      <c r="AI38" s="33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>
      <c r="A39" s="44" t="s">
        <v>87</v>
      </c>
      <c r="B39" s="44" t="s">
        <v>22</v>
      </c>
      <c r="C39" s="44" t="s">
        <v>88</v>
      </c>
      <c r="D39" s="44"/>
      <c r="E39" s="44"/>
      <c r="F39" s="34">
        <v>-2476612.0</v>
      </c>
      <c r="G39" s="34">
        <v>-1594580.0</v>
      </c>
      <c r="H39" s="34">
        <v>-2713331.0</v>
      </c>
      <c r="I39" s="34">
        <v>-2542280.0</v>
      </c>
      <c r="J39" s="34">
        <v>-2472931.0</v>
      </c>
      <c r="K39" s="34">
        <v>-1639527.0</v>
      </c>
      <c r="L39" s="34">
        <f t="shared" si="77"/>
        <v>-13439261</v>
      </c>
      <c r="M39" s="35">
        <f>L39/L$3</f>
        <v>-1.320987677</v>
      </c>
      <c r="N39" s="34">
        <f t="shared" ref="N39:S39" si="80">N35+N37</f>
        <v>-3668887</v>
      </c>
      <c r="O39" s="34">
        <f t="shared" si="80"/>
        <v>-3381828</v>
      </c>
      <c r="P39" s="34">
        <f t="shared" si="80"/>
        <v>-3091550</v>
      </c>
      <c r="Q39" s="34">
        <f t="shared" si="80"/>
        <v>-2812759</v>
      </c>
      <c r="R39" s="34">
        <f t="shared" si="80"/>
        <v>-2574314</v>
      </c>
      <c r="S39" s="34">
        <f t="shared" si="80"/>
        <v>-2469408</v>
      </c>
      <c r="T39" s="34">
        <f t="shared" si="78"/>
        <v>-31438007</v>
      </c>
      <c r="U39" s="35">
        <f>T39/T$3</f>
        <v>-1.28750356</v>
      </c>
      <c r="V39" s="34">
        <f t="shared" ref="V39:AG39" si="81">V35+V37</f>
        <v>-1280804.5</v>
      </c>
      <c r="W39" s="34">
        <f t="shared" si="81"/>
        <v>-1182753.6</v>
      </c>
      <c r="X39" s="34">
        <f t="shared" si="81"/>
        <v>-1078470.5</v>
      </c>
      <c r="Y39" s="34">
        <f t="shared" si="81"/>
        <v>-968988.8</v>
      </c>
      <c r="Z39" s="34">
        <f t="shared" si="81"/>
        <v>-853754.3</v>
      </c>
      <c r="AA39" s="34">
        <f t="shared" si="81"/>
        <v>-732767</v>
      </c>
      <c r="AB39" s="34">
        <f t="shared" si="81"/>
        <v>-684619.6</v>
      </c>
      <c r="AC39" s="34">
        <f t="shared" si="81"/>
        <v>-634938.8</v>
      </c>
      <c r="AD39" s="34">
        <f t="shared" si="81"/>
        <v>-503144.6</v>
      </c>
      <c r="AE39" s="34">
        <f t="shared" si="81"/>
        <v>-450488.8</v>
      </c>
      <c r="AF39" s="34">
        <f t="shared" si="81"/>
        <v>-270469</v>
      </c>
      <c r="AG39" s="34">
        <f t="shared" si="81"/>
        <v>-126795.2</v>
      </c>
      <c r="AH39" s="34">
        <f t="shared" si="79"/>
        <v>-8767994.7</v>
      </c>
      <c r="AI39" s="35">
        <f>AH39/AH$3</f>
        <v>-0.1933874744</v>
      </c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44"/>
      <c r="AW39" s="44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44"/>
      <c r="BK39" s="44"/>
    </row>
    <row r="40">
      <c r="A40" s="33" t="s">
        <v>89</v>
      </c>
      <c r="B40" s="33" t="s">
        <v>22</v>
      </c>
      <c r="C40" s="33" t="s">
        <v>90</v>
      </c>
      <c r="D40" s="33"/>
      <c r="E40" s="33"/>
      <c r="F40" s="35">
        <f t="shared" ref="F40:K40" si="82">F39/F3</f>
        <v>-1.481452326</v>
      </c>
      <c r="G40" s="35">
        <f t="shared" si="82"/>
        <v>-0.9250827863</v>
      </c>
      <c r="H40" s="35">
        <f t="shared" si="82"/>
        <v>-1.636793748</v>
      </c>
      <c r="I40" s="35">
        <f t="shared" si="82"/>
        <v>-1.53699568</v>
      </c>
      <c r="J40" s="35">
        <f t="shared" si="82"/>
        <v>-1.423462985</v>
      </c>
      <c r="K40" s="35">
        <f t="shared" si="82"/>
        <v>-0.9481687834</v>
      </c>
      <c r="L40" s="33"/>
      <c r="M40" s="33"/>
      <c r="N40" s="35">
        <f t="shared" ref="N40:S40" si="83">N39/N3</f>
        <v>-1.971300018</v>
      </c>
      <c r="O40" s="35">
        <f t="shared" si="83"/>
        <v>-1.651604976</v>
      </c>
      <c r="P40" s="35">
        <f t="shared" si="83"/>
        <v>-1.375703026</v>
      </c>
      <c r="Q40" s="35">
        <f t="shared" si="83"/>
        <v>-1.146426678</v>
      </c>
      <c r="R40" s="35">
        <f t="shared" si="83"/>
        <v>-0.9566025207</v>
      </c>
      <c r="S40" s="35">
        <f t="shared" si="83"/>
        <v>-0.8389214252</v>
      </c>
      <c r="T40" s="33"/>
      <c r="U40" s="33"/>
      <c r="V40" s="35">
        <f t="shared" ref="V40:AG40" si="84">V39/V3</f>
        <v>-0.3975801645</v>
      </c>
      <c r="W40" s="35">
        <f t="shared" si="84"/>
        <v>-0.3549680672</v>
      </c>
      <c r="X40" s="35">
        <f t="shared" si="84"/>
        <v>-0.313281191</v>
      </c>
      <c r="Y40" s="35">
        <f t="shared" si="84"/>
        <v>-0.2733781351</v>
      </c>
      <c r="Z40" s="35">
        <f t="shared" si="84"/>
        <v>-0.2341297957</v>
      </c>
      <c r="AA40" s="35">
        <f t="shared" si="84"/>
        <v>-0.1954827264</v>
      </c>
      <c r="AB40" s="35">
        <f t="shared" si="84"/>
        <v>-0.178193545</v>
      </c>
      <c r="AC40" s="35">
        <f t="shared" si="84"/>
        <v>-0.161336247</v>
      </c>
      <c r="AD40" s="35">
        <f t="shared" si="84"/>
        <v>-0.1248807645</v>
      </c>
      <c r="AE40" s="35">
        <f t="shared" si="84"/>
        <v>-0.1095014098</v>
      </c>
      <c r="AF40" s="35">
        <f t="shared" si="84"/>
        <v>-0.06441271731</v>
      </c>
      <c r="AG40" s="35">
        <f t="shared" si="84"/>
        <v>-0.02959738562</v>
      </c>
      <c r="AH40" s="45"/>
      <c r="AI40" s="33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3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3"/>
    </row>
    <row r="42">
      <c r="A42" s="46" t="s">
        <v>91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</row>
    <row r="43">
      <c r="A43" s="44" t="s">
        <v>92</v>
      </c>
      <c r="B43" s="44" t="s">
        <v>93</v>
      </c>
      <c r="C43" s="44" t="s">
        <v>92</v>
      </c>
      <c r="D43" s="44"/>
      <c r="E43" s="44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3"/>
      <c r="AW43" s="33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3"/>
      <c r="BK43" s="33"/>
    </row>
    <row r="44">
      <c r="A44" s="33" t="s">
        <v>94</v>
      </c>
      <c r="B44" s="33" t="s">
        <v>93</v>
      </c>
      <c r="C44" s="33" t="s">
        <v>94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>
      <c r="A45" s="33" t="s">
        <v>95</v>
      </c>
      <c r="B45" s="33" t="s">
        <v>93</v>
      </c>
      <c r="C45" s="33" t="s">
        <v>95</v>
      </c>
      <c r="D45" s="37" t="s">
        <v>96</v>
      </c>
      <c r="E45" s="33"/>
      <c r="F45" s="36">
        <f t="shared" ref="F45:K45" si="85">F46</f>
        <v>976</v>
      </c>
      <c r="G45" s="36">
        <f t="shared" si="85"/>
        <v>988</v>
      </c>
      <c r="H45" s="36">
        <f t="shared" si="85"/>
        <v>988</v>
      </c>
      <c r="I45" s="36">
        <f t="shared" si="85"/>
        <v>1005</v>
      </c>
      <c r="J45" s="36">
        <f t="shared" si="85"/>
        <v>1042</v>
      </c>
      <c r="K45" s="36">
        <f t="shared" si="85"/>
        <v>1094</v>
      </c>
      <c r="L45" s="33"/>
      <c r="M45" s="33"/>
      <c r="N45" s="36">
        <f t="shared" ref="N45:S45" si="86">N46</f>
        <v>1174</v>
      </c>
      <c r="O45" s="36">
        <f t="shared" si="86"/>
        <v>1287</v>
      </c>
      <c r="P45" s="36">
        <f t="shared" si="86"/>
        <v>1408</v>
      </c>
      <c r="Q45" s="36">
        <f t="shared" si="86"/>
        <v>1533</v>
      </c>
      <c r="R45" s="36">
        <f t="shared" si="86"/>
        <v>1677</v>
      </c>
      <c r="S45" s="36">
        <f t="shared" si="86"/>
        <v>1830</v>
      </c>
      <c r="T45" s="33"/>
      <c r="U45" s="33"/>
      <c r="V45" s="36">
        <f t="shared" ref="V45:AG45" si="87">V46</f>
        <v>1895</v>
      </c>
      <c r="W45" s="36">
        <f t="shared" si="87"/>
        <v>1960</v>
      </c>
      <c r="X45" s="36">
        <f t="shared" si="87"/>
        <v>2025</v>
      </c>
      <c r="Y45" s="36">
        <f t="shared" si="87"/>
        <v>2085</v>
      </c>
      <c r="Z45" s="36">
        <f t="shared" si="87"/>
        <v>2145</v>
      </c>
      <c r="AA45" s="36">
        <f t="shared" si="87"/>
        <v>2205</v>
      </c>
      <c r="AB45" s="36">
        <f t="shared" si="87"/>
        <v>2260</v>
      </c>
      <c r="AC45" s="36">
        <f t="shared" si="87"/>
        <v>2315</v>
      </c>
      <c r="AD45" s="36">
        <f t="shared" si="87"/>
        <v>2370</v>
      </c>
      <c r="AE45" s="36">
        <f t="shared" si="87"/>
        <v>2420</v>
      </c>
      <c r="AF45" s="36">
        <f t="shared" si="87"/>
        <v>2470</v>
      </c>
      <c r="AG45" s="36">
        <f t="shared" si="87"/>
        <v>2520</v>
      </c>
      <c r="AH45" s="33"/>
      <c r="AI45" s="33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3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3"/>
    </row>
    <row r="46">
      <c r="A46" s="33"/>
      <c r="B46" s="33" t="s">
        <v>97</v>
      </c>
      <c r="C46" s="33" t="s">
        <v>98</v>
      </c>
      <c r="D46" s="38"/>
      <c r="E46" s="33"/>
      <c r="F46" s="36">
        <v>976.0</v>
      </c>
      <c r="G46" s="36">
        <f t="shared" ref="G46:K46" si="88">sum(G48:G50)</f>
        <v>988</v>
      </c>
      <c r="H46" s="36">
        <f t="shared" si="88"/>
        <v>988</v>
      </c>
      <c r="I46" s="36">
        <f t="shared" si="88"/>
        <v>1005</v>
      </c>
      <c r="J46" s="36">
        <f t="shared" si="88"/>
        <v>1042</v>
      </c>
      <c r="K46" s="36">
        <f t="shared" si="88"/>
        <v>1094</v>
      </c>
      <c r="L46" s="33"/>
      <c r="M46" s="33"/>
      <c r="N46" s="36">
        <f t="shared" ref="N46:S46" si="89">sum(N48:N50)</f>
        <v>1174</v>
      </c>
      <c r="O46" s="36">
        <f t="shared" si="89"/>
        <v>1287</v>
      </c>
      <c r="P46" s="36">
        <f t="shared" si="89"/>
        <v>1408</v>
      </c>
      <c r="Q46" s="36">
        <f t="shared" si="89"/>
        <v>1533</v>
      </c>
      <c r="R46" s="36">
        <f t="shared" si="89"/>
        <v>1677</v>
      </c>
      <c r="S46" s="36">
        <f t="shared" si="89"/>
        <v>1830</v>
      </c>
      <c r="T46" s="33"/>
      <c r="U46" s="33"/>
      <c r="V46" s="36">
        <f t="shared" ref="V46:AG46" si="90">sum(V48:V50)</f>
        <v>1895</v>
      </c>
      <c r="W46" s="36">
        <f t="shared" si="90"/>
        <v>1960</v>
      </c>
      <c r="X46" s="36">
        <f t="shared" si="90"/>
        <v>2025</v>
      </c>
      <c r="Y46" s="36">
        <f t="shared" si="90"/>
        <v>2085</v>
      </c>
      <c r="Z46" s="36">
        <f t="shared" si="90"/>
        <v>2145</v>
      </c>
      <c r="AA46" s="36">
        <f t="shared" si="90"/>
        <v>2205</v>
      </c>
      <c r="AB46" s="36">
        <f t="shared" si="90"/>
        <v>2260</v>
      </c>
      <c r="AC46" s="36">
        <f t="shared" si="90"/>
        <v>2315</v>
      </c>
      <c r="AD46" s="36">
        <f t="shared" si="90"/>
        <v>2370</v>
      </c>
      <c r="AE46" s="36">
        <f t="shared" si="90"/>
        <v>2420</v>
      </c>
      <c r="AF46" s="36">
        <f t="shared" si="90"/>
        <v>2470</v>
      </c>
      <c r="AG46" s="36">
        <f t="shared" si="90"/>
        <v>2520</v>
      </c>
      <c r="AH46" s="33"/>
      <c r="AI46" s="33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>
      <c r="A47" s="44"/>
      <c r="B47" s="44"/>
      <c r="C47" s="37" t="s">
        <v>98</v>
      </c>
      <c r="D47" s="48" t="s">
        <v>99</v>
      </c>
      <c r="E47" s="44"/>
      <c r="F47" s="35"/>
      <c r="G47" s="35"/>
      <c r="H47" s="35"/>
      <c r="I47" s="35"/>
      <c r="J47" s="35"/>
      <c r="K47" s="35"/>
      <c r="L47" s="44"/>
      <c r="M47" s="44"/>
      <c r="N47" s="35"/>
      <c r="O47" s="35"/>
      <c r="P47" s="35"/>
      <c r="Q47" s="35"/>
      <c r="R47" s="35"/>
      <c r="S47" s="35"/>
      <c r="T47" s="44"/>
      <c r="U47" s="44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44"/>
      <c r="AI47" s="44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44"/>
      <c r="AW47" s="44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44"/>
      <c r="BK47" s="44"/>
    </row>
    <row r="48">
      <c r="A48" s="44"/>
      <c r="B48" s="44"/>
      <c r="C48" s="44" t="s">
        <v>100</v>
      </c>
      <c r="D48" s="48" t="s">
        <v>101</v>
      </c>
      <c r="E48" s="44"/>
      <c r="F48" s="36">
        <v>988.0</v>
      </c>
      <c r="G48" s="36">
        <f t="shared" ref="G48:K48" si="91">F46</f>
        <v>976</v>
      </c>
      <c r="H48" s="36">
        <f t="shared" si="91"/>
        <v>988</v>
      </c>
      <c r="I48" s="36">
        <f t="shared" si="91"/>
        <v>988</v>
      </c>
      <c r="J48" s="36">
        <f t="shared" si="91"/>
        <v>1005</v>
      </c>
      <c r="K48" s="36">
        <f t="shared" si="91"/>
        <v>1042</v>
      </c>
      <c r="L48" s="33"/>
      <c r="M48" s="33"/>
      <c r="N48" s="36">
        <f>K46</f>
        <v>1094</v>
      </c>
      <c r="O48" s="36">
        <f t="shared" ref="O48:S48" si="92">N46</f>
        <v>1174</v>
      </c>
      <c r="P48" s="36">
        <f t="shared" si="92"/>
        <v>1287</v>
      </c>
      <c r="Q48" s="36">
        <f t="shared" si="92"/>
        <v>1408</v>
      </c>
      <c r="R48" s="36">
        <f t="shared" si="92"/>
        <v>1533</v>
      </c>
      <c r="S48" s="36">
        <f t="shared" si="92"/>
        <v>1677</v>
      </c>
      <c r="T48" s="33"/>
      <c r="U48" s="33"/>
      <c r="V48" s="36">
        <f>S46</f>
        <v>1830</v>
      </c>
      <c r="W48" s="36">
        <f t="shared" ref="W48:AG48" si="93">V46</f>
        <v>1895</v>
      </c>
      <c r="X48" s="36">
        <f t="shared" si="93"/>
        <v>1960</v>
      </c>
      <c r="Y48" s="36">
        <f t="shared" si="93"/>
        <v>2025</v>
      </c>
      <c r="Z48" s="36">
        <f t="shared" si="93"/>
        <v>2085</v>
      </c>
      <c r="AA48" s="36">
        <f t="shared" si="93"/>
        <v>2145</v>
      </c>
      <c r="AB48" s="36">
        <f t="shared" si="93"/>
        <v>2205</v>
      </c>
      <c r="AC48" s="36">
        <f t="shared" si="93"/>
        <v>2260</v>
      </c>
      <c r="AD48" s="36">
        <f t="shared" si="93"/>
        <v>2315</v>
      </c>
      <c r="AE48" s="36">
        <f t="shared" si="93"/>
        <v>2370</v>
      </c>
      <c r="AF48" s="36">
        <f t="shared" si="93"/>
        <v>2420</v>
      </c>
      <c r="AG48" s="36">
        <f t="shared" si="93"/>
        <v>2470</v>
      </c>
      <c r="AH48" s="33"/>
      <c r="AI48" s="33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44"/>
      <c r="AW48" s="44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44"/>
      <c r="BK48" s="44"/>
    </row>
    <row r="49">
      <c r="A49" s="38"/>
      <c r="B49" s="38"/>
      <c r="C49" s="38" t="s">
        <v>102</v>
      </c>
      <c r="D49" s="48" t="s">
        <v>103</v>
      </c>
      <c r="E49" s="38"/>
      <c r="F49" s="49">
        <v>16.0</v>
      </c>
      <c r="G49" s="49">
        <v>23.0</v>
      </c>
      <c r="H49" s="49">
        <v>38.0</v>
      </c>
      <c r="I49" s="49">
        <v>37.0</v>
      </c>
      <c r="J49" s="49">
        <v>56.0</v>
      </c>
      <c r="K49" s="49">
        <v>72.0</v>
      </c>
      <c r="L49" s="38"/>
      <c r="M49" s="38"/>
      <c r="N49" s="50">
        <v>100.0</v>
      </c>
      <c r="O49" s="50">
        <v>133.0</v>
      </c>
      <c r="P49" s="50">
        <v>146.0</v>
      </c>
      <c r="Q49" s="50">
        <v>150.0</v>
      </c>
      <c r="R49" s="50">
        <v>174.0</v>
      </c>
      <c r="S49" s="50">
        <v>183.0</v>
      </c>
      <c r="T49" s="38"/>
      <c r="U49" s="38"/>
      <c r="V49" s="50">
        <v>100.0</v>
      </c>
      <c r="W49" s="50">
        <v>100.0</v>
      </c>
      <c r="X49" s="50">
        <v>100.0</v>
      </c>
      <c r="Y49" s="50">
        <v>100.0</v>
      </c>
      <c r="Z49" s="50">
        <v>100.0</v>
      </c>
      <c r="AA49" s="50">
        <v>100.0</v>
      </c>
      <c r="AB49" s="50">
        <v>100.0</v>
      </c>
      <c r="AC49" s="50">
        <v>100.0</v>
      </c>
      <c r="AD49" s="50">
        <v>100.0</v>
      </c>
      <c r="AE49" s="50">
        <v>100.0</v>
      </c>
      <c r="AF49" s="50">
        <v>100.0</v>
      </c>
      <c r="AG49" s="50">
        <v>100.0</v>
      </c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</row>
    <row r="50">
      <c r="A50" s="51"/>
      <c r="B50" s="38"/>
      <c r="C50" s="38" t="s">
        <v>104</v>
      </c>
      <c r="D50" s="48" t="s">
        <v>105</v>
      </c>
      <c r="E50" s="38"/>
      <c r="F50" s="52">
        <v>-28.0</v>
      </c>
      <c r="G50" s="52">
        <v>-11.0</v>
      </c>
      <c r="H50" s="52">
        <v>-38.0</v>
      </c>
      <c r="I50" s="52">
        <v>-20.0</v>
      </c>
      <c r="J50" s="52">
        <v>-19.0</v>
      </c>
      <c r="K50" s="52">
        <v>-20.0</v>
      </c>
      <c r="L50" s="38"/>
      <c r="M50" s="38"/>
      <c r="N50" s="50">
        <v>-20.0</v>
      </c>
      <c r="O50" s="50">
        <v>-20.0</v>
      </c>
      <c r="P50" s="50">
        <v>-25.0</v>
      </c>
      <c r="Q50" s="50">
        <v>-25.0</v>
      </c>
      <c r="R50" s="50">
        <v>-30.0</v>
      </c>
      <c r="S50" s="50">
        <v>-30.0</v>
      </c>
      <c r="T50" s="38"/>
      <c r="U50" s="38"/>
      <c r="V50" s="50">
        <v>-35.0</v>
      </c>
      <c r="W50" s="50">
        <v>-35.0</v>
      </c>
      <c r="X50" s="50">
        <v>-35.0</v>
      </c>
      <c r="Y50" s="50">
        <v>-40.0</v>
      </c>
      <c r="Z50" s="50">
        <v>-40.0</v>
      </c>
      <c r="AA50" s="50">
        <v>-40.0</v>
      </c>
      <c r="AB50" s="50">
        <v>-45.0</v>
      </c>
      <c r="AC50" s="50">
        <v>-45.0</v>
      </c>
      <c r="AD50" s="50">
        <v>-45.0</v>
      </c>
      <c r="AE50" s="50">
        <v>-50.0</v>
      </c>
      <c r="AF50" s="50">
        <v>-50.0</v>
      </c>
      <c r="AG50" s="50">
        <v>-50.0</v>
      </c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</row>
    <row r="51">
      <c r="A51" s="38"/>
      <c r="B51" s="38"/>
      <c r="C51" s="38" t="s">
        <v>106</v>
      </c>
      <c r="D51" s="48" t="s">
        <v>107</v>
      </c>
      <c r="E51" s="53" t="s">
        <v>108</v>
      </c>
      <c r="F51" s="35">
        <v>-0.029</v>
      </c>
      <c r="G51" s="35">
        <f t="shared" ref="G51:K51" si="94">G50/G48</f>
        <v>-0.0112704918</v>
      </c>
      <c r="H51" s="35">
        <f t="shared" si="94"/>
        <v>-0.03846153846</v>
      </c>
      <c r="I51" s="35">
        <f t="shared" si="94"/>
        <v>-0.02024291498</v>
      </c>
      <c r="J51" s="35">
        <f t="shared" si="94"/>
        <v>-0.01890547264</v>
      </c>
      <c r="K51" s="35">
        <f t="shared" si="94"/>
        <v>-0.01919385797</v>
      </c>
      <c r="L51" s="38"/>
      <c r="M51" s="38"/>
      <c r="N51" s="35">
        <f t="shared" ref="N51:S51" si="95">N50/N48</f>
        <v>-0.01828153565</v>
      </c>
      <c r="O51" s="35">
        <f t="shared" si="95"/>
        <v>-0.01703577513</v>
      </c>
      <c r="P51" s="35">
        <f t="shared" si="95"/>
        <v>-0.01942501943</v>
      </c>
      <c r="Q51" s="35">
        <f t="shared" si="95"/>
        <v>-0.01775568182</v>
      </c>
      <c r="R51" s="35">
        <f t="shared" si="95"/>
        <v>-0.01956947162</v>
      </c>
      <c r="S51" s="35">
        <f t="shared" si="95"/>
        <v>-0.01788908766</v>
      </c>
      <c r="T51" s="38"/>
      <c r="U51" s="38"/>
      <c r="V51" s="35">
        <f t="shared" ref="V51:AG51" si="96">V50/V48</f>
        <v>-0.01912568306</v>
      </c>
      <c r="W51" s="35">
        <f t="shared" si="96"/>
        <v>-0.01846965699</v>
      </c>
      <c r="X51" s="35">
        <f t="shared" si="96"/>
        <v>-0.01785714286</v>
      </c>
      <c r="Y51" s="35">
        <f t="shared" si="96"/>
        <v>-0.01975308642</v>
      </c>
      <c r="Z51" s="35">
        <f t="shared" si="96"/>
        <v>-0.01918465228</v>
      </c>
      <c r="AA51" s="35">
        <f t="shared" si="96"/>
        <v>-0.01864801865</v>
      </c>
      <c r="AB51" s="35">
        <f t="shared" si="96"/>
        <v>-0.02040816327</v>
      </c>
      <c r="AC51" s="35">
        <f t="shared" si="96"/>
        <v>-0.01991150442</v>
      </c>
      <c r="AD51" s="35">
        <f t="shared" si="96"/>
        <v>-0.01943844492</v>
      </c>
      <c r="AE51" s="35">
        <f t="shared" si="96"/>
        <v>-0.02109704641</v>
      </c>
      <c r="AF51" s="35">
        <f t="shared" si="96"/>
        <v>-0.02066115702</v>
      </c>
      <c r="AG51" s="35">
        <f t="shared" si="96"/>
        <v>-0.02024291498</v>
      </c>
      <c r="AH51" s="38"/>
      <c r="AI51" s="38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38"/>
      <c r="AW51" s="38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38"/>
      <c r="BK51" s="38"/>
    </row>
    <row r="52">
      <c r="A52" s="38"/>
      <c r="B52" s="38"/>
      <c r="C52" s="38"/>
      <c r="D52" s="48"/>
      <c r="E52" s="38"/>
      <c r="F52" s="35"/>
      <c r="G52" s="35"/>
      <c r="H52" s="35"/>
      <c r="I52" s="35"/>
      <c r="J52" s="35"/>
      <c r="K52" s="35"/>
      <c r="L52" s="38"/>
      <c r="M52" s="38"/>
      <c r="N52" s="35"/>
      <c r="O52" s="35"/>
      <c r="P52" s="35"/>
      <c r="Q52" s="35"/>
      <c r="R52" s="35"/>
      <c r="S52" s="35"/>
      <c r="T52" s="38"/>
      <c r="U52" s="38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8"/>
      <c r="AI52" s="38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38"/>
      <c r="AW52" s="38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38"/>
      <c r="BK52" s="38"/>
    </row>
    <row r="53">
      <c r="A53" s="38"/>
      <c r="B53" s="38"/>
      <c r="C53" s="33" t="s">
        <v>98</v>
      </c>
      <c r="D53" s="48" t="s">
        <v>109</v>
      </c>
      <c r="E53" s="38"/>
      <c r="F53" s="35"/>
      <c r="G53" s="35"/>
      <c r="H53" s="35"/>
      <c r="I53" s="35"/>
      <c r="J53" s="35"/>
      <c r="K53" s="35"/>
      <c r="L53" s="38"/>
      <c r="M53" s="38"/>
      <c r="N53" s="35"/>
      <c r="O53" s="35"/>
      <c r="P53" s="35"/>
      <c r="Q53" s="35"/>
      <c r="R53" s="35"/>
      <c r="S53" s="35"/>
      <c r="T53" s="38"/>
      <c r="U53" s="38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8"/>
      <c r="AI53" s="38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38"/>
      <c r="AW53" s="38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38"/>
      <c r="BK53" s="38"/>
    </row>
    <row r="54">
      <c r="A54" s="38"/>
      <c r="B54" s="38"/>
      <c r="C54" s="44" t="s">
        <v>100</v>
      </c>
      <c r="D54" s="48" t="s">
        <v>110</v>
      </c>
      <c r="E54" s="38"/>
      <c r="F54" s="35"/>
      <c r="G54" s="35"/>
      <c r="H54" s="35"/>
      <c r="I54" s="35"/>
      <c r="J54" s="35"/>
      <c r="K54" s="35"/>
      <c r="L54" s="38"/>
      <c r="M54" s="38"/>
      <c r="N54" s="35"/>
      <c r="O54" s="35"/>
      <c r="P54" s="35"/>
      <c r="Q54" s="35"/>
      <c r="R54" s="35"/>
      <c r="S54" s="35"/>
      <c r="T54" s="38"/>
      <c r="U54" s="38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8"/>
      <c r="AI54" s="38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38"/>
      <c r="AW54" s="38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38"/>
      <c r="BK54" s="38"/>
    </row>
    <row r="55">
      <c r="A55" s="38"/>
      <c r="B55" s="38"/>
      <c r="C55" s="38" t="s">
        <v>102</v>
      </c>
      <c r="D55" s="48" t="s">
        <v>111</v>
      </c>
      <c r="E55" s="38"/>
      <c r="F55" s="35"/>
      <c r="G55" s="35"/>
      <c r="H55" s="35"/>
      <c r="I55" s="35"/>
      <c r="J55" s="35"/>
      <c r="K55" s="35"/>
      <c r="L55" s="38"/>
      <c r="M55" s="38"/>
      <c r="N55" s="35"/>
      <c r="O55" s="35"/>
      <c r="P55" s="35"/>
      <c r="Q55" s="35"/>
      <c r="R55" s="35"/>
      <c r="S55" s="35"/>
      <c r="T55" s="38"/>
      <c r="U55" s="38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8"/>
      <c r="AI55" s="38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38"/>
      <c r="AW55" s="38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38"/>
      <c r="BK55" s="38"/>
    </row>
    <row r="56">
      <c r="A56" s="38"/>
      <c r="B56" s="38"/>
      <c r="C56" s="38" t="s">
        <v>104</v>
      </c>
      <c r="D56" s="48" t="s">
        <v>112</v>
      </c>
      <c r="E56" s="38"/>
      <c r="F56" s="35"/>
      <c r="G56" s="35"/>
      <c r="H56" s="35"/>
      <c r="I56" s="35"/>
      <c r="J56" s="35"/>
      <c r="K56" s="35"/>
      <c r="L56" s="38"/>
      <c r="M56" s="38"/>
      <c r="N56" s="35"/>
      <c r="O56" s="35"/>
      <c r="P56" s="35"/>
      <c r="Q56" s="35"/>
      <c r="R56" s="35"/>
      <c r="S56" s="35"/>
      <c r="T56" s="38"/>
      <c r="U56" s="38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8"/>
      <c r="AI56" s="38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38"/>
      <c r="AW56" s="38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38"/>
      <c r="BK56" s="38"/>
    </row>
    <row r="57">
      <c r="A57" s="38"/>
      <c r="B57" s="38"/>
      <c r="C57" s="38" t="s">
        <v>106</v>
      </c>
      <c r="D57" s="48" t="s">
        <v>113</v>
      </c>
      <c r="E57" s="53" t="s">
        <v>108</v>
      </c>
      <c r="F57" s="35"/>
      <c r="G57" s="35"/>
      <c r="H57" s="35"/>
      <c r="I57" s="35"/>
      <c r="J57" s="35"/>
      <c r="K57" s="35"/>
      <c r="L57" s="38"/>
      <c r="M57" s="38"/>
      <c r="N57" s="35"/>
      <c r="O57" s="35"/>
      <c r="P57" s="35"/>
      <c r="Q57" s="35"/>
      <c r="R57" s="35"/>
      <c r="S57" s="35"/>
      <c r="T57" s="38"/>
      <c r="U57" s="38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8"/>
      <c r="AI57" s="38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38"/>
      <c r="AW57" s="38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38"/>
      <c r="BK57" s="38"/>
    </row>
    <row r="58">
      <c r="A58" s="38" t="s">
        <v>114</v>
      </c>
      <c r="B58" s="38" t="s">
        <v>93</v>
      </c>
      <c r="C58" s="38" t="s">
        <v>115</v>
      </c>
      <c r="D58" s="54" t="s">
        <v>116</v>
      </c>
      <c r="E58" s="38"/>
      <c r="F58" s="52">
        <f t="shared" ref="F58:K58" si="97">F59</f>
        <v>1712</v>
      </c>
      <c r="G58" s="52">
        <f t="shared" si="97"/>
        <v>1760</v>
      </c>
      <c r="H58" s="52">
        <f t="shared" si="97"/>
        <v>1696</v>
      </c>
      <c r="I58" s="52">
        <f t="shared" si="97"/>
        <v>1669</v>
      </c>
      <c r="J58" s="52">
        <f t="shared" si="97"/>
        <v>1701</v>
      </c>
      <c r="K58" s="52">
        <f t="shared" si="97"/>
        <v>1629</v>
      </c>
      <c r="L58" s="38"/>
      <c r="M58" s="38"/>
      <c r="N58" s="52">
        <f t="shared" ref="N58:S58" si="98">N59</f>
        <v>1650</v>
      </c>
      <c r="O58" s="52">
        <f t="shared" si="98"/>
        <v>1650</v>
      </c>
      <c r="P58" s="52">
        <f t="shared" si="98"/>
        <v>1650</v>
      </c>
      <c r="Q58" s="52">
        <f t="shared" si="98"/>
        <v>1650</v>
      </c>
      <c r="R58" s="52">
        <f t="shared" si="98"/>
        <v>1650</v>
      </c>
      <c r="S58" s="52">
        <f t="shared" si="98"/>
        <v>1650</v>
      </c>
      <c r="T58" s="38"/>
      <c r="U58" s="38"/>
      <c r="V58" s="52">
        <f t="shared" ref="V58:AG58" si="99">V59</f>
        <v>1700</v>
      </c>
      <c r="W58" s="52">
        <f t="shared" si="99"/>
        <v>1700</v>
      </c>
      <c r="X58" s="52">
        <f t="shared" si="99"/>
        <v>1700</v>
      </c>
      <c r="Y58" s="52">
        <f t="shared" si="99"/>
        <v>1700</v>
      </c>
      <c r="Z58" s="52">
        <f t="shared" si="99"/>
        <v>1700</v>
      </c>
      <c r="AA58" s="52">
        <f t="shared" si="99"/>
        <v>1700</v>
      </c>
      <c r="AB58" s="52">
        <f t="shared" si="99"/>
        <v>1700</v>
      </c>
      <c r="AC58" s="52">
        <f t="shared" si="99"/>
        <v>1700</v>
      </c>
      <c r="AD58" s="52">
        <f t="shared" si="99"/>
        <v>1700</v>
      </c>
      <c r="AE58" s="52">
        <f t="shared" si="99"/>
        <v>1700</v>
      </c>
      <c r="AF58" s="52">
        <f t="shared" si="99"/>
        <v>1700</v>
      </c>
      <c r="AG58" s="52">
        <f t="shared" si="99"/>
        <v>1700</v>
      </c>
      <c r="AH58" s="38"/>
      <c r="AI58" s="38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38"/>
      <c r="AW58" s="38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38"/>
      <c r="BK58" s="38"/>
    </row>
    <row r="59">
      <c r="A59" s="38"/>
      <c r="B59" s="38"/>
      <c r="C59" s="38" t="s">
        <v>117</v>
      </c>
      <c r="D59" s="54" t="s">
        <v>118</v>
      </c>
      <c r="E59" s="38"/>
      <c r="F59" s="52">
        <v>1712.0</v>
      </c>
      <c r="G59" s="52">
        <v>1760.0</v>
      </c>
      <c r="H59" s="52">
        <v>1696.0</v>
      </c>
      <c r="I59" s="52">
        <v>1669.0</v>
      </c>
      <c r="J59" s="52">
        <v>1701.0</v>
      </c>
      <c r="K59" s="52">
        <v>1629.0</v>
      </c>
      <c r="L59" s="38"/>
      <c r="M59" s="38"/>
      <c r="N59" s="52">
        <v>1650.0</v>
      </c>
      <c r="O59" s="52">
        <v>1650.0</v>
      </c>
      <c r="P59" s="52">
        <v>1650.0</v>
      </c>
      <c r="Q59" s="52">
        <v>1650.0</v>
      </c>
      <c r="R59" s="52">
        <v>1650.0</v>
      </c>
      <c r="S59" s="52">
        <v>1650.0</v>
      </c>
      <c r="T59" s="38"/>
      <c r="U59" s="38"/>
      <c r="V59" s="52">
        <v>1700.0</v>
      </c>
      <c r="W59" s="52">
        <v>1700.0</v>
      </c>
      <c r="X59" s="52">
        <v>1700.0</v>
      </c>
      <c r="Y59" s="52">
        <v>1700.0</v>
      </c>
      <c r="Z59" s="52">
        <v>1700.0</v>
      </c>
      <c r="AA59" s="52">
        <v>1700.0</v>
      </c>
      <c r="AB59" s="52">
        <v>1700.0</v>
      </c>
      <c r="AC59" s="52">
        <v>1700.0</v>
      </c>
      <c r="AD59" s="52">
        <v>1700.0</v>
      </c>
      <c r="AE59" s="52">
        <v>1700.0</v>
      </c>
      <c r="AF59" s="52">
        <v>1700.0</v>
      </c>
      <c r="AG59" s="52">
        <v>1700.0</v>
      </c>
      <c r="AH59" s="38"/>
      <c r="AI59" s="38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38"/>
      <c r="AW59" s="38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38"/>
      <c r="BK59" s="38"/>
    </row>
    <row r="60">
      <c r="A60" s="38"/>
      <c r="B60" s="38"/>
      <c r="C60" s="38"/>
      <c r="D60" s="54" t="s">
        <v>119</v>
      </c>
      <c r="E60" s="38"/>
      <c r="F60" s="52"/>
      <c r="G60" s="52"/>
      <c r="H60" s="52"/>
      <c r="I60" s="52"/>
      <c r="J60" s="52"/>
      <c r="K60" s="52"/>
      <c r="L60" s="38"/>
      <c r="M60" s="38"/>
      <c r="N60" s="52"/>
      <c r="O60" s="52"/>
      <c r="P60" s="52"/>
      <c r="Q60" s="52"/>
      <c r="R60" s="52"/>
      <c r="S60" s="52"/>
      <c r="T60" s="38"/>
      <c r="U60" s="38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38"/>
      <c r="AI60" s="38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38"/>
      <c r="AW60" s="38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38"/>
      <c r="BK60" s="38"/>
    </row>
    <row r="61">
      <c r="A61" s="53"/>
      <c r="B61" s="53"/>
      <c r="C61" s="53"/>
      <c r="D61" s="53"/>
      <c r="E61" s="38"/>
      <c r="F61" s="55"/>
      <c r="G61" s="55"/>
      <c r="H61" s="55"/>
      <c r="I61" s="55"/>
      <c r="J61" s="55"/>
      <c r="K61" s="55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</row>
    <row r="62">
      <c r="A62" s="53" t="s">
        <v>120</v>
      </c>
      <c r="B62" s="53" t="s">
        <v>93</v>
      </c>
      <c r="C62" s="53" t="s">
        <v>121</v>
      </c>
      <c r="D62" s="54" t="s">
        <v>122</v>
      </c>
      <c r="E62" s="38"/>
      <c r="F62" s="55"/>
      <c r="G62" s="55"/>
      <c r="H62" s="55"/>
      <c r="I62" s="55"/>
      <c r="J62" s="55"/>
      <c r="K62" s="55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</row>
    <row r="63">
      <c r="A63" s="38"/>
      <c r="B63" s="38"/>
      <c r="C63" s="53" t="s">
        <v>123</v>
      </c>
      <c r="D63" s="54" t="s">
        <v>124</v>
      </c>
      <c r="E63" s="38"/>
      <c r="F63" s="55"/>
      <c r="G63" s="55"/>
      <c r="H63" s="55"/>
      <c r="I63" s="55"/>
      <c r="J63" s="55"/>
      <c r="K63" s="55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</row>
    <row r="64">
      <c r="A64" s="38"/>
      <c r="B64" s="38"/>
      <c r="C64" s="53" t="s">
        <v>125</v>
      </c>
      <c r="D64" s="53" t="s">
        <v>126</v>
      </c>
      <c r="E64" s="38"/>
      <c r="F64" s="55"/>
      <c r="G64" s="55"/>
      <c r="H64" s="55"/>
      <c r="I64" s="55"/>
      <c r="J64" s="55"/>
      <c r="K64" s="55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</row>
    <row r="65">
      <c r="A65" s="38"/>
      <c r="B65" s="38"/>
      <c r="C65" s="53" t="s">
        <v>127</v>
      </c>
      <c r="D65" s="53" t="s">
        <v>128</v>
      </c>
      <c r="E65" s="38"/>
      <c r="F65" s="55"/>
      <c r="G65" s="55"/>
      <c r="H65" s="55"/>
      <c r="I65" s="55"/>
      <c r="J65" s="55"/>
      <c r="K65" s="55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</row>
    <row r="66">
      <c r="A66" s="38"/>
      <c r="B66" s="38"/>
      <c r="C66" s="53" t="s">
        <v>129</v>
      </c>
      <c r="D66" s="54" t="s">
        <v>130</v>
      </c>
      <c r="E66" s="38"/>
      <c r="F66" s="55"/>
      <c r="G66" s="55"/>
      <c r="H66" s="55"/>
      <c r="I66" s="55"/>
      <c r="J66" s="55"/>
      <c r="K66" s="55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</row>
    <row r="67">
      <c r="A67" s="38"/>
      <c r="B67" s="38"/>
      <c r="C67" s="53" t="s">
        <v>131</v>
      </c>
      <c r="D67" s="53" t="s">
        <v>132</v>
      </c>
      <c r="E67" s="38"/>
      <c r="F67" s="55"/>
      <c r="G67" s="55"/>
      <c r="H67" s="55"/>
      <c r="I67" s="55"/>
      <c r="J67" s="55"/>
      <c r="K67" s="55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</row>
    <row r="68">
      <c r="A68" s="38"/>
      <c r="B68" s="38"/>
      <c r="C68" s="53" t="s">
        <v>133</v>
      </c>
      <c r="D68" s="53" t="s">
        <v>134</v>
      </c>
      <c r="E68" s="38"/>
      <c r="F68" s="55"/>
      <c r="G68" s="55"/>
      <c r="H68" s="55"/>
      <c r="I68" s="55"/>
      <c r="J68" s="55"/>
      <c r="K68" s="55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</row>
    <row r="69">
      <c r="A69" s="38"/>
      <c r="B69" s="38"/>
      <c r="C69" s="53" t="s">
        <v>127</v>
      </c>
      <c r="D69" s="53" t="s">
        <v>128</v>
      </c>
      <c r="E69" s="38"/>
      <c r="F69" s="55"/>
      <c r="G69" s="55"/>
      <c r="H69" s="55"/>
      <c r="I69" s="55"/>
      <c r="J69" s="55"/>
      <c r="K69" s="55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</row>
    <row r="70">
      <c r="A70" s="38"/>
      <c r="B70" s="38"/>
      <c r="C70" s="53" t="s">
        <v>135</v>
      </c>
      <c r="D70" s="53" t="s">
        <v>130</v>
      </c>
      <c r="E70" s="38"/>
      <c r="F70" s="55"/>
      <c r="G70" s="55"/>
      <c r="H70" s="55"/>
      <c r="I70" s="55"/>
      <c r="J70" s="55"/>
      <c r="K70" s="55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</row>
    <row r="71">
      <c r="A71" s="38"/>
      <c r="B71" s="38"/>
      <c r="C71" s="38"/>
      <c r="D71" s="53"/>
      <c r="E71" s="38"/>
      <c r="F71" s="55"/>
      <c r="G71" s="55"/>
      <c r="H71" s="55"/>
      <c r="I71" s="55"/>
      <c r="J71" s="55"/>
      <c r="K71" s="55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</row>
    <row r="72">
      <c r="A72" s="38" t="s">
        <v>136</v>
      </c>
      <c r="B72" s="38" t="s">
        <v>93</v>
      </c>
      <c r="C72" s="38" t="s">
        <v>136</v>
      </c>
      <c r="D72" s="38"/>
      <c r="E72" s="38"/>
      <c r="F72" s="35">
        <f t="shared" ref="F72:L72" si="100">F73</f>
        <v>-0.05351829764</v>
      </c>
      <c r="G72" s="35">
        <f t="shared" si="100"/>
        <v>-0.04609808112</v>
      </c>
      <c r="H72" s="35">
        <f t="shared" si="100"/>
        <v>-0.04607377281</v>
      </c>
      <c r="I72" s="35">
        <f t="shared" si="100"/>
        <v>-0.04320404726</v>
      </c>
      <c r="J72" s="35">
        <f t="shared" si="100"/>
        <v>-0.06467986443</v>
      </c>
      <c r="K72" s="35">
        <f t="shared" si="100"/>
        <v>-0.03599222971</v>
      </c>
      <c r="L72" s="35">
        <f t="shared" si="100"/>
        <v>-0.04829831901</v>
      </c>
      <c r="M72" s="38"/>
      <c r="N72" s="35">
        <f t="shared" ref="N72:T72" si="101">N73</f>
        <v>-0.06218463736</v>
      </c>
      <c r="O72" s="35">
        <f t="shared" si="101"/>
        <v>-0.06765087534</v>
      </c>
      <c r="P72" s="35">
        <f t="shared" si="101"/>
        <v>-0.04765110795</v>
      </c>
      <c r="Q72" s="35">
        <f t="shared" si="101"/>
        <v>-0.04413489132</v>
      </c>
      <c r="R72" s="35">
        <f t="shared" si="101"/>
        <v>-0.04064172991</v>
      </c>
      <c r="S72" s="35">
        <f t="shared" si="101"/>
        <v>-0.03759370909</v>
      </c>
      <c r="T72" s="35">
        <f t="shared" si="101"/>
        <v>-0.04836741653</v>
      </c>
      <c r="U72" s="38"/>
      <c r="V72" s="56">
        <v>-0.048</v>
      </c>
      <c r="W72" s="56">
        <v>-0.048</v>
      </c>
      <c r="X72" s="56">
        <v>-0.048</v>
      </c>
      <c r="Y72" s="56">
        <v>-0.048</v>
      </c>
      <c r="Z72" s="56">
        <v>-0.048</v>
      </c>
      <c r="AA72" s="56">
        <v>-0.048</v>
      </c>
      <c r="AB72" s="56">
        <v>-0.048</v>
      </c>
      <c r="AC72" s="56">
        <v>-0.048</v>
      </c>
      <c r="AD72" s="56">
        <v>-0.048</v>
      </c>
      <c r="AE72" s="56">
        <v>-0.048</v>
      </c>
      <c r="AF72" s="56">
        <v>-0.048</v>
      </c>
      <c r="AG72" s="56">
        <v>-0.048</v>
      </c>
      <c r="AH72" s="38"/>
      <c r="AI72" s="38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38"/>
      <c r="AW72" s="38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38"/>
      <c r="BK72" s="38"/>
    </row>
    <row r="73">
      <c r="A73" s="38"/>
      <c r="B73" s="38"/>
      <c r="C73" s="38" t="s">
        <v>136</v>
      </c>
      <c r="D73" s="38" t="s">
        <v>137</v>
      </c>
      <c r="E73" s="38"/>
      <c r="F73" s="35">
        <f t="shared" ref="F73:L73" si="102">F11/F3</f>
        <v>-0.05351829764</v>
      </c>
      <c r="G73" s="35">
        <f t="shared" si="102"/>
        <v>-0.04609808112</v>
      </c>
      <c r="H73" s="35">
        <f t="shared" si="102"/>
        <v>-0.04607377281</v>
      </c>
      <c r="I73" s="35">
        <f t="shared" si="102"/>
        <v>-0.04320404726</v>
      </c>
      <c r="J73" s="35">
        <f t="shared" si="102"/>
        <v>-0.06467986443</v>
      </c>
      <c r="K73" s="35">
        <f t="shared" si="102"/>
        <v>-0.03599222971</v>
      </c>
      <c r="L73" s="35">
        <f t="shared" si="102"/>
        <v>-0.04829831901</v>
      </c>
      <c r="M73" s="38"/>
      <c r="N73" s="35">
        <f t="shared" ref="N73:T73" si="103">N11/N3</f>
        <v>-0.06218463736</v>
      </c>
      <c r="O73" s="35">
        <f t="shared" si="103"/>
        <v>-0.06765087534</v>
      </c>
      <c r="P73" s="35">
        <f t="shared" si="103"/>
        <v>-0.04765110795</v>
      </c>
      <c r="Q73" s="35">
        <f t="shared" si="103"/>
        <v>-0.04413489132</v>
      </c>
      <c r="R73" s="35">
        <f t="shared" si="103"/>
        <v>-0.04064172991</v>
      </c>
      <c r="S73" s="35">
        <f t="shared" si="103"/>
        <v>-0.03759370909</v>
      </c>
      <c r="T73" s="35">
        <f t="shared" si="103"/>
        <v>-0.04836741653</v>
      </c>
      <c r="U73" s="38"/>
      <c r="V73" s="56">
        <v>-0.048</v>
      </c>
      <c r="W73" s="56">
        <v>-0.048</v>
      </c>
      <c r="X73" s="56">
        <v>-0.048</v>
      </c>
      <c r="Y73" s="56">
        <v>-0.048</v>
      </c>
      <c r="Z73" s="56">
        <v>-0.048</v>
      </c>
      <c r="AA73" s="56">
        <v>-0.048</v>
      </c>
      <c r="AB73" s="56">
        <v>-0.048</v>
      </c>
      <c r="AC73" s="56">
        <v>-0.048</v>
      </c>
      <c r="AD73" s="56">
        <v>-0.048</v>
      </c>
      <c r="AE73" s="56">
        <v>-0.048</v>
      </c>
      <c r="AF73" s="56">
        <v>-0.048</v>
      </c>
      <c r="AG73" s="56">
        <v>-0.048</v>
      </c>
      <c r="AH73" s="38"/>
      <c r="AI73" s="38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38"/>
      <c r="AW73" s="38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38"/>
      <c r="BK73" s="38"/>
    </row>
    <row r="74">
      <c r="A74" s="38" t="s">
        <v>138</v>
      </c>
      <c r="B74" s="38" t="s">
        <v>93</v>
      </c>
      <c r="C74" s="38" t="s">
        <v>138</v>
      </c>
      <c r="D74" s="38"/>
      <c r="E74" s="38"/>
      <c r="F74" s="35">
        <f t="shared" ref="F74:L74" si="104">F12/F3</f>
        <v>-0.1611781933</v>
      </c>
      <c r="G74" s="35">
        <f t="shared" si="104"/>
        <v>-0.1409472326</v>
      </c>
      <c r="H74" s="35">
        <f t="shared" si="104"/>
        <v>-0.1787549217</v>
      </c>
      <c r="I74" s="35">
        <f t="shared" si="104"/>
        <v>-0.1733476093</v>
      </c>
      <c r="J74" s="35">
        <f t="shared" si="104"/>
        <v>-0.1415403761</v>
      </c>
      <c r="K74" s="35">
        <f t="shared" si="104"/>
        <v>-0.1654985597</v>
      </c>
      <c r="L74" s="35">
        <f t="shared" si="104"/>
        <v>-0.1599739169</v>
      </c>
      <c r="M74" s="57"/>
      <c r="N74" s="35">
        <f t="shared" ref="N74:T74" si="105">N12/N3</f>
        <v>-0.1829136916</v>
      </c>
      <c r="O74" s="35">
        <f t="shared" si="105"/>
        <v>-0.09875507973</v>
      </c>
      <c r="P74" s="35">
        <f t="shared" si="105"/>
        <v>-0.1136472962</v>
      </c>
      <c r="Q74" s="35">
        <f t="shared" si="105"/>
        <v>-0.1215385688</v>
      </c>
      <c r="R74" s="35">
        <f t="shared" si="105"/>
        <v>-0.1134208638</v>
      </c>
      <c r="S74" s="35">
        <f t="shared" si="105"/>
        <v>-0.1156528288</v>
      </c>
      <c r="T74" s="35">
        <f t="shared" si="105"/>
        <v>-0.1379896929</v>
      </c>
      <c r="U74" s="38"/>
      <c r="V74" s="56">
        <f t="shared" ref="V74:AG74" si="106">sum(V75:V77)</f>
        <v>-0.12</v>
      </c>
      <c r="W74" s="56">
        <f t="shared" si="106"/>
        <v>-0.118</v>
      </c>
      <c r="X74" s="56">
        <f t="shared" si="106"/>
        <v>-0.116</v>
      </c>
      <c r="Y74" s="56">
        <f t="shared" si="106"/>
        <v>-0.114</v>
      </c>
      <c r="Z74" s="56">
        <f t="shared" si="106"/>
        <v>-0.112</v>
      </c>
      <c r="AA74" s="56">
        <f t="shared" si="106"/>
        <v>-0.11</v>
      </c>
      <c r="AB74" s="56">
        <f t="shared" si="106"/>
        <v>-0.108</v>
      </c>
      <c r="AC74" s="56">
        <f t="shared" si="106"/>
        <v>-0.106</v>
      </c>
      <c r="AD74" s="56">
        <f t="shared" si="106"/>
        <v>-0.104</v>
      </c>
      <c r="AE74" s="56">
        <f t="shared" si="106"/>
        <v>-0.102</v>
      </c>
      <c r="AF74" s="56">
        <f t="shared" si="106"/>
        <v>-0.1</v>
      </c>
      <c r="AG74" s="56">
        <f t="shared" si="106"/>
        <v>-0.098</v>
      </c>
      <c r="AH74" s="38"/>
      <c r="AI74" s="38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38"/>
      <c r="AW74" s="38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38"/>
      <c r="BK74" s="38"/>
    </row>
    <row r="75">
      <c r="A75" s="38"/>
      <c r="B75" s="38"/>
      <c r="C75" s="38" t="s">
        <v>139</v>
      </c>
      <c r="D75" s="38" t="s">
        <v>140</v>
      </c>
      <c r="E75" s="38"/>
      <c r="F75" s="35">
        <f t="shared" ref="F75:L75" si="107">F13/F3</f>
        <v>-0.1611781933</v>
      </c>
      <c r="G75" s="35">
        <f t="shared" si="107"/>
        <v>-0.1409472326</v>
      </c>
      <c r="H75" s="35">
        <f t="shared" si="107"/>
        <v>-0.1787549217</v>
      </c>
      <c r="I75" s="35">
        <f t="shared" si="107"/>
        <v>-0.1733476093</v>
      </c>
      <c r="J75" s="35">
        <f t="shared" si="107"/>
        <v>-0.1415403761</v>
      </c>
      <c r="K75" s="35">
        <f t="shared" si="107"/>
        <v>-0.1654985597</v>
      </c>
      <c r="L75" s="35">
        <f t="shared" si="107"/>
        <v>-0.1599739169</v>
      </c>
      <c r="M75" s="57"/>
      <c r="N75" s="35">
        <f t="shared" ref="N75:T75" si="108">N13/N3</f>
        <v>-0.1829136916</v>
      </c>
      <c r="O75" s="35">
        <f t="shared" si="108"/>
        <v>-0.09875507973</v>
      </c>
      <c r="P75" s="35">
        <f t="shared" si="108"/>
        <v>-0.1136472962</v>
      </c>
      <c r="Q75" s="35">
        <f t="shared" si="108"/>
        <v>-0.1215385688</v>
      </c>
      <c r="R75" s="35">
        <f t="shared" si="108"/>
        <v>-0.1134208638</v>
      </c>
      <c r="S75" s="35">
        <f t="shared" si="108"/>
        <v>-0.1156528288</v>
      </c>
      <c r="T75" s="35">
        <f t="shared" si="108"/>
        <v>-0.1379896929</v>
      </c>
      <c r="U75" s="38"/>
      <c r="V75" s="56">
        <v>-0.12</v>
      </c>
      <c r="W75" s="56">
        <v>-0.118</v>
      </c>
      <c r="X75" s="56">
        <v>-0.116</v>
      </c>
      <c r="Y75" s="56">
        <v>-0.114</v>
      </c>
      <c r="Z75" s="56">
        <v>-0.112</v>
      </c>
      <c r="AA75" s="56">
        <v>-0.11</v>
      </c>
      <c r="AB75" s="56">
        <v>-0.108</v>
      </c>
      <c r="AC75" s="56">
        <v>-0.106</v>
      </c>
      <c r="AD75" s="56">
        <v>-0.104</v>
      </c>
      <c r="AE75" s="56">
        <v>-0.102</v>
      </c>
      <c r="AF75" s="56">
        <v>-0.1</v>
      </c>
      <c r="AG75" s="56">
        <v>-0.098</v>
      </c>
      <c r="AH75" s="38"/>
      <c r="AI75" s="38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38"/>
      <c r="AW75" s="38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38"/>
      <c r="BK75" s="38"/>
    </row>
    <row r="76">
      <c r="A76" s="38"/>
      <c r="B76" s="38"/>
      <c r="C76" s="38" t="s">
        <v>141</v>
      </c>
      <c r="D76" s="38" t="s">
        <v>142</v>
      </c>
      <c r="E76" s="38"/>
      <c r="F76" s="35">
        <f t="shared" ref="F76:L76" si="109">F14/F3</f>
        <v>0</v>
      </c>
      <c r="G76" s="35">
        <f t="shared" si="109"/>
        <v>0</v>
      </c>
      <c r="H76" s="35">
        <f t="shared" si="109"/>
        <v>0</v>
      </c>
      <c r="I76" s="35">
        <f t="shared" si="109"/>
        <v>0</v>
      </c>
      <c r="J76" s="35">
        <f t="shared" si="109"/>
        <v>0</v>
      </c>
      <c r="K76" s="35">
        <f t="shared" si="109"/>
        <v>0</v>
      </c>
      <c r="L76" s="35">
        <f t="shared" si="109"/>
        <v>0</v>
      </c>
      <c r="M76" s="44"/>
      <c r="N76" s="35">
        <f t="shared" ref="N76:T76" si="110">N14/N3</f>
        <v>0</v>
      </c>
      <c r="O76" s="35">
        <f t="shared" si="110"/>
        <v>0</v>
      </c>
      <c r="P76" s="35">
        <f t="shared" si="110"/>
        <v>0</v>
      </c>
      <c r="Q76" s="35">
        <f t="shared" si="110"/>
        <v>0</v>
      </c>
      <c r="R76" s="35">
        <f t="shared" si="110"/>
        <v>0</v>
      </c>
      <c r="S76" s="35">
        <f t="shared" si="110"/>
        <v>0</v>
      </c>
      <c r="T76" s="35">
        <f t="shared" si="110"/>
        <v>0</v>
      </c>
      <c r="U76" s="38"/>
      <c r="V76" s="56">
        <v>0.0</v>
      </c>
      <c r="W76" s="56">
        <v>0.0</v>
      </c>
      <c r="X76" s="56">
        <v>0.0</v>
      </c>
      <c r="Y76" s="56">
        <v>0.0</v>
      </c>
      <c r="Z76" s="56">
        <v>0.0</v>
      </c>
      <c r="AA76" s="56">
        <v>0.0</v>
      </c>
      <c r="AB76" s="56">
        <v>0.0</v>
      </c>
      <c r="AC76" s="56">
        <v>0.0</v>
      </c>
      <c r="AD76" s="56">
        <v>0.0</v>
      </c>
      <c r="AE76" s="56">
        <v>0.0</v>
      </c>
      <c r="AF76" s="56">
        <v>0.0</v>
      </c>
      <c r="AG76" s="56">
        <v>0.0</v>
      </c>
      <c r="AH76" s="38"/>
      <c r="AI76" s="38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8"/>
      <c r="AW76" s="38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8"/>
      <c r="BK76" s="38"/>
    </row>
    <row r="77">
      <c r="A77" s="38"/>
      <c r="B77" s="38"/>
      <c r="C77" s="38" t="s">
        <v>143</v>
      </c>
      <c r="D77" s="58" t="s">
        <v>144</v>
      </c>
      <c r="E77" s="38"/>
      <c r="F77" s="35">
        <f t="shared" ref="F77:L77" si="111">F15/F3</f>
        <v>0</v>
      </c>
      <c r="G77" s="35">
        <f t="shared" si="111"/>
        <v>0</v>
      </c>
      <c r="H77" s="35">
        <f t="shared" si="111"/>
        <v>0</v>
      </c>
      <c r="I77" s="35">
        <f t="shared" si="111"/>
        <v>0</v>
      </c>
      <c r="J77" s="35">
        <f t="shared" si="111"/>
        <v>0</v>
      </c>
      <c r="K77" s="35">
        <f t="shared" si="111"/>
        <v>0</v>
      </c>
      <c r="L77" s="35">
        <f t="shared" si="111"/>
        <v>0</v>
      </c>
      <c r="M77" s="38"/>
      <c r="N77" s="35">
        <f t="shared" ref="N77:T77" si="112">N15/N3</f>
        <v>0</v>
      </c>
      <c r="O77" s="35">
        <f t="shared" si="112"/>
        <v>0</v>
      </c>
      <c r="P77" s="35">
        <f t="shared" si="112"/>
        <v>0</v>
      </c>
      <c r="Q77" s="35">
        <f t="shared" si="112"/>
        <v>0</v>
      </c>
      <c r="R77" s="35">
        <f t="shared" si="112"/>
        <v>0</v>
      </c>
      <c r="S77" s="35">
        <f t="shared" si="112"/>
        <v>0</v>
      </c>
      <c r="T77" s="35">
        <f t="shared" si="112"/>
        <v>0</v>
      </c>
      <c r="U77" s="38"/>
      <c r="V77" s="56">
        <v>0.0</v>
      </c>
      <c r="W77" s="56">
        <v>0.0</v>
      </c>
      <c r="X77" s="56">
        <v>0.0</v>
      </c>
      <c r="Y77" s="56">
        <v>0.0</v>
      </c>
      <c r="Z77" s="56">
        <v>0.0</v>
      </c>
      <c r="AA77" s="56">
        <v>0.0</v>
      </c>
      <c r="AB77" s="56">
        <v>0.0</v>
      </c>
      <c r="AC77" s="56">
        <v>0.0</v>
      </c>
      <c r="AD77" s="56">
        <v>0.0</v>
      </c>
      <c r="AE77" s="56">
        <v>0.0</v>
      </c>
      <c r="AF77" s="56">
        <v>0.0</v>
      </c>
      <c r="AG77" s="56">
        <v>0.0</v>
      </c>
      <c r="AH77" s="38"/>
      <c r="AI77" s="38"/>
      <c r="AJ77" s="55"/>
      <c r="AK77" s="55"/>
      <c r="AL77" s="55"/>
      <c r="AM77" s="55"/>
      <c r="AN77" s="55"/>
      <c r="AO77" s="55"/>
      <c r="AP77" s="38"/>
      <c r="AQ77" s="38"/>
      <c r="AR77" s="38"/>
      <c r="AS77" s="38"/>
      <c r="AT77" s="38"/>
      <c r="AU77" s="38"/>
      <c r="AV77" s="38"/>
      <c r="AW77" s="38"/>
      <c r="AX77" s="55"/>
      <c r="AY77" s="55"/>
      <c r="AZ77" s="55"/>
      <c r="BA77" s="55"/>
      <c r="BB77" s="55"/>
      <c r="BC77" s="55"/>
      <c r="BD77" s="38"/>
      <c r="BE77" s="38"/>
      <c r="BF77" s="38"/>
      <c r="BG77" s="38"/>
      <c r="BH77" s="38"/>
      <c r="BI77" s="38"/>
      <c r="BJ77" s="38"/>
      <c r="BK77" s="38"/>
    </row>
    <row r="78">
      <c r="A78" s="38" t="s">
        <v>145</v>
      </c>
      <c r="B78" s="38" t="s">
        <v>93</v>
      </c>
      <c r="C78" s="38" t="s">
        <v>145</v>
      </c>
      <c r="D78" s="58"/>
      <c r="E78" s="38"/>
      <c r="F78" s="35">
        <f t="shared" ref="F78:L78" si="113">F16/F3</f>
        <v>0</v>
      </c>
      <c r="G78" s="35">
        <f t="shared" si="113"/>
        <v>0</v>
      </c>
      <c r="H78" s="35">
        <f t="shared" si="113"/>
        <v>0</v>
      </c>
      <c r="I78" s="35">
        <f t="shared" si="113"/>
        <v>0</v>
      </c>
      <c r="J78" s="35">
        <f t="shared" si="113"/>
        <v>0</v>
      </c>
      <c r="K78" s="35">
        <f t="shared" si="113"/>
        <v>0</v>
      </c>
      <c r="L78" s="35">
        <f t="shared" si="113"/>
        <v>0</v>
      </c>
      <c r="M78" s="38"/>
      <c r="N78" s="35">
        <f t="shared" ref="N78:T78" si="114">N16/N3</f>
        <v>-0.01937080871</v>
      </c>
      <c r="O78" s="35">
        <f t="shared" si="114"/>
        <v>-0.00738034412</v>
      </c>
      <c r="P78" s="35">
        <f t="shared" si="114"/>
        <v>-0.006724660485</v>
      </c>
      <c r="Q78" s="35">
        <f t="shared" si="114"/>
        <v>-0.006159361663</v>
      </c>
      <c r="R78" s="35">
        <f t="shared" si="114"/>
        <v>-0.005615545459</v>
      </c>
      <c r="S78" s="35">
        <f t="shared" si="114"/>
        <v>-0.004831579273</v>
      </c>
      <c r="T78" s="35">
        <f t="shared" si="114"/>
        <v>-0.004534478574</v>
      </c>
      <c r="U78" s="38"/>
      <c r="V78" s="35">
        <f t="shared" ref="V78:AG78" si="115">V79</f>
        <v>-0.005</v>
      </c>
      <c r="W78" s="35">
        <f t="shared" si="115"/>
        <v>-0.005</v>
      </c>
      <c r="X78" s="35">
        <f t="shared" si="115"/>
        <v>-0.005</v>
      </c>
      <c r="Y78" s="35">
        <f t="shared" si="115"/>
        <v>-0.005</v>
      </c>
      <c r="Z78" s="35">
        <f t="shared" si="115"/>
        <v>-0.005</v>
      </c>
      <c r="AA78" s="35">
        <f t="shared" si="115"/>
        <v>-0.005</v>
      </c>
      <c r="AB78" s="35">
        <f t="shared" si="115"/>
        <v>-0.005</v>
      </c>
      <c r="AC78" s="35">
        <f t="shared" si="115"/>
        <v>-0.005</v>
      </c>
      <c r="AD78" s="35">
        <f t="shared" si="115"/>
        <v>-0.005</v>
      </c>
      <c r="AE78" s="35">
        <f t="shared" si="115"/>
        <v>-0.005</v>
      </c>
      <c r="AF78" s="35">
        <f t="shared" si="115"/>
        <v>-0.005</v>
      </c>
      <c r="AG78" s="35">
        <f t="shared" si="115"/>
        <v>-0.005</v>
      </c>
      <c r="AH78" s="38"/>
      <c r="AI78" s="38"/>
      <c r="AJ78" s="55"/>
      <c r="AK78" s="55"/>
      <c r="AL78" s="55"/>
      <c r="AM78" s="55"/>
      <c r="AN78" s="55"/>
      <c r="AO78" s="55"/>
      <c r="AP78" s="38"/>
      <c r="AQ78" s="38"/>
      <c r="AR78" s="38"/>
      <c r="AS78" s="38"/>
      <c r="AT78" s="38"/>
      <c r="AU78" s="38"/>
      <c r="AV78" s="38"/>
      <c r="AW78" s="38"/>
      <c r="AX78" s="55"/>
      <c r="AY78" s="55"/>
      <c r="AZ78" s="55"/>
      <c r="BA78" s="55"/>
      <c r="BB78" s="55"/>
      <c r="BC78" s="55"/>
      <c r="BD78" s="38"/>
      <c r="BE78" s="38"/>
      <c r="BF78" s="38"/>
      <c r="BG78" s="38"/>
      <c r="BH78" s="38"/>
      <c r="BI78" s="38"/>
      <c r="BJ78" s="38"/>
      <c r="BK78" s="38"/>
    </row>
    <row r="79">
      <c r="A79" s="38"/>
      <c r="B79" s="38"/>
      <c r="C79" s="38" t="s">
        <v>145</v>
      </c>
      <c r="D79" s="38" t="s">
        <v>146</v>
      </c>
      <c r="E79" s="38"/>
      <c r="F79" s="35">
        <f t="shared" ref="F79:L79" si="116">F17/F3</f>
        <v>0</v>
      </c>
      <c r="G79" s="35">
        <f t="shared" si="116"/>
        <v>0</v>
      </c>
      <c r="H79" s="35">
        <f t="shared" si="116"/>
        <v>0</v>
      </c>
      <c r="I79" s="35">
        <f t="shared" si="116"/>
        <v>0</v>
      </c>
      <c r="J79" s="35">
        <f t="shared" si="116"/>
        <v>0</v>
      </c>
      <c r="K79" s="35">
        <f t="shared" si="116"/>
        <v>0</v>
      </c>
      <c r="L79" s="35">
        <f t="shared" si="116"/>
        <v>0</v>
      </c>
      <c r="M79" s="38"/>
      <c r="N79" s="35">
        <f t="shared" ref="N79:T79" si="117">N17/N3</f>
        <v>-0.01937080871</v>
      </c>
      <c r="O79" s="35">
        <f t="shared" si="117"/>
        <v>-0.00738034412</v>
      </c>
      <c r="P79" s="35">
        <f t="shared" si="117"/>
        <v>-0.006724660485</v>
      </c>
      <c r="Q79" s="35">
        <f t="shared" si="117"/>
        <v>-0.006159361663</v>
      </c>
      <c r="R79" s="35">
        <f t="shared" si="117"/>
        <v>-0.005615545459</v>
      </c>
      <c r="S79" s="35">
        <f t="shared" si="117"/>
        <v>-0.004831579273</v>
      </c>
      <c r="T79" s="35">
        <f t="shared" si="117"/>
        <v>-0.004534478574</v>
      </c>
      <c r="U79" s="38"/>
      <c r="V79" s="35">
        <v>-0.005</v>
      </c>
      <c r="W79" s="35">
        <v>-0.005</v>
      </c>
      <c r="X79" s="35">
        <v>-0.005</v>
      </c>
      <c r="Y79" s="35">
        <v>-0.005</v>
      </c>
      <c r="Z79" s="35">
        <v>-0.005</v>
      </c>
      <c r="AA79" s="35">
        <v>-0.005</v>
      </c>
      <c r="AB79" s="35">
        <v>-0.005</v>
      </c>
      <c r="AC79" s="35">
        <v>-0.005</v>
      </c>
      <c r="AD79" s="35">
        <v>-0.005</v>
      </c>
      <c r="AE79" s="35">
        <v>-0.005</v>
      </c>
      <c r="AF79" s="35">
        <v>-0.005</v>
      </c>
      <c r="AG79" s="35">
        <v>-0.005</v>
      </c>
      <c r="AH79" s="38"/>
      <c r="AI79" s="38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38"/>
      <c r="AW79" s="38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38"/>
      <c r="BK79" s="38"/>
    </row>
    <row r="80">
      <c r="A80" s="38" t="s">
        <v>147</v>
      </c>
      <c r="B80" s="38" t="s">
        <v>93</v>
      </c>
      <c r="C80" s="38" t="s">
        <v>147</v>
      </c>
      <c r="D80" s="38"/>
      <c r="E80" s="38"/>
      <c r="F80" s="52">
        <v>0.0</v>
      </c>
      <c r="G80" s="52">
        <v>0.0</v>
      </c>
      <c r="H80" s="52">
        <v>0.0</v>
      </c>
      <c r="I80" s="52">
        <v>0.0</v>
      </c>
      <c r="J80" s="52">
        <v>0.0</v>
      </c>
      <c r="K80" s="52">
        <v>0.0</v>
      </c>
      <c r="L80" s="59">
        <v>0.0</v>
      </c>
      <c r="M80" s="38"/>
      <c r="N80" s="52">
        <v>0.0</v>
      </c>
      <c r="O80" s="52">
        <v>0.0</v>
      </c>
      <c r="P80" s="52">
        <v>0.0</v>
      </c>
      <c r="Q80" s="52">
        <v>0.0</v>
      </c>
      <c r="R80" s="52">
        <v>0.0</v>
      </c>
      <c r="S80" s="52">
        <v>0.0</v>
      </c>
      <c r="T80" s="38"/>
      <c r="U80" s="38"/>
      <c r="V80" s="52">
        <v>0.0</v>
      </c>
      <c r="W80" s="52">
        <v>0.0</v>
      </c>
      <c r="X80" s="52">
        <v>0.0</v>
      </c>
      <c r="Y80" s="52">
        <v>0.0</v>
      </c>
      <c r="Z80" s="52">
        <v>0.0</v>
      </c>
      <c r="AA80" s="52">
        <v>0.0</v>
      </c>
      <c r="AB80" s="52">
        <v>0.0</v>
      </c>
      <c r="AC80" s="52">
        <v>0.0</v>
      </c>
      <c r="AD80" s="52">
        <v>0.0</v>
      </c>
      <c r="AE80" s="52">
        <v>0.0</v>
      </c>
      <c r="AF80" s="52">
        <v>0.0</v>
      </c>
      <c r="AG80" s="52">
        <v>0.0</v>
      </c>
      <c r="AH80" s="38"/>
      <c r="AI80" s="38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38"/>
      <c r="AW80" s="38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38"/>
      <c r="BK80" s="38"/>
    </row>
    <row r="81">
      <c r="A81" s="38"/>
      <c r="B81" s="38"/>
      <c r="C81" s="38" t="s">
        <v>147</v>
      </c>
      <c r="D81" s="38" t="s">
        <v>148</v>
      </c>
      <c r="E81" s="38"/>
      <c r="F81" s="52">
        <v>0.0</v>
      </c>
      <c r="G81" s="52">
        <v>0.0</v>
      </c>
      <c r="H81" s="52">
        <v>0.0</v>
      </c>
      <c r="I81" s="52">
        <v>0.0</v>
      </c>
      <c r="J81" s="52">
        <v>0.0</v>
      </c>
      <c r="K81" s="52">
        <v>0.0</v>
      </c>
      <c r="L81" s="59">
        <v>0.0</v>
      </c>
      <c r="M81" s="38"/>
      <c r="N81" s="52">
        <v>0.0</v>
      </c>
      <c r="O81" s="52">
        <v>0.0</v>
      </c>
      <c r="P81" s="52">
        <v>0.0</v>
      </c>
      <c r="Q81" s="52">
        <v>0.0</v>
      </c>
      <c r="R81" s="52">
        <v>0.0</v>
      </c>
      <c r="S81" s="52">
        <v>0.0</v>
      </c>
      <c r="T81" s="38"/>
      <c r="U81" s="38"/>
      <c r="V81" s="52">
        <v>0.0</v>
      </c>
      <c r="W81" s="52">
        <v>0.0</v>
      </c>
      <c r="X81" s="52">
        <v>0.0</v>
      </c>
      <c r="Y81" s="52">
        <v>0.0</v>
      </c>
      <c r="Z81" s="52">
        <v>0.0</v>
      </c>
      <c r="AA81" s="52">
        <v>0.0</v>
      </c>
      <c r="AB81" s="52">
        <v>0.0</v>
      </c>
      <c r="AC81" s="52">
        <v>0.0</v>
      </c>
      <c r="AD81" s="52">
        <v>0.0</v>
      </c>
      <c r="AE81" s="52">
        <v>0.0</v>
      </c>
      <c r="AF81" s="52">
        <v>0.0</v>
      </c>
      <c r="AG81" s="52">
        <v>0.0</v>
      </c>
      <c r="AH81" s="38"/>
      <c r="AI81" s="38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38"/>
      <c r="AW81" s="38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38"/>
      <c r="BK81" s="38"/>
    </row>
    <row r="82">
      <c r="A82" s="38" t="s">
        <v>149</v>
      </c>
      <c r="B82" s="38" t="s">
        <v>93</v>
      </c>
      <c r="C82" s="38" t="s">
        <v>150</v>
      </c>
      <c r="D82" s="38"/>
      <c r="E82" s="38"/>
      <c r="F82" s="52">
        <v>0.0</v>
      </c>
      <c r="G82" s="52">
        <v>0.0</v>
      </c>
      <c r="H82" s="52">
        <v>0.0</v>
      </c>
      <c r="I82" s="52">
        <v>0.0</v>
      </c>
      <c r="J82" s="52">
        <v>0.0</v>
      </c>
      <c r="K82" s="52">
        <v>0.0</v>
      </c>
      <c r="L82" s="59">
        <v>0.0</v>
      </c>
      <c r="M82" s="38"/>
      <c r="N82" s="52">
        <v>0.0</v>
      </c>
      <c r="O82" s="52">
        <v>0.0</v>
      </c>
      <c r="P82" s="52">
        <v>0.0</v>
      </c>
      <c r="Q82" s="52">
        <v>0.0</v>
      </c>
      <c r="R82" s="52">
        <v>0.0</v>
      </c>
      <c r="S82" s="52">
        <v>0.0</v>
      </c>
      <c r="T82" s="38"/>
      <c r="U82" s="38"/>
      <c r="V82" s="52">
        <v>0.0</v>
      </c>
      <c r="W82" s="52">
        <v>0.0</v>
      </c>
      <c r="X82" s="52">
        <v>0.0</v>
      </c>
      <c r="Y82" s="52">
        <v>0.0</v>
      </c>
      <c r="Z82" s="52">
        <v>0.0</v>
      </c>
      <c r="AA82" s="52">
        <v>0.0</v>
      </c>
      <c r="AB82" s="52">
        <v>0.0</v>
      </c>
      <c r="AC82" s="52">
        <v>0.0</v>
      </c>
      <c r="AD82" s="52">
        <v>0.0</v>
      </c>
      <c r="AE82" s="52">
        <v>0.0</v>
      </c>
      <c r="AF82" s="52">
        <v>0.0</v>
      </c>
      <c r="AG82" s="52">
        <v>0.0</v>
      </c>
      <c r="AH82" s="38"/>
      <c r="AI82" s="38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38"/>
      <c r="AW82" s="38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38"/>
      <c r="BK82" s="38"/>
    </row>
    <row r="83">
      <c r="A83" s="38"/>
      <c r="B83" s="38"/>
      <c r="C83" s="38" t="s">
        <v>150</v>
      </c>
      <c r="D83" s="38" t="s">
        <v>151</v>
      </c>
      <c r="E83" s="38"/>
      <c r="F83" s="52">
        <v>0.0</v>
      </c>
      <c r="G83" s="52">
        <v>0.0</v>
      </c>
      <c r="H83" s="52">
        <v>0.0</v>
      </c>
      <c r="I83" s="52">
        <v>0.0</v>
      </c>
      <c r="J83" s="52">
        <v>0.0</v>
      </c>
      <c r="K83" s="52">
        <v>0.0</v>
      </c>
      <c r="L83" s="59">
        <v>0.0</v>
      </c>
      <c r="M83" s="38"/>
      <c r="N83" s="52">
        <v>0.0</v>
      </c>
      <c r="O83" s="52">
        <v>0.0</v>
      </c>
      <c r="P83" s="52">
        <v>0.0</v>
      </c>
      <c r="Q83" s="52">
        <v>0.0</v>
      </c>
      <c r="R83" s="52">
        <v>0.0</v>
      </c>
      <c r="S83" s="52">
        <v>0.0</v>
      </c>
      <c r="T83" s="38"/>
      <c r="U83" s="38"/>
      <c r="V83" s="52">
        <v>0.0</v>
      </c>
      <c r="W83" s="52">
        <v>0.0</v>
      </c>
      <c r="X83" s="52">
        <v>0.0</v>
      </c>
      <c r="Y83" s="52">
        <v>0.0</v>
      </c>
      <c r="Z83" s="52">
        <v>0.0</v>
      </c>
      <c r="AA83" s="52">
        <v>0.0</v>
      </c>
      <c r="AB83" s="52">
        <v>0.0</v>
      </c>
      <c r="AC83" s="52">
        <v>0.0</v>
      </c>
      <c r="AD83" s="52">
        <v>0.0</v>
      </c>
      <c r="AE83" s="52">
        <v>0.0</v>
      </c>
      <c r="AF83" s="52">
        <v>0.0</v>
      </c>
      <c r="AG83" s="52">
        <v>0.0</v>
      </c>
      <c r="AH83" s="38"/>
      <c r="AI83" s="38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38"/>
      <c r="AW83" s="38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38"/>
      <c r="BK83" s="38"/>
    </row>
    <row r="84">
      <c r="A84" s="38" t="s">
        <v>152</v>
      </c>
      <c r="B84" s="38" t="s">
        <v>93</v>
      </c>
      <c r="C84" s="38" t="s">
        <v>152</v>
      </c>
      <c r="D84" s="38"/>
      <c r="E84" s="38"/>
      <c r="F84" s="35">
        <f t="shared" ref="F84:L84" si="118">F24/F3</f>
        <v>-0.8724142304</v>
      </c>
      <c r="G84" s="35">
        <f t="shared" si="118"/>
        <v>-0.8481867083</v>
      </c>
      <c r="H84" s="35">
        <f t="shared" si="118"/>
        <v>-1.059333623</v>
      </c>
      <c r="I84" s="35">
        <f t="shared" si="118"/>
        <v>-0.9428466233</v>
      </c>
      <c r="J84" s="35">
        <f t="shared" si="118"/>
        <v>-0.8979343381</v>
      </c>
      <c r="K84" s="35">
        <f t="shared" si="118"/>
        <v>-0.8885724844</v>
      </c>
      <c r="L84" s="35">
        <f t="shared" si="118"/>
        <v>-0.9173215777</v>
      </c>
      <c r="M84" s="38"/>
      <c r="N84" s="35">
        <f t="shared" ref="N84:T84" si="119">N24/N3</f>
        <v>-0.9134132588</v>
      </c>
      <c r="O84" s="35">
        <f t="shared" si="119"/>
        <v>-0.8302398758</v>
      </c>
      <c r="P84" s="35">
        <f t="shared" si="119"/>
        <v>-0.7564798058</v>
      </c>
      <c r="Q84" s="35">
        <f t="shared" si="119"/>
        <v>-0.692887429</v>
      </c>
      <c r="R84" s="35">
        <f t="shared" si="119"/>
        <v>-0.6317117046</v>
      </c>
      <c r="S84" s="35">
        <f t="shared" si="119"/>
        <v>-0.5775337339</v>
      </c>
      <c r="T84" s="35">
        <f t="shared" si="119"/>
        <v>-0.7999288798</v>
      </c>
      <c r="U84" s="38"/>
      <c r="V84" s="61">
        <f t="shared" ref="V84:AG84" si="120">V85</f>
        <v>-0.55</v>
      </c>
      <c r="W84" s="61">
        <f t="shared" si="120"/>
        <v>-0.53</v>
      </c>
      <c r="X84" s="61">
        <f t="shared" si="120"/>
        <v>-0.51</v>
      </c>
      <c r="Y84" s="61">
        <f t="shared" si="120"/>
        <v>-0.49</v>
      </c>
      <c r="Z84" s="61">
        <f t="shared" si="120"/>
        <v>-0.47</v>
      </c>
      <c r="AA84" s="61">
        <f t="shared" si="120"/>
        <v>-0.45</v>
      </c>
      <c r="AB84" s="61">
        <f t="shared" si="120"/>
        <v>-0.45</v>
      </c>
      <c r="AC84" s="61">
        <f t="shared" si="120"/>
        <v>-0.45</v>
      </c>
      <c r="AD84" s="61">
        <f t="shared" si="120"/>
        <v>-0.43</v>
      </c>
      <c r="AE84" s="61">
        <f t="shared" si="120"/>
        <v>-0.43</v>
      </c>
      <c r="AF84" s="61">
        <f t="shared" si="120"/>
        <v>-0.4</v>
      </c>
      <c r="AG84" s="61">
        <f t="shared" si="120"/>
        <v>-0.38</v>
      </c>
      <c r="AH84" s="38"/>
      <c r="AI84" s="38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38"/>
      <c r="AW84" s="38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38"/>
      <c r="BK84" s="38"/>
    </row>
    <row r="85">
      <c r="A85" s="38"/>
      <c r="B85" s="38"/>
      <c r="C85" s="38" t="s">
        <v>152</v>
      </c>
      <c r="D85" s="38" t="s">
        <v>153</v>
      </c>
      <c r="E85" s="38"/>
      <c r="F85" s="35">
        <f t="shared" ref="F85:L85" si="121">F25/F3</f>
        <v>-0.8724142304</v>
      </c>
      <c r="G85" s="35">
        <f t="shared" si="121"/>
        <v>-0.8481867083</v>
      </c>
      <c r="H85" s="35">
        <f t="shared" si="121"/>
        <v>-1.059333623</v>
      </c>
      <c r="I85" s="35">
        <f t="shared" si="121"/>
        <v>-0.9428466233</v>
      </c>
      <c r="J85" s="35">
        <f t="shared" si="121"/>
        <v>-0.8979343381</v>
      </c>
      <c r="K85" s="35">
        <f t="shared" si="121"/>
        <v>-0.8885724844</v>
      </c>
      <c r="L85" s="35">
        <f t="shared" si="121"/>
        <v>-0.9173215777</v>
      </c>
      <c r="M85" s="38"/>
      <c r="N85" s="35">
        <f t="shared" ref="N85:T85" si="122">N25/N3</f>
        <v>-0.9134132588</v>
      </c>
      <c r="O85" s="35">
        <f t="shared" si="122"/>
        <v>-0.8302398758</v>
      </c>
      <c r="P85" s="35">
        <f t="shared" si="122"/>
        <v>-0.7564798058</v>
      </c>
      <c r="Q85" s="35">
        <f t="shared" si="122"/>
        <v>-0.692887429</v>
      </c>
      <c r="R85" s="35">
        <f t="shared" si="122"/>
        <v>-0.6317117046</v>
      </c>
      <c r="S85" s="35">
        <f t="shared" si="122"/>
        <v>-0.5775337339</v>
      </c>
      <c r="T85" s="35">
        <f t="shared" si="122"/>
        <v>-0.7999288798</v>
      </c>
      <c r="U85" s="38"/>
      <c r="V85" s="61">
        <v>-0.55</v>
      </c>
      <c r="W85" s="61">
        <v>-0.53</v>
      </c>
      <c r="X85" s="61">
        <v>-0.51</v>
      </c>
      <c r="Y85" s="61">
        <v>-0.49</v>
      </c>
      <c r="Z85" s="61">
        <v>-0.47</v>
      </c>
      <c r="AA85" s="61">
        <v>-0.45</v>
      </c>
      <c r="AB85" s="61">
        <v>-0.45</v>
      </c>
      <c r="AC85" s="61">
        <v>-0.45</v>
      </c>
      <c r="AD85" s="61">
        <v>-0.43</v>
      </c>
      <c r="AE85" s="61">
        <v>-0.43</v>
      </c>
      <c r="AF85" s="61">
        <v>-0.4</v>
      </c>
      <c r="AG85" s="61">
        <v>-0.38</v>
      </c>
      <c r="AH85" s="38"/>
      <c r="AI85" s="38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38"/>
      <c r="AW85" s="38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38"/>
      <c r="BK85" s="38"/>
    </row>
    <row r="86">
      <c r="A86" s="38" t="s">
        <v>154</v>
      </c>
      <c r="B86" s="38" t="s">
        <v>93</v>
      </c>
      <c r="C86" s="38" t="s">
        <v>154</v>
      </c>
      <c r="D86" s="38"/>
      <c r="E86" s="38"/>
      <c r="F86" s="35">
        <f t="shared" ref="F86:L86" si="123">F26/F3</f>
        <v>-0.4666851304</v>
      </c>
      <c r="G86" s="35">
        <f t="shared" si="123"/>
        <v>-0.5176954904</v>
      </c>
      <c r="H86" s="35">
        <f t="shared" si="123"/>
        <v>-0.5456898096</v>
      </c>
      <c r="I86" s="35">
        <f t="shared" si="123"/>
        <v>-0.4763460532</v>
      </c>
      <c r="J86" s="35">
        <f t="shared" si="123"/>
        <v>-0.4247477643</v>
      </c>
      <c r="K86" s="35">
        <f t="shared" si="123"/>
        <v>-0.03467655514</v>
      </c>
      <c r="L86" s="35">
        <f t="shared" si="123"/>
        <v>-0.4091845736</v>
      </c>
      <c r="M86" s="38"/>
      <c r="N86" s="35">
        <f t="shared" ref="N86:T86" si="124">N26/N3</f>
        <v>-0.4627308585</v>
      </c>
      <c r="O86" s="35">
        <f t="shared" si="124"/>
        <v>-0.4220353477</v>
      </c>
      <c r="P86" s="35">
        <f t="shared" si="124"/>
        <v>-0.3853392434</v>
      </c>
      <c r="Q86" s="35">
        <f t="shared" si="124"/>
        <v>-0.3526593223</v>
      </c>
      <c r="R86" s="35">
        <f t="shared" si="124"/>
        <v>-0.3211250711</v>
      </c>
      <c r="S86" s="35">
        <f t="shared" si="124"/>
        <v>-0.294668922</v>
      </c>
      <c r="T86" s="35">
        <f t="shared" si="124"/>
        <v>-0.382959449</v>
      </c>
      <c r="U86" s="38"/>
      <c r="V86" s="56">
        <f t="shared" ref="V86:AG86" si="125">sum(V87:V90)</f>
        <v>-0.24</v>
      </c>
      <c r="W86" s="56">
        <f t="shared" si="125"/>
        <v>-0.2338</v>
      </c>
      <c r="X86" s="56">
        <f t="shared" si="125"/>
        <v>-0.2276</v>
      </c>
      <c r="Y86" s="56">
        <f t="shared" si="125"/>
        <v>-0.2214</v>
      </c>
      <c r="Z86" s="56">
        <f t="shared" si="125"/>
        <v>-0.2152</v>
      </c>
      <c r="AA86" s="56">
        <f t="shared" si="125"/>
        <v>-0.209</v>
      </c>
      <c r="AB86" s="56">
        <f t="shared" si="125"/>
        <v>-0.2028</v>
      </c>
      <c r="AC86" s="56">
        <f t="shared" si="125"/>
        <v>-0.1966</v>
      </c>
      <c r="AD86" s="56">
        <f t="shared" si="125"/>
        <v>-0.1904</v>
      </c>
      <c r="AE86" s="56">
        <f t="shared" si="125"/>
        <v>-0.1842</v>
      </c>
      <c r="AF86" s="56">
        <f t="shared" si="125"/>
        <v>-0.178</v>
      </c>
      <c r="AG86" s="56">
        <f t="shared" si="125"/>
        <v>-0.1718</v>
      </c>
      <c r="AH86" s="38"/>
      <c r="AI86" s="38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38"/>
      <c r="AW86" s="38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38"/>
      <c r="BK86" s="38"/>
    </row>
    <row r="87">
      <c r="A87" s="38"/>
      <c r="B87" s="38"/>
      <c r="C87" s="38" t="s">
        <v>155</v>
      </c>
      <c r="D87" s="38" t="s">
        <v>156</v>
      </c>
      <c r="E87" s="38"/>
      <c r="F87" s="35">
        <f t="shared" ref="F87:L87" si="126">F27/F3</f>
        <v>-0.4666851304</v>
      </c>
      <c r="G87" s="35">
        <f t="shared" si="126"/>
        <v>-0.5176954904</v>
      </c>
      <c r="H87" s="35">
        <f t="shared" si="126"/>
        <v>-0.5456898096</v>
      </c>
      <c r="I87" s="35">
        <f t="shared" si="126"/>
        <v>-0.4763460532</v>
      </c>
      <c r="J87" s="35">
        <f t="shared" si="126"/>
        <v>-0.4247477643</v>
      </c>
      <c r="K87" s="35">
        <f t="shared" si="126"/>
        <v>-0.03467655514</v>
      </c>
      <c r="L87" s="35">
        <f t="shared" si="126"/>
        <v>-0.4091845736</v>
      </c>
      <c r="M87" s="44"/>
      <c r="N87" s="35">
        <f t="shared" ref="N87:T87" si="127">N27/N3</f>
        <v>-0.3761113419</v>
      </c>
      <c r="O87" s="35">
        <f t="shared" si="127"/>
        <v>-0.3418634783</v>
      </c>
      <c r="P87" s="35">
        <f t="shared" si="127"/>
        <v>-0.3114916847</v>
      </c>
      <c r="Q87" s="35">
        <f t="shared" si="127"/>
        <v>-0.2853065884</v>
      </c>
      <c r="R87" s="35">
        <f t="shared" si="127"/>
        <v>-0.2601165843</v>
      </c>
      <c r="S87" s="35">
        <f t="shared" si="127"/>
        <v>-0.2378080081</v>
      </c>
      <c r="T87" s="35">
        <f t="shared" si="127"/>
        <v>-0.3424918836</v>
      </c>
      <c r="U87" s="44"/>
      <c r="V87" s="56">
        <v>-0.2</v>
      </c>
      <c r="W87" s="56">
        <v>-0.195</v>
      </c>
      <c r="X87" s="56">
        <v>-0.19</v>
      </c>
      <c r="Y87" s="56">
        <v>-0.185</v>
      </c>
      <c r="Z87" s="56">
        <v>-0.18</v>
      </c>
      <c r="AA87" s="56">
        <v>-0.175</v>
      </c>
      <c r="AB87" s="56">
        <v>-0.17</v>
      </c>
      <c r="AC87" s="56">
        <v>-0.165</v>
      </c>
      <c r="AD87" s="56">
        <v>-0.16</v>
      </c>
      <c r="AE87" s="56">
        <v>-0.155</v>
      </c>
      <c r="AF87" s="56">
        <v>-0.15</v>
      </c>
      <c r="AG87" s="56">
        <v>-0.145</v>
      </c>
      <c r="AH87" s="38"/>
      <c r="AI87" s="38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8"/>
      <c r="AW87" s="38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8"/>
      <c r="BK87" s="38"/>
    </row>
    <row r="88">
      <c r="A88" s="38"/>
      <c r="B88" s="38"/>
      <c r="C88" s="38" t="s">
        <v>157</v>
      </c>
      <c r="D88" s="38" t="s">
        <v>158</v>
      </c>
      <c r="E88" s="38"/>
      <c r="F88" s="35">
        <f t="shared" ref="F88:L88" si="128">F28/F3</f>
        <v>0</v>
      </c>
      <c r="G88" s="35">
        <f t="shared" si="128"/>
        <v>0</v>
      </c>
      <c r="H88" s="35">
        <f t="shared" si="128"/>
        <v>0</v>
      </c>
      <c r="I88" s="35">
        <f t="shared" si="128"/>
        <v>0</v>
      </c>
      <c r="J88" s="35">
        <f t="shared" si="128"/>
        <v>0</v>
      </c>
      <c r="K88" s="35">
        <f t="shared" si="128"/>
        <v>0</v>
      </c>
      <c r="L88" s="35">
        <f t="shared" si="128"/>
        <v>0</v>
      </c>
      <c r="M88" s="38"/>
      <c r="N88" s="35">
        <f t="shared" ref="N88:T88" si="129">N28/N3</f>
        <v>-0.01793298878</v>
      </c>
      <c r="O88" s="35">
        <f t="shared" si="129"/>
        <v>-0.01630005064</v>
      </c>
      <c r="P88" s="35">
        <f t="shared" si="129"/>
        <v>-0.01485192353</v>
      </c>
      <c r="Q88" s="35">
        <f t="shared" si="129"/>
        <v>-0.01360341814</v>
      </c>
      <c r="R88" s="35">
        <f t="shared" si="129"/>
        <v>-0.01240235874</v>
      </c>
      <c r="S88" s="35">
        <f t="shared" si="129"/>
        <v>-0.01242343007</v>
      </c>
      <c r="T88" s="35">
        <f t="shared" si="129"/>
        <v>-0.008331994829</v>
      </c>
      <c r="U88" s="38"/>
      <c r="V88" s="56">
        <v>-0.01</v>
      </c>
      <c r="W88" s="56">
        <v>-0.0098</v>
      </c>
      <c r="X88" s="56">
        <v>-0.0096</v>
      </c>
      <c r="Y88" s="56">
        <v>-0.0094</v>
      </c>
      <c r="Z88" s="56">
        <v>-0.0092</v>
      </c>
      <c r="AA88" s="56">
        <v>-0.009</v>
      </c>
      <c r="AB88" s="56">
        <v>-0.00880000000000001</v>
      </c>
      <c r="AC88" s="56">
        <v>-0.00860000000000001</v>
      </c>
      <c r="AD88" s="56">
        <v>-0.00840000000000001</v>
      </c>
      <c r="AE88" s="56">
        <v>-0.00820000000000001</v>
      </c>
      <c r="AF88" s="56">
        <v>-0.00800000000000001</v>
      </c>
      <c r="AG88" s="56">
        <v>-0.00780000000000001</v>
      </c>
      <c r="AH88" s="38"/>
      <c r="AI88" s="38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38"/>
      <c r="AW88" s="38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38"/>
      <c r="BK88" s="38"/>
    </row>
    <row r="89">
      <c r="A89" s="38"/>
      <c r="B89" s="38"/>
      <c r="C89" s="38" t="s">
        <v>159</v>
      </c>
      <c r="D89" s="38" t="s">
        <v>160</v>
      </c>
      <c r="E89" s="38"/>
      <c r="F89" s="35">
        <f t="shared" ref="F89:L89" si="130">F29/F3</f>
        <v>0</v>
      </c>
      <c r="G89" s="35">
        <f t="shared" si="130"/>
        <v>0</v>
      </c>
      <c r="H89" s="35">
        <f t="shared" si="130"/>
        <v>0</v>
      </c>
      <c r="I89" s="35">
        <f t="shared" si="130"/>
        <v>0</v>
      </c>
      <c r="J89" s="35">
        <f t="shared" si="130"/>
        <v>0</v>
      </c>
      <c r="K89" s="35">
        <f t="shared" si="130"/>
        <v>0</v>
      </c>
      <c r="L89" s="35">
        <f t="shared" si="130"/>
        <v>0</v>
      </c>
      <c r="M89" s="38"/>
      <c r="N89" s="35">
        <f t="shared" ref="N89:T89" si="131">N29/N3</f>
        <v>-0.008149258174</v>
      </c>
      <c r="O89" s="35">
        <f t="shared" si="131"/>
        <v>-0.008846938442</v>
      </c>
      <c r="P89" s="35">
        <f t="shared" si="131"/>
        <v>-0.008859268502</v>
      </c>
      <c r="Q89" s="35">
        <f t="shared" si="131"/>
        <v>-0.007827590044</v>
      </c>
      <c r="R89" s="35">
        <f t="shared" si="131"/>
        <v>-0.006738877508</v>
      </c>
      <c r="S89" s="35">
        <f t="shared" si="131"/>
        <v>-0.006160926038</v>
      </c>
      <c r="T89" s="35">
        <f t="shared" si="131"/>
        <v>-0.004450277711</v>
      </c>
      <c r="U89" s="38"/>
      <c r="V89" s="56">
        <v>-0.005</v>
      </c>
      <c r="W89" s="56">
        <v>-0.005</v>
      </c>
      <c r="X89" s="56">
        <v>-0.005</v>
      </c>
      <c r="Y89" s="56">
        <v>-0.005</v>
      </c>
      <c r="Z89" s="56">
        <v>-0.005</v>
      </c>
      <c r="AA89" s="56">
        <v>-0.005</v>
      </c>
      <c r="AB89" s="56">
        <v>-0.005</v>
      </c>
      <c r="AC89" s="56">
        <v>-0.005</v>
      </c>
      <c r="AD89" s="56">
        <v>-0.005</v>
      </c>
      <c r="AE89" s="56">
        <v>-0.005</v>
      </c>
      <c r="AF89" s="56">
        <v>-0.005</v>
      </c>
      <c r="AG89" s="56">
        <v>-0.005</v>
      </c>
      <c r="AH89" s="38"/>
      <c r="AI89" s="38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38"/>
      <c r="AW89" s="38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38"/>
      <c r="BK89" s="38"/>
    </row>
    <row r="90">
      <c r="A90" s="38"/>
      <c r="B90" s="38"/>
      <c r="C90" s="38" t="s">
        <v>161</v>
      </c>
      <c r="D90" s="38" t="s">
        <v>162</v>
      </c>
      <c r="E90" s="38"/>
      <c r="F90" s="35">
        <f t="shared" ref="F90:L90" si="132">F30/F3</f>
        <v>0</v>
      </c>
      <c r="G90" s="35">
        <f t="shared" si="132"/>
        <v>0</v>
      </c>
      <c r="H90" s="35">
        <f t="shared" si="132"/>
        <v>0</v>
      </c>
      <c r="I90" s="35">
        <f t="shared" si="132"/>
        <v>0</v>
      </c>
      <c r="J90" s="35">
        <f t="shared" si="132"/>
        <v>0</v>
      </c>
      <c r="K90" s="35">
        <f t="shared" si="132"/>
        <v>0</v>
      </c>
      <c r="L90" s="35">
        <f t="shared" si="132"/>
        <v>0</v>
      </c>
      <c r="M90" s="38"/>
      <c r="N90" s="35">
        <f t="shared" ref="N90:T90" si="133">N30/N3</f>
        <v>-0.06053726968</v>
      </c>
      <c r="O90" s="35">
        <f t="shared" si="133"/>
        <v>-0.05502488034</v>
      </c>
      <c r="P90" s="35">
        <f t="shared" si="133"/>
        <v>-0.05013636661</v>
      </c>
      <c r="Q90" s="35">
        <f t="shared" si="133"/>
        <v>-0.04592172573</v>
      </c>
      <c r="R90" s="35">
        <f t="shared" si="133"/>
        <v>-0.04186725062</v>
      </c>
      <c r="S90" s="35">
        <f t="shared" si="133"/>
        <v>-0.0382765578</v>
      </c>
      <c r="T90" s="35">
        <f t="shared" si="133"/>
        <v>-0.02768529289</v>
      </c>
      <c r="U90" s="38"/>
      <c r="V90" s="56">
        <v>-0.025</v>
      </c>
      <c r="W90" s="56">
        <v>-0.024</v>
      </c>
      <c r="X90" s="56">
        <v>-0.023</v>
      </c>
      <c r="Y90" s="56">
        <v>-0.022</v>
      </c>
      <c r="Z90" s="56">
        <v>-0.021</v>
      </c>
      <c r="AA90" s="56">
        <v>-0.02</v>
      </c>
      <c r="AB90" s="56">
        <v>-0.019</v>
      </c>
      <c r="AC90" s="56">
        <v>-0.018</v>
      </c>
      <c r="AD90" s="56">
        <v>-0.017</v>
      </c>
      <c r="AE90" s="56">
        <v>-0.016</v>
      </c>
      <c r="AF90" s="56">
        <v>-0.015</v>
      </c>
      <c r="AG90" s="56">
        <v>-0.014</v>
      </c>
      <c r="AH90" s="38"/>
      <c r="AI90" s="38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38"/>
      <c r="AW90" s="38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38"/>
      <c r="BK90" s="38"/>
    </row>
    <row r="91">
      <c r="A91" s="38" t="s">
        <v>163</v>
      </c>
      <c r="B91" s="38" t="s">
        <v>93</v>
      </c>
      <c r="C91" s="38" t="s">
        <v>163</v>
      </c>
      <c r="D91" s="38"/>
      <c r="E91" s="38"/>
      <c r="F91" s="34">
        <f t="shared" ref="F91:K91" si="134">F33/F49</f>
        <v>-98720.6875</v>
      </c>
      <c r="G91" s="34">
        <f t="shared" si="134"/>
        <v>-31548.95652</v>
      </c>
      <c r="H91" s="34">
        <f t="shared" si="134"/>
        <v>-36737.18421</v>
      </c>
      <c r="I91" s="34">
        <f t="shared" si="134"/>
        <v>-42658.40541</v>
      </c>
      <c r="J91" s="34">
        <f t="shared" si="134"/>
        <v>-28694.85714</v>
      </c>
      <c r="K91" s="34">
        <f t="shared" si="134"/>
        <v>-21206.43056</v>
      </c>
      <c r="L91" s="38"/>
      <c r="M91" s="38"/>
      <c r="N91" s="34">
        <f t="shared" ref="N91:S91" si="135">N33/N49</f>
        <v>-24766.09</v>
      </c>
      <c r="O91" s="34">
        <f t="shared" si="135"/>
        <v>-18867.84962</v>
      </c>
      <c r="P91" s="34">
        <f t="shared" si="135"/>
        <v>-16405.86986</v>
      </c>
      <c r="Q91" s="34">
        <f t="shared" si="135"/>
        <v>-15196.12</v>
      </c>
      <c r="R91" s="34">
        <f t="shared" si="135"/>
        <v>-13054.74138</v>
      </c>
      <c r="S91" s="34">
        <f t="shared" si="135"/>
        <v>-13006.96721</v>
      </c>
      <c r="T91" s="38"/>
      <c r="U91" s="38"/>
      <c r="V91" s="34">
        <f t="shared" ref="V91:AG91" si="136">V92</f>
        <v>-14000</v>
      </c>
      <c r="W91" s="34">
        <f t="shared" si="136"/>
        <v>-14000</v>
      </c>
      <c r="X91" s="34">
        <f t="shared" si="136"/>
        <v>-14000</v>
      </c>
      <c r="Y91" s="34">
        <f t="shared" si="136"/>
        <v>-14000</v>
      </c>
      <c r="Z91" s="34">
        <f t="shared" si="136"/>
        <v>-14000</v>
      </c>
      <c r="AA91" s="34">
        <f t="shared" si="136"/>
        <v>-14000</v>
      </c>
      <c r="AB91" s="34">
        <f t="shared" si="136"/>
        <v>-14000</v>
      </c>
      <c r="AC91" s="34">
        <f t="shared" si="136"/>
        <v>-14000</v>
      </c>
      <c r="AD91" s="34">
        <f t="shared" si="136"/>
        <v>-14000</v>
      </c>
      <c r="AE91" s="34">
        <f t="shared" si="136"/>
        <v>-14000</v>
      </c>
      <c r="AF91" s="34">
        <f t="shared" si="136"/>
        <v>-14000</v>
      </c>
      <c r="AG91" s="34">
        <f t="shared" si="136"/>
        <v>-14000</v>
      </c>
      <c r="AH91" s="38"/>
      <c r="AI91" s="38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8"/>
      <c r="AW91" s="38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8"/>
      <c r="BK91" s="38"/>
    </row>
    <row r="92">
      <c r="A92" s="38"/>
      <c r="B92" s="38"/>
      <c r="C92" s="38" t="s">
        <v>164</v>
      </c>
      <c r="D92" s="38" t="s">
        <v>165</v>
      </c>
      <c r="E92" s="38"/>
      <c r="F92" s="34">
        <f t="shared" ref="F92:K92" si="137">F34/F49</f>
        <v>-98720.6875</v>
      </c>
      <c r="G92" s="34">
        <f t="shared" si="137"/>
        <v>-31548.95652</v>
      </c>
      <c r="H92" s="34">
        <f t="shared" si="137"/>
        <v>-36737.18421</v>
      </c>
      <c r="I92" s="34">
        <f t="shared" si="137"/>
        <v>-42658.40541</v>
      </c>
      <c r="J92" s="34">
        <f t="shared" si="137"/>
        <v>-28694.85714</v>
      </c>
      <c r="K92" s="34">
        <f t="shared" si="137"/>
        <v>-21206.43056</v>
      </c>
      <c r="L92" s="38"/>
      <c r="M92" s="38"/>
      <c r="N92" s="34">
        <f t="shared" ref="N92:S92" si="138">N34/N49</f>
        <v>-24766.09</v>
      </c>
      <c r="O92" s="34">
        <f t="shared" si="138"/>
        <v>-18867.84962</v>
      </c>
      <c r="P92" s="34">
        <f t="shared" si="138"/>
        <v>-16405.86986</v>
      </c>
      <c r="Q92" s="34">
        <f t="shared" si="138"/>
        <v>-15196.12</v>
      </c>
      <c r="R92" s="34">
        <f t="shared" si="138"/>
        <v>-13054.74138</v>
      </c>
      <c r="S92" s="34">
        <f t="shared" si="138"/>
        <v>-13006.96721</v>
      </c>
      <c r="T92" s="38"/>
      <c r="U92" s="38"/>
      <c r="V92" s="34">
        <v>-14000.0</v>
      </c>
      <c r="W92" s="34">
        <v>-14000.0</v>
      </c>
      <c r="X92" s="34">
        <v>-14000.0</v>
      </c>
      <c r="Y92" s="34">
        <v>-14000.0</v>
      </c>
      <c r="Z92" s="34">
        <v>-14000.0</v>
      </c>
      <c r="AA92" s="34">
        <v>-14000.0</v>
      </c>
      <c r="AB92" s="34">
        <v>-14000.0</v>
      </c>
      <c r="AC92" s="34">
        <v>-14000.0</v>
      </c>
      <c r="AD92" s="34">
        <v>-14000.0</v>
      </c>
      <c r="AE92" s="34">
        <v>-14000.0</v>
      </c>
      <c r="AF92" s="34">
        <v>-14000.0</v>
      </c>
      <c r="AG92" s="34">
        <v>-14000.0</v>
      </c>
      <c r="AH92" s="38"/>
      <c r="AI92" s="38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8"/>
      <c r="AW92" s="38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8"/>
      <c r="BK92" s="38"/>
    </row>
    <row r="93">
      <c r="A93" s="38" t="s">
        <v>138</v>
      </c>
      <c r="B93" s="38" t="s">
        <v>93</v>
      </c>
      <c r="C93" s="38" t="s">
        <v>138</v>
      </c>
      <c r="D93" s="38"/>
      <c r="E93" s="38"/>
      <c r="F93" s="35">
        <f t="shared" ref="F93:K93" si="139">F19/F$3</f>
        <v>0.0000004697504938</v>
      </c>
      <c r="G93" s="35">
        <f t="shared" si="139"/>
        <v>0.0000004716291351</v>
      </c>
      <c r="H93" s="35">
        <f t="shared" si="139"/>
        <v>0.0000004676154683</v>
      </c>
      <c r="I93" s="35">
        <f t="shared" si="139"/>
        <v>0.0000004736522803</v>
      </c>
      <c r="J93" s="35">
        <f t="shared" si="139"/>
        <v>0.0000004569137215</v>
      </c>
      <c r="K93" s="35">
        <f t="shared" si="139"/>
        <v>0.0000004617926431</v>
      </c>
      <c r="L93" s="38"/>
      <c r="M93" s="38"/>
      <c r="N93" s="35">
        <f t="shared" ref="N93:S93" si="140">N19/N$3</f>
        <v>0.0000003952021423</v>
      </c>
      <c r="O93" s="35">
        <f t="shared" si="140"/>
        <v>0.0000004035032708</v>
      </c>
      <c r="P93" s="35">
        <f t="shared" si="140"/>
        <v>0.0000003702198532</v>
      </c>
      <c r="Q93" s="35">
        <f t="shared" si="140"/>
        <v>0.0000003375450747</v>
      </c>
      <c r="R93" s="35">
        <f t="shared" si="140"/>
        <v>0.000000312259503</v>
      </c>
      <c r="S93" s="35">
        <f t="shared" si="140"/>
        <v>0.0000002860225227</v>
      </c>
      <c r="T93" s="38"/>
      <c r="U93" s="38"/>
      <c r="V93" s="35">
        <f t="shared" ref="V93:AG93" si="141">sum(V94:V96)</f>
        <v>-0.164</v>
      </c>
      <c r="W93" s="35">
        <f t="shared" si="141"/>
        <v>-0.163</v>
      </c>
      <c r="X93" s="35">
        <f t="shared" si="141"/>
        <v>-0.162</v>
      </c>
      <c r="Y93" s="35">
        <f t="shared" si="141"/>
        <v>-0.161</v>
      </c>
      <c r="Z93" s="35">
        <f t="shared" si="141"/>
        <v>-0.16</v>
      </c>
      <c r="AA93" s="35">
        <f t="shared" si="141"/>
        <v>-0.159</v>
      </c>
      <c r="AB93" s="35">
        <f t="shared" si="141"/>
        <v>-0.158</v>
      </c>
      <c r="AC93" s="35">
        <f t="shared" si="141"/>
        <v>-0.157</v>
      </c>
      <c r="AD93" s="35">
        <f t="shared" si="141"/>
        <v>-0.156</v>
      </c>
      <c r="AE93" s="35">
        <f t="shared" si="141"/>
        <v>-0.155</v>
      </c>
      <c r="AF93" s="35">
        <f t="shared" si="141"/>
        <v>-0.154</v>
      </c>
      <c r="AG93" s="35">
        <f t="shared" si="141"/>
        <v>-0.153</v>
      </c>
      <c r="AH93" s="38"/>
      <c r="AI93" s="38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8"/>
      <c r="AW93" s="38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8"/>
      <c r="BK93" s="38"/>
    </row>
    <row r="94">
      <c r="A94" s="38"/>
      <c r="B94" s="38"/>
      <c r="C94" s="38" t="s">
        <v>139</v>
      </c>
      <c r="D94" s="38" t="s">
        <v>140</v>
      </c>
      <c r="E94" s="38"/>
      <c r="F94" s="35">
        <f t="shared" ref="F94:K94" si="142">F20/F$3</f>
        <v>0.001794530987</v>
      </c>
      <c r="G94" s="35">
        <f t="shared" si="142"/>
        <v>0.02575830357</v>
      </c>
      <c r="H94" s="35">
        <f t="shared" si="142"/>
        <v>0.01749400227</v>
      </c>
      <c r="I94" s="35">
        <f t="shared" si="142"/>
        <v>0.01709794941</v>
      </c>
      <c r="J94" s="35">
        <f t="shared" si="142"/>
        <v>0.01462069093</v>
      </c>
      <c r="K94" s="35">
        <f t="shared" si="142"/>
        <v>0.01239278698</v>
      </c>
      <c r="L94" s="38"/>
      <c r="M94" s="38"/>
      <c r="N94" s="35">
        <f t="shared" ref="N94:S94" si="143">N20/N$3</f>
        <v>0</v>
      </c>
      <c r="O94" s="35">
        <f t="shared" si="143"/>
        <v>0</v>
      </c>
      <c r="P94" s="35">
        <f t="shared" si="143"/>
        <v>0</v>
      </c>
      <c r="Q94" s="35">
        <f t="shared" si="143"/>
        <v>0</v>
      </c>
      <c r="R94" s="35">
        <f t="shared" si="143"/>
        <v>0</v>
      </c>
      <c r="S94" s="35">
        <f t="shared" si="143"/>
        <v>0</v>
      </c>
      <c r="T94" s="38"/>
      <c r="U94" s="38"/>
      <c r="V94" s="35">
        <v>-0.099</v>
      </c>
      <c r="W94" s="35">
        <v>-0.098</v>
      </c>
      <c r="X94" s="35">
        <v>-0.097</v>
      </c>
      <c r="Y94" s="35">
        <v>-0.096</v>
      </c>
      <c r="Z94" s="35">
        <v>-0.095</v>
      </c>
      <c r="AA94" s="35">
        <v>-0.094</v>
      </c>
      <c r="AB94" s="35">
        <v>-0.093</v>
      </c>
      <c r="AC94" s="35">
        <v>-0.092</v>
      </c>
      <c r="AD94" s="35">
        <v>-0.091</v>
      </c>
      <c r="AE94" s="35">
        <v>-0.09</v>
      </c>
      <c r="AF94" s="35">
        <v>-0.089</v>
      </c>
      <c r="AG94" s="35">
        <v>-0.088</v>
      </c>
      <c r="AH94" s="38"/>
      <c r="AI94" s="38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8"/>
      <c r="AW94" s="38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8"/>
      <c r="BK94" s="38"/>
    </row>
    <row r="95">
      <c r="A95" s="38"/>
      <c r="B95" s="38"/>
      <c r="C95" s="38" t="s">
        <v>141</v>
      </c>
      <c r="D95" s="38" t="s">
        <v>142</v>
      </c>
      <c r="E95" s="38"/>
      <c r="F95" s="35">
        <f t="shared" ref="F95:K95" si="144">F21/F$3</f>
        <v>0.001794530987</v>
      </c>
      <c r="G95" s="35">
        <f t="shared" si="144"/>
        <v>0.02575830357</v>
      </c>
      <c r="H95" s="35">
        <f t="shared" si="144"/>
        <v>0.01749400227</v>
      </c>
      <c r="I95" s="35">
        <f t="shared" si="144"/>
        <v>0.01709794941</v>
      </c>
      <c r="J95" s="35">
        <f t="shared" si="144"/>
        <v>0.01462069093</v>
      </c>
      <c r="K95" s="35">
        <f t="shared" si="144"/>
        <v>0.01239278698</v>
      </c>
      <c r="L95" s="38"/>
      <c r="M95" s="38"/>
      <c r="N95" s="35">
        <f t="shared" ref="N95:S95" si="145">N21/N$3</f>
        <v>0</v>
      </c>
      <c r="O95" s="35">
        <f t="shared" si="145"/>
        <v>0</v>
      </c>
      <c r="P95" s="35">
        <f t="shared" si="145"/>
        <v>0</v>
      </c>
      <c r="Q95" s="35">
        <f t="shared" si="145"/>
        <v>0</v>
      </c>
      <c r="R95" s="35">
        <f t="shared" si="145"/>
        <v>0</v>
      </c>
      <c r="S95" s="35">
        <f t="shared" si="145"/>
        <v>0</v>
      </c>
      <c r="T95" s="38"/>
      <c r="U95" s="38"/>
      <c r="V95" s="35">
        <v>-0.03</v>
      </c>
      <c r="W95" s="35">
        <v>-0.03</v>
      </c>
      <c r="X95" s="35">
        <v>-0.03</v>
      </c>
      <c r="Y95" s="35">
        <v>-0.03</v>
      </c>
      <c r="Z95" s="35">
        <v>-0.03</v>
      </c>
      <c r="AA95" s="35">
        <v>-0.03</v>
      </c>
      <c r="AB95" s="35">
        <v>-0.03</v>
      </c>
      <c r="AC95" s="35">
        <v>-0.03</v>
      </c>
      <c r="AD95" s="35">
        <v>-0.03</v>
      </c>
      <c r="AE95" s="35">
        <v>-0.03</v>
      </c>
      <c r="AF95" s="35">
        <v>-0.03</v>
      </c>
      <c r="AG95" s="35">
        <v>-0.03</v>
      </c>
      <c r="AH95" s="38"/>
      <c r="AI95" s="38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8"/>
      <c r="AW95" s="38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8"/>
      <c r="BK95" s="38"/>
    </row>
    <row r="96">
      <c r="A96" s="38"/>
      <c r="B96" s="38"/>
      <c r="C96" s="38" t="s">
        <v>143</v>
      </c>
      <c r="D96" s="38" t="s">
        <v>144</v>
      </c>
      <c r="E96" s="38"/>
      <c r="F96" s="35">
        <f t="shared" ref="F96:K96" si="146">F22/F$3</f>
        <v>0.02037510483</v>
      </c>
      <c r="G96" s="35">
        <f t="shared" si="146"/>
        <v>0.02762868129</v>
      </c>
      <c r="H96" s="35">
        <f t="shared" si="146"/>
        <v>0.02238327429</v>
      </c>
      <c r="I96" s="35">
        <f t="shared" si="146"/>
        <v>0.04076519687</v>
      </c>
      <c r="J96" s="35">
        <f t="shared" si="146"/>
        <v>0.01971778613</v>
      </c>
      <c r="K96" s="35">
        <f t="shared" si="146"/>
        <v>0.03495646129</v>
      </c>
      <c r="L96" s="38"/>
      <c r="M96" s="38"/>
      <c r="N96" s="35">
        <f t="shared" ref="N96:S96" si="147">N22/N$3</f>
        <v>0</v>
      </c>
      <c r="O96" s="35">
        <f t="shared" si="147"/>
        <v>0</v>
      </c>
      <c r="P96" s="35">
        <f t="shared" si="147"/>
        <v>0</v>
      </c>
      <c r="Q96" s="35">
        <f t="shared" si="147"/>
        <v>0</v>
      </c>
      <c r="R96" s="35">
        <f t="shared" si="147"/>
        <v>0</v>
      </c>
      <c r="S96" s="35">
        <f t="shared" si="147"/>
        <v>0</v>
      </c>
      <c r="T96" s="38"/>
      <c r="U96" s="38"/>
      <c r="V96" s="35">
        <v>-0.035</v>
      </c>
      <c r="W96" s="35">
        <v>-0.035</v>
      </c>
      <c r="X96" s="35">
        <v>-0.035</v>
      </c>
      <c r="Y96" s="35">
        <v>-0.035</v>
      </c>
      <c r="Z96" s="35">
        <v>-0.035</v>
      </c>
      <c r="AA96" s="35">
        <v>-0.035</v>
      </c>
      <c r="AB96" s="35">
        <v>-0.035</v>
      </c>
      <c r="AC96" s="35">
        <v>-0.035</v>
      </c>
      <c r="AD96" s="35">
        <v>-0.035</v>
      </c>
      <c r="AE96" s="35">
        <v>-0.035</v>
      </c>
      <c r="AF96" s="35">
        <v>-0.035</v>
      </c>
      <c r="AG96" s="35">
        <v>-0.035</v>
      </c>
      <c r="AH96" s="38"/>
      <c r="AI96" s="38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8"/>
      <c r="AW96" s="38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8"/>
      <c r="BK96" s="38"/>
    </row>
    <row r="97">
      <c r="A97" s="38" t="s">
        <v>145</v>
      </c>
      <c r="B97" s="38" t="s">
        <v>93</v>
      </c>
      <c r="C97" s="38" t="s">
        <v>145</v>
      </c>
      <c r="D97" s="38"/>
      <c r="E97" s="38"/>
      <c r="F97" s="35">
        <f t="shared" ref="F97:K97" si="148">F23/F$3</f>
        <v>0.02037510483</v>
      </c>
      <c r="G97" s="35">
        <f t="shared" si="148"/>
        <v>0.02762868129</v>
      </c>
      <c r="H97" s="35">
        <f t="shared" si="148"/>
        <v>0.02238327429</v>
      </c>
      <c r="I97" s="35">
        <f t="shared" si="148"/>
        <v>0.04076519687</v>
      </c>
      <c r="J97" s="35">
        <f t="shared" si="148"/>
        <v>0.01971778613</v>
      </c>
      <c r="K97" s="35">
        <f t="shared" si="148"/>
        <v>0.03495646129</v>
      </c>
      <c r="L97" s="38"/>
      <c r="M97" s="38"/>
      <c r="N97" s="35">
        <f t="shared" ref="N97:S97" si="149">N23/N$3</f>
        <v>0</v>
      </c>
      <c r="O97" s="35">
        <f t="shared" si="149"/>
        <v>0</v>
      </c>
      <c r="P97" s="35">
        <f t="shared" si="149"/>
        <v>0</v>
      </c>
      <c r="Q97" s="35">
        <f t="shared" si="149"/>
        <v>0</v>
      </c>
      <c r="R97" s="35">
        <f t="shared" si="149"/>
        <v>0</v>
      </c>
      <c r="S97" s="35">
        <f t="shared" si="149"/>
        <v>0</v>
      </c>
      <c r="T97" s="38"/>
      <c r="U97" s="38"/>
      <c r="V97" s="35">
        <f t="shared" ref="V97:AG97" si="150">V98</f>
        <v>-0.009</v>
      </c>
      <c r="W97" s="35">
        <f t="shared" si="150"/>
        <v>-0.009</v>
      </c>
      <c r="X97" s="35">
        <f t="shared" si="150"/>
        <v>-0.009</v>
      </c>
      <c r="Y97" s="35">
        <f t="shared" si="150"/>
        <v>-0.009</v>
      </c>
      <c r="Z97" s="35">
        <f t="shared" si="150"/>
        <v>-0.009</v>
      </c>
      <c r="AA97" s="35">
        <f t="shared" si="150"/>
        <v>-0.009</v>
      </c>
      <c r="AB97" s="35">
        <f t="shared" si="150"/>
        <v>-0.009</v>
      </c>
      <c r="AC97" s="35">
        <f t="shared" si="150"/>
        <v>-0.009</v>
      </c>
      <c r="AD97" s="35">
        <f t="shared" si="150"/>
        <v>-0.009</v>
      </c>
      <c r="AE97" s="35">
        <f t="shared" si="150"/>
        <v>-0.009</v>
      </c>
      <c r="AF97" s="35">
        <f t="shared" si="150"/>
        <v>-0.009</v>
      </c>
      <c r="AG97" s="35">
        <f t="shared" si="150"/>
        <v>-0.009</v>
      </c>
      <c r="AH97" s="38"/>
      <c r="AI97" s="38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8"/>
      <c r="AW97" s="38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8"/>
      <c r="BK97" s="38"/>
    </row>
    <row r="98">
      <c r="A98" s="38"/>
      <c r="B98" s="38"/>
      <c r="C98" s="38" t="s">
        <v>145</v>
      </c>
      <c r="D98" s="38" t="s">
        <v>146</v>
      </c>
      <c r="E98" s="38"/>
      <c r="F98" s="35">
        <f t="shared" ref="F98:K98" si="151">F24/F$3</f>
        <v>-0.8724142304</v>
      </c>
      <c r="G98" s="35">
        <f t="shared" si="151"/>
        <v>-0.8481867083</v>
      </c>
      <c r="H98" s="35">
        <f t="shared" si="151"/>
        <v>-1.059333623</v>
      </c>
      <c r="I98" s="35">
        <f t="shared" si="151"/>
        <v>-0.9428466233</v>
      </c>
      <c r="J98" s="35">
        <f t="shared" si="151"/>
        <v>-0.8979343381</v>
      </c>
      <c r="K98" s="35">
        <f t="shared" si="151"/>
        <v>-0.8885724844</v>
      </c>
      <c r="L98" s="38"/>
      <c r="M98" s="38"/>
      <c r="N98" s="35">
        <f t="shared" ref="N98:S98" si="152">N24/N$3</f>
        <v>-0.9134132588</v>
      </c>
      <c r="O98" s="35">
        <f t="shared" si="152"/>
        <v>-0.8302398758</v>
      </c>
      <c r="P98" s="35">
        <f t="shared" si="152"/>
        <v>-0.7564798058</v>
      </c>
      <c r="Q98" s="35">
        <f t="shared" si="152"/>
        <v>-0.692887429</v>
      </c>
      <c r="R98" s="35">
        <f t="shared" si="152"/>
        <v>-0.6317117046</v>
      </c>
      <c r="S98" s="35">
        <f t="shared" si="152"/>
        <v>-0.5775337339</v>
      </c>
      <c r="T98" s="38"/>
      <c r="U98" s="38"/>
      <c r="V98" s="35">
        <v>-0.009</v>
      </c>
      <c r="W98" s="35">
        <v>-0.009</v>
      </c>
      <c r="X98" s="35">
        <v>-0.009</v>
      </c>
      <c r="Y98" s="35">
        <v>-0.009</v>
      </c>
      <c r="Z98" s="35">
        <v>-0.009</v>
      </c>
      <c r="AA98" s="35">
        <v>-0.009</v>
      </c>
      <c r="AB98" s="35">
        <v>-0.009</v>
      </c>
      <c r="AC98" s="35">
        <v>-0.009</v>
      </c>
      <c r="AD98" s="35">
        <v>-0.009</v>
      </c>
      <c r="AE98" s="35">
        <v>-0.009</v>
      </c>
      <c r="AF98" s="35">
        <v>-0.009</v>
      </c>
      <c r="AG98" s="35">
        <v>-0.009</v>
      </c>
      <c r="AH98" s="38"/>
      <c r="AI98" s="38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8"/>
      <c r="AW98" s="38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8"/>
      <c r="BK98" s="38"/>
    </row>
    <row r="99">
      <c r="A99" s="38" t="s">
        <v>147</v>
      </c>
      <c r="B99" s="38" t="s">
        <v>93</v>
      </c>
      <c r="C99" s="38" t="s">
        <v>147</v>
      </c>
      <c r="D99" s="38"/>
      <c r="E99" s="38"/>
      <c r="F99" s="52">
        <f t="shared" ref="F99:K99" si="153">F100</f>
        <v>0</v>
      </c>
      <c r="G99" s="52">
        <f t="shared" si="153"/>
        <v>0</v>
      </c>
      <c r="H99" s="52">
        <f t="shared" si="153"/>
        <v>0</v>
      </c>
      <c r="I99" s="52">
        <f t="shared" si="153"/>
        <v>0</v>
      </c>
      <c r="J99" s="52">
        <f t="shared" si="153"/>
        <v>0</v>
      </c>
      <c r="K99" s="52">
        <f t="shared" si="153"/>
        <v>0</v>
      </c>
      <c r="L99" s="38"/>
      <c r="M99" s="38"/>
      <c r="N99" s="52">
        <f t="shared" ref="N99:S99" si="154">N100</f>
        <v>182468.5714</v>
      </c>
      <c r="O99" s="52">
        <f t="shared" si="154"/>
        <v>337967.425</v>
      </c>
      <c r="P99" s="52">
        <f t="shared" si="154"/>
        <v>293680.546</v>
      </c>
      <c r="Q99" s="52">
        <f t="shared" si="154"/>
        <v>274612.416</v>
      </c>
      <c r="R99" s="52">
        <f t="shared" si="154"/>
        <v>294266.8472</v>
      </c>
      <c r="S99" s="52">
        <f t="shared" si="154"/>
        <v>316196.3297</v>
      </c>
      <c r="T99" s="38"/>
      <c r="U99" s="38"/>
      <c r="V99" s="52">
        <f t="shared" ref="V99:AG99" si="155">V100</f>
        <v>2350</v>
      </c>
      <c r="W99" s="52">
        <f t="shared" si="155"/>
        <v>2350</v>
      </c>
      <c r="X99" s="52">
        <f t="shared" si="155"/>
        <v>2350</v>
      </c>
      <c r="Y99" s="52">
        <f t="shared" si="155"/>
        <v>2350</v>
      </c>
      <c r="Z99" s="52">
        <f t="shared" si="155"/>
        <v>2350</v>
      </c>
      <c r="AA99" s="52">
        <f t="shared" si="155"/>
        <v>2350</v>
      </c>
      <c r="AB99" s="52">
        <f t="shared" si="155"/>
        <v>2350</v>
      </c>
      <c r="AC99" s="52">
        <f t="shared" si="155"/>
        <v>2350</v>
      </c>
      <c r="AD99" s="52">
        <f t="shared" si="155"/>
        <v>2350</v>
      </c>
      <c r="AE99" s="52">
        <f t="shared" si="155"/>
        <v>2350</v>
      </c>
      <c r="AF99" s="52">
        <f t="shared" si="155"/>
        <v>2350</v>
      </c>
      <c r="AG99" s="52">
        <f t="shared" si="155"/>
        <v>2350</v>
      </c>
      <c r="AH99" s="38"/>
      <c r="AI99" s="38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38"/>
      <c r="AW99" s="38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38"/>
      <c r="BK99" s="38"/>
    </row>
    <row r="100">
      <c r="A100" s="38"/>
      <c r="B100" s="38"/>
      <c r="C100" s="38" t="s">
        <v>147</v>
      </c>
      <c r="D100" s="38" t="s">
        <v>148</v>
      </c>
      <c r="E100" s="38"/>
      <c r="F100" s="52">
        <f t="shared" ref="F100:K100" si="156">F28/F$74</f>
        <v>0</v>
      </c>
      <c r="G100" s="52">
        <f t="shared" si="156"/>
        <v>0</v>
      </c>
      <c r="H100" s="52">
        <f t="shared" si="156"/>
        <v>0</v>
      </c>
      <c r="I100" s="52">
        <f t="shared" si="156"/>
        <v>0</v>
      </c>
      <c r="J100" s="52">
        <f t="shared" si="156"/>
        <v>0</v>
      </c>
      <c r="K100" s="52">
        <f t="shared" si="156"/>
        <v>0</v>
      </c>
      <c r="L100" s="38"/>
      <c r="M100" s="38"/>
      <c r="N100" s="52">
        <f t="shared" ref="N100:S100" si="157">N28/N$74</f>
        <v>182468.5714</v>
      </c>
      <c r="O100" s="52">
        <f t="shared" si="157"/>
        <v>337967.425</v>
      </c>
      <c r="P100" s="52">
        <f t="shared" si="157"/>
        <v>293680.546</v>
      </c>
      <c r="Q100" s="52">
        <f t="shared" si="157"/>
        <v>274612.416</v>
      </c>
      <c r="R100" s="52">
        <f t="shared" si="157"/>
        <v>294266.8472</v>
      </c>
      <c r="S100" s="52">
        <f t="shared" si="157"/>
        <v>316196.3297</v>
      </c>
      <c r="T100" s="38"/>
      <c r="U100" s="38"/>
      <c r="V100" s="52">
        <v>2350.0</v>
      </c>
      <c r="W100" s="52">
        <v>2350.0</v>
      </c>
      <c r="X100" s="52">
        <v>2350.0</v>
      </c>
      <c r="Y100" s="52">
        <v>2350.0</v>
      </c>
      <c r="Z100" s="52">
        <v>2350.0</v>
      </c>
      <c r="AA100" s="52">
        <v>2350.0</v>
      </c>
      <c r="AB100" s="52">
        <v>2350.0</v>
      </c>
      <c r="AC100" s="52">
        <v>2350.0</v>
      </c>
      <c r="AD100" s="52">
        <v>2350.0</v>
      </c>
      <c r="AE100" s="52">
        <v>2350.0</v>
      </c>
      <c r="AF100" s="52">
        <v>2350.0</v>
      </c>
      <c r="AG100" s="52">
        <v>2350.0</v>
      </c>
      <c r="AH100" s="38"/>
      <c r="AI100" s="38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38"/>
      <c r="AW100" s="38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38"/>
      <c r="BK100" s="38"/>
    </row>
    <row r="101">
      <c r="A101" s="38" t="s">
        <v>149</v>
      </c>
      <c r="B101" s="38" t="s">
        <v>93</v>
      </c>
      <c r="C101" s="38" t="s">
        <v>150</v>
      </c>
      <c r="D101" s="38"/>
      <c r="E101" s="38"/>
      <c r="F101" s="52">
        <f t="shared" ref="F101:K101" si="158">F102</f>
        <v>0</v>
      </c>
      <c r="G101" s="52">
        <f t="shared" si="158"/>
        <v>0</v>
      </c>
      <c r="H101" s="52">
        <f t="shared" si="158"/>
        <v>0</v>
      </c>
      <c r="I101" s="52">
        <f t="shared" si="158"/>
        <v>0</v>
      </c>
      <c r="J101" s="52">
        <f t="shared" si="158"/>
        <v>0</v>
      </c>
      <c r="K101" s="52">
        <f t="shared" si="158"/>
        <v>0</v>
      </c>
      <c r="L101" s="38"/>
      <c r="M101" s="38"/>
      <c r="N101" s="52">
        <f t="shared" ref="N101:S101" si="159">N102</f>
        <v>615968.1051</v>
      </c>
      <c r="O101" s="52">
        <f t="shared" si="159"/>
        <v>1140893.211</v>
      </c>
      <c r="P101" s="52">
        <f t="shared" si="159"/>
        <v>991391.8217</v>
      </c>
      <c r="Q101" s="52">
        <f t="shared" si="159"/>
        <v>927022.5999</v>
      </c>
      <c r="R101" s="52">
        <f t="shared" si="159"/>
        <v>993371.0274</v>
      </c>
      <c r="S101" s="52">
        <f t="shared" si="159"/>
        <v>974200.1223</v>
      </c>
      <c r="T101" s="38"/>
      <c r="U101" s="38"/>
      <c r="V101" s="52">
        <f t="shared" ref="V101:AG101" si="160">V102</f>
        <v>5250</v>
      </c>
      <c r="W101" s="52">
        <f t="shared" si="160"/>
        <v>5250</v>
      </c>
      <c r="X101" s="52">
        <f t="shared" si="160"/>
        <v>5250</v>
      </c>
      <c r="Y101" s="52">
        <f t="shared" si="160"/>
        <v>5250</v>
      </c>
      <c r="Z101" s="52">
        <f t="shared" si="160"/>
        <v>5250</v>
      </c>
      <c r="AA101" s="52">
        <f t="shared" si="160"/>
        <v>5250</v>
      </c>
      <c r="AB101" s="52">
        <f t="shared" si="160"/>
        <v>5250</v>
      </c>
      <c r="AC101" s="52">
        <f t="shared" si="160"/>
        <v>5250</v>
      </c>
      <c r="AD101" s="52">
        <f t="shared" si="160"/>
        <v>5250</v>
      </c>
      <c r="AE101" s="52">
        <f t="shared" si="160"/>
        <v>5250</v>
      </c>
      <c r="AF101" s="52">
        <f t="shared" si="160"/>
        <v>5250</v>
      </c>
      <c r="AG101" s="52">
        <f t="shared" si="160"/>
        <v>5250</v>
      </c>
      <c r="AH101" s="38"/>
      <c r="AI101" s="38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38"/>
      <c r="AW101" s="38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38"/>
      <c r="BK101" s="38"/>
    </row>
    <row r="102">
      <c r="A102" s="38"/>
      <c r="B102" s="38"/>
      <c r="C102" s="38" t="s">
        <v>150</v>
      </c>
      <c r="D102" s="38" t="s">
        <v>151</v>
      </c>
      <c r="E102" s="38"/>
      <c r="F102" s="52">
        <f t="shared" ref="F102:K102" si="161">F30/F$74</f>
        <v>0</v>
      </c>
      <c r="G102" s="52">
        <f t="shared" si="161"/>
        <v>0</v>
      </c>
      <c r="H102" s="52">
        <f t="shared" si="161"/>
        <v>0</v>
      </c>
      <c r="I102" s="52">
        <f t="shared" si="161"/>
        <v>0</v>
      </c>
      <c r="J102" s="52">
        <f t="shared" si="161"/>
        <v>0</v>
      </c>
      <c r="K102" s="52">
        <f t="shared" si="161"/>
        <v>0</v>
      </c>
      <c r="L102" s="38"/>
      <c r="M102" s="38"/>
      <c r="N102" s="52">
        <f t="shared" ref="N102:S102" si="162">N30/N$74</f>
        <v>615968.1051</v>
      </c>
      <c r="O102" s="52">
        <f t="shared" si="162"/>
        <v>1140893.211</v>
      </c>
      <c r="P102" s="52">
        <f t="shared" si="162"/>
        <v>991391.8217</v>
      </c>
      <c r="Q102" s="52">
        <f t="shared" si="162"/>
        <v>927022.5999</v>
      </c>
      <c r="R102" s="52">
        <f t="shared" si="162"/>
        <v>993371.0274</v>
      </c>
      <c r="S102" s="52">
        <f t="shared" si="162"/>
        <v>974200.1223</v>
      </c>
      <c r="T102" s="38"/>
      <c r="U102" s="38"/>
      <c r="V102" s="52">
        <f t="shared" ref="V102:AG102" si="163">5250</f>
        <v>5250</v>
      </c>
      <c r="W102" s="52">
        <f t="shared" si="163"/>
        <v>5250</v>
      </c>
      <c r="X102" s="52">
        <f t="shared" si="163"/>
        <v>5250</v>
      </c>
      <c r="Y102" s="52">
        <f t="shared" si="163"/>
        <v>5250</v>
      </c>
      <c r="Z102" s="52">
        <f t="shared" si="163"/>
        <v>5250</v>
      </c>
      <c r="AA102" s="52">
        <f t="shared" si="163"/>
        <v>5250</v>
      </c>
      <c r="AB102" s="52">
        <f t="shared" si="163"/>
        <v>5250</v>
      </c>
      <c r="AC102" s="52">
        <f t="shared" si="163"/>
        <v>5250</v>
      </c>
      <c r="AD102" s="52">
        <f t="shared" si="163"/>
        <v>5250</v>
      </c>
      <c r="AE102" s="52">
        <f t="shared" si="163"/>
        <v>5250</v>
      </c>
      <c r="AF102" s="52">
        <f t="shared" si="163"/>
        <v>5250</v>
      </c>
      <c r="AG102" s="52">
        <f t="shared" si="163"/>
        <v>5250</v>
      </c>
      <c r="AH102" s="38"/>
      <c r="AI102" s="38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38"/>
      <c r="AW102" s="38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38"/>
      <c r="BK102" s="38"/>
    </row>
    <row r="103">
      <c r="A103" s="38" t="s">
        <v>152</v>
      </c>
      <c r="B103" s="38" t="s">
        <v>93</v>
      </c>
      <c r="C103" s="38" t="s">
        <v>152</v>
      </c>
      <c r="D103" s="38"/>
      <c r="E103" s="38"/>
      <c r="F103" s="35">
        <f t="shared" ref="F103:K103" si="164">F104</f>
        <v>-0.0000003180065727</v>
      </c>
      <c r="G103" s="35">
        <f t="shared" si="164"/>
        <v>-0.0000002898044269</v>
      </c>
      <c r="H103" s="35">
        <f t="shared" si="164"/>
        <v>-0.0000004765455805</v>
      </c>
      <c r="I103" s="35">
        <f t="shared" si="164"/>
        <v>-0.0000003493717794</v>
      </c>
      <c r="J103" s="35">
        <f t="shared" si="164"/>
        <v>-0.0000002846797412</v>
      </c>
      <c r="K103" s="35">
        <f t="shared" si="164"/>
        <v>-0.00000004475640398</v>
      </c>
      <c r="L103" s="38"/>
      <c r="M103" s="38"/>
      <c r="N103" s="35">
        <f t="shared" ref="N103:S103" si="165">N104</f>
        <v>-0.0000003442027299</v>
      </c>
      <c r="O103" s="35">
        <f t="shared" si="165"/>
        <v>-0.0000002080783916</v>
      </c>
      <c r="P103" s="35">
        <f t="shared" si="165"/>
        <v>-0.00000013787606</v>
      </c>
      <c r="Q103" s="35">
        <f t="shared" si="165"/>
        <v>-0.00000008859974914</v>
      </c>
      <c r="R103" s="35">
        <f t="shared" si="165"/>
        <v>-0.00000004180999334</v>
      </c>
      <c r="S103" s="35">
        <f t="shared" si="165"/>
        <v>-0.00000001028715763</v>
      </c>
      <c r="T103" s="38"/>
      <c r="U103" s="38"/>
      <c r="V103" s="35">
        <f t="shared" ref="V103:AG103" si="166">V104</f>
        <v>-0.14</v>
      </c>
      <c r="W103" s="35">
        <f t="shared" si="166"/>
        <v>-0.14</v>
      </c>
      <c r="X103" s="35">
        <f t="shared" si="166"/>
        <v>-0.14</v>
      </c>
      <c r="Y103" s="35">
        <f t="shared" si="166"/>
        <v>-0.14</v>
      </c>
      <c r="Z103" s="35">
        <f t="shared" si="166"/>
        <v>-0.14</v>
      </c>
      <c r="AA103" s="35">
        <f t="shared" si="166"/>
        <v>-0.14</v>
      </c>
      <c r="AB103" s="35">
        <f t="shared" si="166"/>
        <v>-0.14</v>
      </c>
      <c r="AC103" s="35">
        <f t="shared" si="166"/>
        <v>-0.14</v>
      </c>
      <c r="AD103" s="35">
        <f t="shared" si="166"/>
        <v>-0.14</v>
      </c>
      <c r="AE103" s="35">
        <f t="shared" si="166"/>
        <v>-0.14</v>
      </c>
      <c r="AF103" s="35">
        <f t="shared" si="166"/>
        <v>-0.14</v>
      </c>
      <c r="AG103" s="35">
        <f t="shared" si="166"/>
        <v>-0.14</v>
      </c>
      <c r="AH103" s="38"/>
      <c r="AI103" s="38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8"/>
      <c r="AW103" s="38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8"/>
      <c r="BK103" s="38"/>
    </row>
    <row r="104">
      <c r="A104" s="38"/>
      <c r="B104" s="38"/>
      <c r="C104" s="38" t="s">
        <v>152</v>
      </c>
      <c r="D104" s="38" t="s">
        <v>153</v>
      </c>
      <c r="E104" s="38"/>
      <c r="F104" s="35">
        <f t="shared" ref="F104:K104" si="167">F32/F3</f>
        <v>-0.0000003180065727</v>
      </c>
      <c r="G104" s="35">
        <f t="shared" si="167"/>
        <v>-0.0000002898044269</v>
      </c>
      <c r="H104" s="35">
        <f t="shared" si="167"/>
        <v>-0.0000004765455805</v>
      </c>
      <c r="I104" s="35">
        <f t="shared" si="167"/>
        <v>-0.0000003493717794</v>
      </c>
      <c r="J104" s="35">
        <f t="shared" si="167"/>
        <v>-0.0000002846797412</v>
      </c>
      <c r="K104" s="35">
        <f t="shared" si="167"/>
        <v>-0.00000004475640398</v>
      </c>
      <c r="L104" s="38"/>
      <c r="M104" s="38"/>
      <c r="N104" s="35">
        <f t="shared" ref="N104:S104" si="168">N32/N3</f>
        <v>-0.0000003442027299</v>
      </c>
      <c r="O104" s="35">
        <f t="shared" si="168"/>
        <v>-0.0000002080783916</v>
      </c>
      <c r="P104" s="35">
        <f t="shared" si="168"/>
        <v>-0.00000013787606</v>
      </c>
      <c r="Q104" s="35">
        <f t="shared" si="168"/>
        <v>-0.00000008859974914</v>
      </c>
      <c r="R104" s="35">
        <f t="shared" si="168"/>
        <v>-0.00000004180999334</v>
      </c>
      <c r="S104" s="35">
        <f t="shared" si="168"/>
        <v>-0.00000001028715763</v>
      </c>
      <c r="T104" s="38"/>
      <c r="U104" s="38"/>
      <c r="V104" s="35">
        <f t="shared" ref="V104:AG104" si="169">-14%</f>
        <v>-0.14</v>
      </c>
      <c r="W104" s="35">
        <f t="shared" si="169"/>
        <v>-0.14</v>
      </c>
      <c r="X104" s="35">
        <f t="shared" si="169"/>
        <v>-0.14</v>
      </c>
      <c r="Y104" s="35">
        <f t="shared" si="169"/>
        <v>-0.14</v>
      </c>
      <c r="Z104" s="35">
        <f t="shared" si="169"/>
        <v>-0.14</v>
      </c>
      <c r="AA104" s="35">
        <f t="shared" si="169"/>
        <v>-0.14</v>
      </c>
      <c r="AB104" s="35">
        <f t="shared" si="169"/>
        <v>-0.14</v>
      </c>
      <c r="AC104" s="35">
        <f t="shared" si="169"/>
        <v>-0.14</v>
      </c>
      <c r="AD104" s="35">
        <f t="shared" si="169"/>
        <v>-0.14</v>
      </c>
      <c r="AE104" s="35">
        <f t="shared" si="169"/>
        <v>-0.14</v>
      </c>
      <c r="AF104" s="35">
        <f t="shared" si="169"/>
        <v>-0.14</v>
      </c>
      <c r="AG104" s="35">
        <f t="shared" si="169"/>
        <v>-0.14</v>
      </c>
      <c r="AH104" s="38"/>
      <c r="AI104" s="38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8"/>
      <c r="AW104" s="38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8"/>
      <c r="BK104" s="38"/>
    </row>
    <row r="105">
      <c r="A105" s="38" t="s">
        <v>154</v>
      </c>
      <c r="B105" s="38" t="s">
        <v>93</v>
      </c>
      <c r="C105" s="38" t="s">
        <v>154</v>
      </c>
      <c r="D105" s="38"/>
      <c r="E105" s="38"/>
      <c r="F105" s="35">
        <f t="shared" ref="F105:K105" si="170">F33/F$3</f>
        <v>-0.9448391083</v>
      </c>
      <c r="G105" s="35">
        <f t="shared" si="170"/>
        <v>-0.4209660988</v>
      </c>
      <c r="H105" s="35">
        <f t="shared" si="170"/>
        <v>-0.842132917</v>
      </c>
      <c r="I105" s="35">
        <f t="shared" si="170"/>
        <v>-0.954235583</v>
      </c>
      <c r="J105" s="35">
        <f t="shared" si="170"/>
        <v>-0.9249670747</v>
      </c>
      <c r="K105" s="35">
        <f t="shared" si="170"/>
        <v>-0.8830131087</v>
      </c>
      <c r="L105" s="38"/>
      <c r="M105" s="38"/>
      <c r="N105" s="35">
        <f t="shared" ref="N105:S105" si="171">N33/N$3</f>
        <v>-1.330686763</v>
      </c>
      <c r="O105" s="35">
        <f t="shared" si="171"/>
        <v>-1.225543453</v>
      </c>
      <c r="P105" s="35">
        <f t="shared" si="171"/>
        <v>-1.065860912</v>
      </c>
      <c r="Q105" s="35">
        <f t="shared" si="171"/>
        <v>-0.9290471045</v>
      </c>
      <c r="R105" s="35">
        <f t="shared" si="171"/>
        <v>-0.8440876058</v>
      </c>
      <c r="S105" s="35">
        <f t="shared" si="171"/>
        <v>-0.8086406521</v>
      </c>
      <c r="T105" s="38"/>
      <c r="U105" s="38"/>
      <c r="V105" s="35">
        <f t="shared" ref="V105:AG105" si="172">sum(V106:V109)</f>
        <v>-0.185</v>
      </c>
      <c r="W105" s="35">
        <f t="shared" si="172"/>
        <v>-0.185</v>
      </c>
      <c r="X105" s="35">
        <f t="shared" si="172"/>
        <v>-0.185</v>
      </c>
      <c r="Y105" s="35">
        <f t="shared" si="172"/>
        <v>-0.185</v>
      </c>
      <c r="Z105" s="35">
        <f t="shared" si="172"/>
        <v>-0.185</v>
      </c>
      <c r="AA105" s="35">
        <f t="shared" si="172"/>
        <v>-0.185</v>
      </c>
      <c r="AB105" s="35">
        <f t="shared" si="172"/>
        <v>-0.185</v>
      </c>
      <c r="AC105" s="35">
        <f t="shared" si="172"/>
        <v>-0.185</v>
      </c>
      <c r="AD105" s="35">
        <f t="shared" si="172"/>
        <v>-0.185</v>
      </c>
      <c r="AE105" s="35">
        <f t="shared" si="172"/>
        <v>-0.185</v>
      </c>
      <c r="AF105" s="35">
        <f t="shared" si="172"/>
        <v>-0.185</v>
      </c>
      <c r="AG105" s="35">
        <f t="shared" si="172"/>
        <v>-0.185</v>
      </c>
      <c r="AH105" s="38"/>
      <c r="AI105" s="38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8"/>
      <c r="AW105" s="38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8"/>
      <c r="BK105" s="38"/>
    </row>
    <row r="106">
      <c r="A106" s="38"/>
      <c r="B106" s="38"/>
      <c r="C106" s="38" t="s">
        <v>155</v>
      </c>
      <c r="D106" s="38" t="s">
        <v>156</v>
      </c>
      <c r="E106" s="38"/>
      <c r="F106" s="35">
        <f t="shared" ref="F106:K106" si="173">F34/F$3</f>
        <v>-0.9448391083</v>
      </c>
      <c r="G106" s="35">
        <f t="shared" si="173"/>
        <v>-0.4209660988</v>
      </c>
      <c r="H106" s="35">
        <f t="shared" si="173"/>
        <v>-0.842132917</v>
      </c>
      <c r="I106" s="35">
        <f t="shared" si="173"/>
        <v>-0.954235583</v>
      </c>
      <c r="J106" s="35">
        <f t="shared" si="173"/>
        <v>-0.9249670747</v>
      </c>
      <c r="K106" s="35">
        <f t="shared" si="173"/>
        <v>-0.8830131087</v>
      </c>
      <c r="L106" s="38"/>
      <c r="M106" s="38"/>
      <c r="N106" s="35">
        <f t="shared" ref="N106:S106" si="174">N34/N$3</f>
        <v>-1.330686763</v>
      </c>
      <c r="O106" s="35">
        <f t="shared" si="174"/>
        <v>-1.225543453</v>
      </c>
      <c r="P106" s="35">
        <f t="shared" si="174"/>
        <v>-1.065860912</v>
      </c>
      <c r="Q106" s="35">
        <f t="shared" si="174"/>
        <v>-0.9290471045</v>
      </c>
      <c r="R106" s="35">
        <f t="shared" si="174"/>
        <v>-0.8440876058</v>
      </c>
      <c r="S106" s="35">
        <f t="shared" si="174"/>
        <v>-0.8086406521</v>
      </c>
      <c r="T106" s="38"/>
      <c r="U106" s="38"/>
      <c r="V106" s="35">
        <v>-0.12</v>
      </c>
      <c r="W106" s="35">
        <v>-0.12</v>
      </c>
      <c r="X106" s="35">
        <v>-0.12</v>
      </c>
      <c r="Y106" s="35">
        <v>-0.12</v>
      </c>
      <c r="Z106" s="35">
        <v>-0.12</v>
      </c>
      <c r="AA106" s="35">
        <v>-0.12</v>
      </c>
      <c r="AB106" s="35">
        <v>-0.12</v>
      </c>
      <c r="AC106" s="35">
        <v>-0.12</v>
      </c>
      <c r="AD106" s="35">
        <v>-0.12</v>
      </c>
      <c r="AE106" s="35">
        <v>-0.12</v>
      </c>
      <c r="AF106" s="35">
        <v>-0.12</v>
      </c>
      <c r="AG106" s="35">
        <v>-0.12</v>
      </c>
      <c r="AH106" s="38"/>
      <c r="AI106" s="38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8"/>
      <c r="AW106" s="38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8"/>
      <c r="BK106" s="38"/>
    </row>
    <row r="107">
      <c r="A107" s="38"/>
      <c r="B107" s="38"/>
      <c r="C107" s="38" t="s">
        <v>157</v>
      </c>
      <c r="D107" s="38" t="s">
        <v>158</v>
      </c>
      <c r="E107" s="38"/>
      <c r="F107" s="35">
        <f t="shared" ref="F107:K107" si="175">F35/F$3</f>
        <v>-1.476465324</v>
      </c>
      <c r="G107" s="35">
        <f t="shared" si="175"/>
        <v>-0.9205066264</v>
      </c>
      <c r="H107" s="35">
        <f t="shared" si="175"/>
        <v>-1.632107768</v>
      </c>
      <c r="I107" s="35">
        <f t="shared" si="175"/>
        <v>-1.53211677</v>
      </c>
      <c r="J107" s="35">
        <f t="shared" si="175"/>
        <v>-1.419530941</v>
      </c>
      <c r="K107" s="35">
        <f t="shared" si="175"/>
        <v>-0.9604036894</v>
      </c>
      <c r="L107" s="38"/>
      <c r="M107" s="38"/>
      <c r="N107" s="35">
        <f t="shared" ref="N107:S107" si="176">N35/N$3</f>
        <v>-1.971300018</v>
      </c>
      <c r="O107" s="35">
        <f t="shared" si="176"/>
        <v>-1.651604976</v>
      </c>
      <c r="P107" s="35">
        <f t="shared" si="176"/>
        <v>-1.375703026</v>
      </c>
      <c r="Q107" s="35">
        <f t="shared" si="176"/>
        <v>-1.146426678</v>
      </c>
      <c r="R107" s="35">
        <f t="shared" si="176"/>
        <v>-0.9566025207</v>
      </c>
      <c r="S107" s="35">
        <f t="shared" si="176"/>
        <v>-0.8389214252</v>
      </c>
      <c r="T107" s="38"/>
      <c r="U107" s="38"/>
      <c r="V107" s="35">
        <v>-0.025</v>
      </c>
      <c r="W107" s="35">
        <v>-0.025</v>
      </c>
      <c r="X107" s="35">
        <v>-0.025</v>
      </c>
      <c r="Y107" s="35">
        <v>-0.025</v>
      </c>
      <c r="Z107" s="35">
        <v>-0.025</v>
      </c>
      <c r="AA107" s="35">
        <v>-0.025</v>
      </c>
      <c r="AB107" s="35">
        <v>-0.025</v>
      </c>
      <c r="AC107" s="35">
        <v>-0.025</v>
      </c>
      <c r="AD107" s="35">
        <v>-0.025</v>
      </c>
      <c r="AE107" s="35">
        <v>-0.025</v>
      </c>
      <c r="AF107" s="35">
        <v>-0.025</v>
      </c>
      <c r="AG107" s="35">
        <v>-0.025</v>
      </c>
      <c r="AH107" s="38"/>
      <c r="AI107" s="38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8"/>
      <c r="AW107" s="38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8"/>
      <c r="BK107" s="38"/>
    </row>
    <row r="108">
      <c r="A108" s="38"/>
      <c r="B108" s="38"/>
      <c r="C108" s="38" t="s">
        <v>159</v>
      </c>
      <c r="D108" s="38" t="s">
        <v>160</v>
      </c>
      <c r="E108" s="38"/>
      <c r="F108" s="35">
        <f t="shared" ref="F108:K108" si="177">F36/F$3</f>
        <v>-0.0000008831875921</v>
      </c>
      <c r="G108" s="35">
        <f t="shared" si="177"/>
        <v>-0.0000005340245298</v>
      </c>
      <c r="H108" s="35">
        <f t="shared" si="177"/>
        <v>-0.0000009845550689</v>
      </c>
      <c r="I108" s="35">
        <f t="shared" si="177"/>
        <v>-0.0000009262775367</v>
      </c>
      <c r="J108" s="35">
        <f t="shared" si="177"/>
        <v>-0.0000008171072103</v>
      </c>
      <c r="K108" s="35">
        <f t="shared" si="177"/>
        <v>-0.0000005554192141</v>
      </c>
      <c r="L108" s="38"/>
      <c r="M108" s="38"/>
      <c r="N108" s="35">
        <f t="shared" ref="N108:S108" si="178">N36/N$3</f>
        <v>-0.000001059183279</v>
      </c>
      <c r="O108" s="35">
        <f t="shared" si="178"/>
        <v>-0.0000008066048882</v>
      </c>
      <c r="P108" s="35">
        <f t="shared" si="178"/>
        <v>-0.0000006121715045</v>
      </c>
      <c r="Q108" s="35">
        <f t="shared" si="178"/>
        <v>-0.000000467261549</v>
      </c>
      <c r="R108" s="35">
        <f t="shared" si="178"/>
        <v>-0.0000003554688288</v>
      </c>
      <c r="S108" s="35">
        <f t="shared" si="178"/>
        <v>-0.0000002850031901</v>
      </c>
      <c r="T108" s="38"/>
      <c r="U108" s="38"/>
      <c r="V108" s="35">
        <v>-0.015</v>
      </c>
      <c r="W108" s="35">
        <v>-0.015</v>
      </c>
      <c r="X108" s="35">
        <v>-0.015</v>
      </c>
      <c r="Y108" s="35">
        <v>-0.015</v>
      </c>
      <c r="Z108" s="35">
        <v>-0.015</v>
      </c>
      <c r="AA108" s="35">
        <v>-0.015</v>
      </c>
      <c r="AB108" s="35">
        <v>-0.015</v>
      </c>
      <c r="AC108" s="35">
        <v>-0.015</v>
      </c>
      <c r="AD108" s="35">
        <v>-0.015</v>
      </c>
      <c r="AE108" s="35">
        <v>-0.015</v>
      </c>
      <c r="AF108" s="35">
        <v>-0.015</v>
      </c>
      <c r="AG108" s="35">
        <v>-0.015</v>
      </c>
      <c r="AH108" s="38"/>
      <c r="AI108" s="38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8"/>
      <c r="AW108" s="38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8"/>
      <c r="BK108" s="38"/>
    </row>
    <row r="109">
      <c r="A109" s="38"/>
      <c r="B109" s="38"/>
      <c r="C109" s="38" t="s">
        <v>161</v>
      </c>
      <c r="D109" s="38" t="s">
        <v>162</v>
      </c>
      <c r="E109" s="38"/>
      <c r="F109" s="35">
        <f t="shared" ref="F109:K109" si="179">F37/F$3</f>
        <v>-0.004987001614</v>
      </c>
      <c r="G109" s="35">
        <f t="shared" si="179"/>
        <v>-0.004576159878</v>
      </c>
      <c r="H109" s="35">
        <f t="shared" si="179"/>
        <v>-0.004685979643</v>
      </c>
      <c r="I109" s="35">
        <f t="shared" si="179"/>
        <v>-0.004878909929</v>
      </c>
      <c r="J109" s="35">
        <f t="shared" si="179"/>
        <v>-0.003932044871</v>
      </c>
      <c r="K109" s="35">
        <f t="shared" si="179"/>
        <v>0.01223490603</v>
      </c>
      <c r="L109" s="38"/>
      <c r="M109" s="38"/>
      <c r="N109" s="35">
        <f t="shared" ref="N109:S109" si="180">N37/N$3</f>
        <v>0</v>
      </c>
      <c r="O109" s="35">
        <f t="shared" si="180"/>
        <v>0</v>
      </c>
      <c r="P109" s="35">
        <f t="shared" si="180"/>
        <v>0</v>
      </c>
      <c r="Q109" s="35">
        <f t="shared" si="180"/>
        <v>0</v>
      </c>
      <c r="R109" s="35">
        <f t="shared" si="180"/>
        <v>0</v>
      </c>
      <c r="S109" s="35">
        <f t="shared" si="180"/>
        <v>0</v>
      </c>
      <c r="T109" s="38"/>
      <c r="U109" s="38"/>
      <c r="V109" s="35">
        <v>-0.025</v>
      </c>
      <c r="W109" s="35">
        <v>-0.025</v>
      </c>
      <c r="X109" s="35">
        <v>-0.025</v>
      </c>
      <c r="Y109" s="35">
        <v>-0.025</v>
      </c>
      <c r="Z109" s="35">
        <v>-0.025</v>
      </c>
      <c r="AA109" s="35">
        <v>-0.025</v>
      </c>
      <c r="AB109" s="35">
        <v>-0.025</v>
      </c>
      <c r="AC109" s="35">
        <v>-0.025</v>
      </c>
      <c r="AD109" s="35">
        <v>-0.025</v>
      </c>
      <c r="AE109" s="35">
        <v>-0.025</v>
      </c>
      <c r="AF109" s="35">
        <v>-0.025</v>
      </c>
      <c r="AG109" s="35">
        <v>-0.025</v>
      </c>
      <c r="AH109" s="38"/>
      <c r="AI109" s="38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8"/>
      <c r="AW109" s="38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8"/>
      <c r="BK109" s="38"/>
    </row>
    <row r="110">
      <c r="A110" s="38" t="s">
        <v>163</v>
      </c>
      <c r="B110" s="38" t="s">
        <v>93</v>
      </c>
      <c r="C110" s="38" t="s">
        <v>163</v>
      </c>
      <c r="D110" s="38"/>
      <c r="E110" s="38"/>
      <c r="F110" s="62">
        <f t="shared" ref="F110:K110" si="181">F111</f>
        <v>0</v>
      </c>
      <c r="G110" s="62">
        <f t="shared" si="181"/>
        <v>0</v>
      </c>
      <c r="H110" s="62">
        <f t="shared" si="181"/>
        <v>0</v>
      </c>
      <c r="I110" s="62">
        <f t="shared" si="181"/>
        <v>0</v>
      </c>
      <c r="J110" s="62">
        <f t="shared" si="181"/>
        <v>0</v>
      </c>
      <c r="K110" s="62">
        <f t="shared" si="181"/>
        <v>0</v>
      </c>
      <c r="L110" s="38"/>
      <c r="M110" s="38"/>
      <c r="N110" s="62">
        <f t="shared" ref="N110:S110" si="182">N111</f>
        <v>0</v>
      </c>
      <c r="O110" s="62">
        <f t="shared" si="182"/>
        <v>0</v>
      </c>
      <c r="P110" s="62">
        <f t="shared" si="182"/>
        <v>0</v>
      </c>
      <c r="Q110" s="62">
        <f t="shared" si="182"/>
        <v>0</v>
      </c>
      <c r="R110" s="62">
        <f t="shared" si="182"/>
        <v>0</v>
      </c>
      <c r="S110" s="62">
        <f t="shared" si="182"/>
        <v>0</v>
      </c>
      <c r="T110" s="38"/>
      <c r="U110" s="38"/>
      <c r="V110" s="62">
        <f t="shared" ref="V110:AG110" si="183">V111</f>
        <v>-16000</v>
      </c>
      <c r="W110" s="62">
        <f t="shared" si="183"/>
        <v>-16000</v>
      </c>
      <c r="X110" s="62">
        <f t="shared" si="183"/>
        <v>-16000</v>
      </c>
      <c r="Y110" s="62">
        <f t="shared" si="183"/>
        <v>-16000</v>
      </c>
      <c r="Z110" s="62">
        <f t="shared" si="183"/>
        <v>-16000</v>
      </c>
      <c r="AA110" s="62">
        <f t="shared" si="183"/>
        <v>-16000</v>
      </c>
      <c r="AB110" s="62">
        <f t="shared" si="183"/>
        <v>-16000</v>
      </c>
      <c r="AC110" s="62">
        <f t="shared" si="183"/>
        <v>-16000</v>
      </c>
      <c r="AD110" s="62">
        <f t="shared" si="183"/>
        <v>-16000</v>
      </c>
      <c r="AE110" s="62">
        <f t="shared" si="183"/>
        <v>-16000</v>
      </c>
      <c r="AF110" s="62">
        <f t="shared" si="183"/>
        <v>-16000</v>
      </c>
      <c r="AG110" s="62">
        <f t="shared" si="183"/>
        <v>-16000</v>
      </c>
      <c r="AH110" s="38"/>
      <c r="AI110" s="38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38"/>
      <c r="AW110" s="38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38"/>
      <c r="BK110" s="38"/>
    </row>
    <row r="111">
      <c r="A111" s="38"/>
      <c r="B111" s="38"/>
      <c r="C111" s="38" t="s">
        <v>164</v>
      </c>
      <c r="D111" s="38" t="s">
        <v>165</v>
      </c>
      <c r="E111" s="38"/>
      <c r="F111" s="62">
        <f t="shared" ref="F111:K111" si="184">F41/(F74+F84)</f>
        <v>0</v>
      </c>
      <c r="G111" s="62">
        <f t="shared" si="184"/>
        <v>0</v>
      </c>
      <c r="H111" s="62">
        <f t="shared" si="184"/>
        <v>0</v>
      </c>
      <c r="I111" s="62">
        <f t="shared" si="184"/>
        <v>0</v>
      </c>
      <c r="J111" s="62">
        <f t="shared" si="184"/>
        <v>0</v>
      </c>
      <c r="K111" s="62">
        <f t="shared" si="184"/>
        <v>0</v>
      </c>
      <c r="L111" s="57"/>
      <c r="M111" s="57"/>
      <c r="N111" s="62">
        <f t="shared" ref="N111:S111" si="185">N41/(N74+N84)</f>
        <v>0</v>
      </c>
      <c r="O111" s="62">
        <f t="shared" si="185"/>
        <v>0</v>
      </c>
      <c r="P111" s="62">
        <f t="shared" si="185"/>
        <v>0</v>
      </c>
      <c r="Q111" s="62">
        <f t="shared" si="185"/>
        <v>0</v>
      </c>
      <c r="R111" s="62">
        <f t="shared" si="185"/>
        <v>0</v>
      </c>
      <c r="S111" s="62">
        <f t="shared" si="185"/>
        <v>0</v>
      </c>
      <c r="T111" s="38"/>
      <c r="U111" s="38"/>
      <c r="V111" s="62">
        <v>-16000.0</v>
      </c>
      <c r="W111" s="62">
        <v>-16000.0</v>
      </c>
      <c r="X111" s="62">
        <v>-16000.0</v>
      </c>
      <c r="Y111" s="62">
        <v>-16000.0</v>
      </c>
      <c r="Z111" s="62">
        <v>-16000.0</v>
      </c>
      <c r="AA111" s="62">
        <v>-16000.0</v>
      </c>
      <c r="AB111" s="62">
        <v>-16000.0</v>
      </c>
      <c r="AC111" s="62">
        <v>-16000.0</v>
      </c>
      <c r="AD111" s="62">
        <v>-16000.0</v>
      </c>
      <c r="AE111" s="62">
        <v>-16000.0</v>
      </c>
      <c r="AF111" s="62">
        <v>-16000.0</v>
      </c>
      <c r="AG111" s="62">
        <v>-16000.0</v>
      </c>
      <c r="AH111" s="38"/>
      <c r="AI111" s="38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38"/>
      <c r="AW111" s="38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38"/>
      <c r="BK111" s="38"/>
    </row>
    <row r="112">
      <c r="A112" s="38"/>
      <c r="B112" s="38"/>
      <c r="C112" s="38"/>
      <c r="D112" s="54" t="s">
        <v>166</v>
      </c>
      <c r="E112" s="38"/>
      <c r="F112" s="55"/>
      <c r="G112" s="55"/>
      <c r="H112" s="55"/>
      <c r="I112" s="55"/>
      <c r="J112" s="55"/>
      <c r="K112" s="55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</row>
    <row r="113">
      <c r="A113" s="38"/>
      <c r="B113" s="38"/>
      <c r="C113" s="38"/>
      <c r="D113" s="54" t="s">
        <v>167</v>
      </c>
      <c r="E113" s="38"/>
      <c r="F113" s="55"/>
      <c r="G113" s="55"/>
      <c r="H113" s="55"/>
      <c r="I113" s="55"/>
      <c r="J113" s="55"/>
      <c r="K113" s="55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53">
        <v>9000.0</v>
      </c>
      <c r="W113" s="53">
        <v>9000.0</v>
      </c>
      <c r="X113" s="53">
        <v>9000.0</v>
      </c>
      <c r="Y113" s="53">
        <v>9000.0</v>
      </c>
      <c r="Z113" s="53">
        <v>9000.0</v>
      </c>
      <c r="AA113" s="53">
        <v>9000.0</v>
      </c>
      <c r="AB113" s="53">
        <v>9000.0</v>
      </c>
      <c r="AC113" s="53">
        <v>9000.0</v>
      </c>
      <c r="AD113" s="53">
        <v>9000.0</v>
      </c>
      <c r="AE113" s="53">
        <v>9000.0</v>
      </c>
      <c r="AF113" s="53">
        <v>9000.0</v>
      </c>
      <c r="AG113" s="53">
        <v>9000.0</v>
      </c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</row>
    <row r="114">
      <c r="A114" s="38"/>
      <c r="B114" s="38"/>
      <c r="C114" s="38"/>
      <c r="D114" s="38"/>
      <c r="E114" s="38"/>
      <c r="F114" s="55"/>
      <c r="G114" s="55"/>
      <c r="H114" s="55"/>
      <c r="I114" s="55"/>
      <c r="J114" s="55"/>
      <c r="K114" s="55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</row>
    <row r="115">
      <c r="A115" s="38"/>
      <c r="B115" s="38"/>
      <c r="C115" s="38"/>
      <c r="D115" s="38"/>
      <c r="E115" s="38"/>
      <c r="F115" s="55"/>
      <c r="G115" s="55"/>
      <c r="H115" s="55"/>
      <c r="I115" s="55"/>
      <c r="J115" s="55"/>
      <c r="K115" s="55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</row>
    <row r="116">
      <c r="A116" s="38"/>
      <c r="B116" s="38"/>
      <c r="C116" s="38"/>
      <c r="D116" s="38"/>
      <c r="E116" s="38"/>
      <c r="F116" s="55"/>
      <c r="G116" s="55"/>
      <c r="H116" s="55"/>
      <c r="I116" s="55"/>
      <c r="J116" s="55"/>
      <c r="K116" s="55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</row>
    <row r="117">
      <c r="A117" s="38"/>
      <c r="B117" s="38"/>
      <c r="C117" s="38"/>
      <c r="D117" s="38"/>
      <c r="E117" s="38"/>
      <c r="F117" s="55"/>
      <c r="G117" s="55"/>
      <c r="H117" s="55"/>
      <c r="I117" s="55"/>
      <c r="J117" s="55"/>
      <c r="K117" s="55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</row>
    <row r="118">
      <c r="A118" s="38"/>
      <c r="B118" s="38"/>
      <c r="C118" s="38"/>
      <c r="D118" s="38"/>
      <c r="E118" s="38"/>
      <c r="F118" s="55"/>
      <c r="G118" s="55"/>
      <c r="H118" s="55"/>
      <c r="I118" s="55"/>
      <c r="J118" s="55"/>
      <c r="K118" s="55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</row>
    <row r="119">
      <c r="A119" s="38"/>
      <c r="B119" s="38"/>
      <c r="C119" s="38"/>
      <c r="D119" s="38"/>
      <c r="E119" s="38"/>
      <c r="F119" s="55"/>
      <c r="G119" s="55"/>
      <c r="H119" s="55"/>
      <c r="I119" s="55"/>
      <c r="J119" s="55"/>
      <c r="K119" s="55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</row>
    <row r="120">
      <c r="A120" s="38"/>
      <c r="B120" s="38"/>
      <c r="C120" s="38"/>
      <c r="D120" s="38"/>
      <c r="E120" s="38"/>
      <c r="F120" s="55"/>
      <c r="G120" s="55"/>
      <c r="H120" s="55"/>
      <c r="I120" s="55"/>
      <c r="J120" s="55"/>
      <c r="K120" s="55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</row>
    <row r="121">
      <c r="A121" s="38"/>
      <c r="B121" s="38"/>
      <c r="C121" s="38"/>
      <c r="D121" s="38"/>
      <c r="E121" s="38"/>
      <c r="F121" s="55"/>
      <c r="G121" s="55"/>
      <c r="H121" s="55"/>
      <c r="I121" s="55"/>
      <c r="J121" s="55"/>
      <c r="K121" s="55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</row>
    <row r="122">
      <c r="A122" s="38"/>
      <c r="B122" s="38"/>
      <c r="C122" s="38"/>
      <c r="D122" s="38"/>
      <c r="E122" s="38"/>
      <c r="F122" s="55"/>
      <c r="G122" s="55"/>
      <c r="H122" s="55"/>
      <c r="I122" s="55"/>
      <c r="J122" s="55"/>
      <c r="K122" s="55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</row>
    <row r="123">
      <c r="A123" s="38"/>
      <c r="B123" s="38"/>
      <c r="C123" s="38"/>
      <c r="D123" s="38"/>
      <c r="E123" s="38"/>
      <c r="F123" s="55"/>
      <c r="G123" s="55"/>
      <c r="H123" s="55"/>
      <c r="I123" s="55"/>
      <c r="J123" s="55"/>
      <c r="K123" s="55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</row>
    <row r="124">
      <c r="A124" s="38"/>
      <c r="B124" s="38"/>
      <c r="C124" s="38"/>
      <c r="D124" s="38"/>
      <c r="E124" s="38"/>
      <c r="F124" s="55"/>
      <c r="G124" s="55"/>
      <c r="H124" s="55"/>
      <c r="I124" s="55"/>
      <c r="J124" s="55"/>
      <c r="K124" s="55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</row>
    <row r="125">
      <c r="A125" s="38"/>
      <c r="B125" s="38"/>
      <c r="C125" s="38"/>
      <c r="D125" s="38"/>
      <c r="E125" s="38"/>
      <c r="F125" s="55"/>
      <c r="G125" s="55"/>
      <c r="H125" s="55"/>
      <c r="I125" s="55"/>
      <c r="J125" s="55"/>
      <c r="K125" s="55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</row>
    <row r="126">
      <c r="A126" s="38"/>
      <c r="B126" s="38"/>
      <c r="C126" s="38"/>
      <c r="D126" s="38"/>
      <c r="E126" s="38"/>
      <c r="F126" s="55"/>
      <c r="G126" s="55"/>
      <c r="H126" s="55"/>
      <c r="I126" s="55"/>
      <c r="J126" s="55"/>
      <c r="K126" s="55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</row>
    <row r="127">
      <c r="A127" s="38"/>
      <c r="B127" s="38"/>
      <c r="C127" s="38"/>
      <c r="D127" s="38"/>
      <c r="E127" s="38"/>
      <c r="F127" s="55"/>
      <c r="G127" s="55"/>
      <c r="H127" s="55"/>
      <c r="I127" s="55"/>
      <c r="J127" s="55"/>
      <c r="K127" s="55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</row>
    <row r="128">
      <c r="A128" s="38"/>
      <c r="B128" s="38"/>
      <c r="C128" s="38"/>
      <c r="D128" s="38"/>
      <c r="E128" s="38"/>
      <c r="F128" s="55"/>
      <c r="G128" s="55"/>
      <c r="H128" s="55"/>
      <c r="I128" s="55"/>
      <c r="J128" s="55"/>
      <c r="K128" s="55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</row>
    <row r="129">
      <c r="A129" s="38"/>
      <c r="B129" s="38"/>
      <c r="C129" s="38"/>
      <c r="D129" s="38"/>
      <c r="E129" s="38"/>
      <c r="F129" s="55"/>
      <c r="G129" s="55"/>
      <c r="H129" s="55"/>
      <c r="I129" s="55"/>
      <c r="J129" s="55"/>
      <c r="K129" s="55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</row>
    <row r="130">
      <c r="A130" s="38"/>
      <c r="B130" s="38"/>
      <c r="C130" s="38"/>
      <c r="D130" s="38"/>
      <c r="E130" s="38"/>
      <c r="F130" s="55"/>
      <c r="G130" s="55"/>
      <c r="H130" s="55"/>
      <c r="I130" s="55"/>
      <c r="J130" s="55"/>
      <c r="K130" s="55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</row>
    <row r="131">
      <c r="A131" s="38"/>
      <c r="B131" s="38"/>
      <c r="C131" s="38"/>
      <c r="D131" s="38"/>
      <c r="E131" s="38"/>
      <c r="F131" s="55"/>
      <c r="G131" s="55"/>
      <c r="H131" s="55"/>
      <c r="I131" s="55"/>
      <c r="J131" s="55"/>
      <c r="K131" s="55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</row>
    <row r="132">
      <c r="A132" s="38"/>
      <c r="B132" s="38"/>
      <c r="C132" s="38"/>
      <c r="D132" s="38"/>
      <c r="E132" s="38"/>
      <c r="F132" s="55"/>
      <c r="G132" s="55"/>
      <c r="H132" s="55"/>
      <c r="I132" s="55"/>
      <c r="J132" s="55"/>
      <c r="K132" s="55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</row>
    <row r="133">
      <c r="A133" s="38"/>
      <c r="B133" s="38"/>
      <c r="C133" s="38"/>
      <c r="D133" s="38"/>
      <c r="E133" s="38"/>
      <c r="F133" s="55"/>
      <c r="G133" s="55"/>
      <c r="H133" s="55"/>
      <c r="I133" s="55"/>
      <c r="J133" s="55"/>
      <c r="K133" s="55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</row>
    <row r="134">
      <c r="A134" s="38"/>
      <c r="B134" s="38"/>
      <c r="C134" s="38"/>
      <c r="D134" s="38"/>
      <c r="E134" s="38"/>
      <c r="F134" s="55"/>
      <c r="G134" s="55"/>
      <c r="H134" s="55"/>
      <c r="I134" s="55"/>
      <c r="J134" s="55"/>
      <c r="K134" s="55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</row>
    <row r="135">
      <c r="A135" s="38"/>
      <c r="B135" s="38"/>
      <c r="C135" s="38"/>
      <c r="D135" s="38"/>
      <c r="E135" s="38"/>
      <c r="F135" s="55"/>
      <c r="G135" s="55"/>
      <c r="H135" s="55"/>
      <c r="I135" s="55"/>
      <c r="J135" s="55"/>
      <c r="K135" s="55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</row>
    <row r="136">
      <c r="A136" s="38"/>
      <c r="B136" s="38"/>
      <c r="C136" s="38"/>
      <c r="D136" s="38"/>
      <c r="E136" s="38"/>
      <c r="F136" s="55"/>
      <c r="G136" s="55"/>
      <c r="H136" s="55"/>
      <c r="I136" s="55"/>
      <c r="J136" s="55"/>
      <c r="K136" s="55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</row>
    <row r="137">
      <c r="A137" s="38"/>
      <c r="B137" s="38"/>
      <c r="C137" s="38"/>
      <c r="D137" s="38"/>
      <c r="E137" s="38"/>
      <c r="F137" s="55"/>
      <c r="G137" s="55"/>
      <c r="H137" s="55"/>
      <c r="I137" s="55"/>
      <c r="J137" s="55"/>
      <c r="K137" s="55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</row>
    <row r="138">
      <c r="A138" s="38"/>
      <c r="B138" s="38"/>
      <c r="C138" s="38"/>
      <c r="D138" s="38"/>
      <c r="E138" s="38"/>
      <c r="F138" s="55"/>
      <c r="G138" s="55"/>
      <c r="H138" s="55"/>
      <c r="I138" s="55"/>
      <c r="J138" s="55"/>
      <c r="K138" s="55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</row>
    <row r="139">
      <c r="A139" s="38"/>
      <c r="B139" s="38"/>
      <c r="C139" s="38"/>
      <c r="D139" s="38"/>
      <c r="E139" s="38"/>
      <c r="F139" s="55"/>
      <c r="G139" s="55"/>
      <c r="H139" s="55"/>
      <c r="I139" s="55"/>
      <c r="J139" s="55"/>
      <c r="K139" s="55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</row>
    <row r="140">
      <c r="A140" s="38"/>
      <c r="B140" s="38"/>
      <c r="C140" s="38"/>
      <c r="D140" s="38"/>
      <c r="E140" s="38"/>
      <c r="F140" s="55"/>
      <c r="G140" s="55"/>
      <c r="H140" s="55"/>
      <c r="I140" s="55"/>
      <c r="J140" s="55"/>
      <c r="K140" s="55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</row>
    <row r="141">
      <c r="A141" s="38"/>
      <c r="B141" s="38"/>
      <c r="C141" s="38"/>
      <c r="D141" s="38"/>
      <c r="E141" s="38"/>
      <c r="F141" s="55"/>
      <c r="G141" s="55"/>
      <c r="H141" s="55"/>
      <c r="I141" s="55"/>
      <c r="J141" s="55"/>
      <c r="K141" s="55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</row>
    <row r="142">
      <c r="A142" s="38"/>
      <c r="B142" s="38"/>
      <c r="C142" s="38"/>
      <c r="D142" s="38"/>
      <c r="E142" s="38"/>
      <c r="F142" s="55"/>
      <c r="G142" s="55"/>
      <c r="H142" s="55"/>
      <c r="I142" s="55"/>
      <c r="J142" s="55"/>
      <c r="K142" s="55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</row>
    <row r="143">
      <c r="A143" s="38"/>
      <c r="B143" s="38"/>
      <c r="C143" s="38"/>
      <c r="D143" s="38"/>
      <c r="E143" s="38"/>
      <c r="F143" s="55"/>
      <c r="G143" s="55"/>
      <c r="H143" s="55"/>
      <c r="I143" s="55"/>
      <c r="J143" s="55"/>
      <c r="K143" s="55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</row>
    <row r="144">
      <c r="A144" s="38"/>
      <c r="B144" s="38"/>
      <c r="C144" s="38"/>
      <c r="D144" s="38"/>
      <c r="E144" s="38"/>
      <c r="F144" s="55"/>
      <c r="G144" s="55"/>
      <c r="H144" s="55"/>
      <c r="I144" s="55"/>
      <c r="J144" s="55"/>
      <c r="K144" s="55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</row>
    <row r="145">
      <c r="A145" s="38"/>
      <c r="B145" s="38"/>
      <c r="C145" s="38"/>
      <c r="D145" s="38"/>
      <c r="E145" s="38"/>
      <c r="F145" s="55"/>
      <c r="G145" s="55"/>
      <c r="H145" s="55"/>
      <c r="I145" s="55"/>
      <c r="J145" s="55"/>
      <c r="K145" s="55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</row>
    <row r="146">
      <c r="A146" s="38"/>
      <c r="B146" s="38"/>
      <c r="C146" s="38"/>
      <c r="D146" s="38"/>
      <c r="E146" s="38"/>
      <c r="F146" s="55"/>
      <c r="G146" s="55"/>
      <c r="H146" s="55"/>
      <c r="I146" s="55"/>
      <c r="J146" s="55"/>
      <c r="K146" s="55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</row>
    <row r="147">
      <c r="A147" s="38"/>
      <c r="B147" s="38"/>
      <c r="C147" s="38"/>
      <c r="D147" s="38"/>
      <c r="E147" s="38"/>
      <c r="F147" s="55"/>
      <c r="G147" s="55"/>
      <c r="H147" s="55"/>
      <c r="I147" s="55"/>
      <c r="J147" s="55"/>
      <c r="K147" s="55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</row>
    <row r="148">
      <c r="A148" s="38"/>
      <c r="B148" s="38"/>
      <c r="C148" s="38"/>
      <c r="D148" s="38"/>
      <c r="E148" s="38"/>
      <c r="F148" s="55"/>
      <c r="G148" s="55"/>
      <c r="H148" s="55"/>
      <c r="I148" s="55"/>
      <c r="J148" s="55"/>
      <c r="K148" s="55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</row>
    <row r="149">
      <c r="A149" s="38"/>
      <c r="B149" s="38"/>
      <c r="C149" s="38"/>
      <c r="D149" s="38"/>
      <c r="E149" s="38"/>
      <c r="F149" s="55"/>
      <c r="G149" s="55"/>
      <c r="H149" s="55"/>
      <c r="I149" s="55"/>
      <c r="J149" s="55"/>
      <c r="K149" s="55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</row>
    <row r="150">
      <c r="A150" s="38"/>
      <c r="B150" s="38"/>
      <c r="C150" s="38"/>
      <c r="D150" s="38"/>
      <c r="E150" s="38"/>
      <c r="F150" s="55"/>
      <c r="G150" s="55"/>
      <c r="H150" s="55"/>
      <c r="I150" s="55"/>
      <c r="J150" s="55"/>
      <c r="K150" s="55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</row>
    <row r="151">
      <c r="A151" s="38"/>
      <c r="B151" s="38"/>
      <c r="C151" s="38"/>
      <c r="D151" s="38"/>
      <c r="E151" s="38"/>
      <c r="F151" s="55"/>
      <c r="G151" s="55"/>
      <c r="H151" s="55"/>
      <c r="I151" s="55"/>
      <c r="J151" s="55"/>
      <c r="K151" s="55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</row>
    <row r="152">
      <c r="A152" s="38"/>
      <c r="B152" s="38"/>
      <c r="C152" s="38"/>
      <c r="D152" s="38"/>
      <c r="E152" s="38"/>
      <c r="F152" s="55"/>
      <c r="G152" s="55"/>
      <c r="H152" s="55"/>
      <c r="I152" s="55"/>
      <c r="J152" s="55"/>
      <c r="K152" s="55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</row>
    <row r="153">
      <c r="A153" s="38"/>
      <c r="B153" s="38"/>
      <c r="C153" s="38"/>
      <c r="D153" s="38"/>
      <c r="E153" s="38"/>
      <c r="F153" s="55"/>
      <c r="G153" s="55"/>
      <c r="H153" s="55"/>
      <c r="I153" s="55"/>
      <c r="J153" s="55"/>
      <c r="K153" s="55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</row>
    <row r="154">
      <c r="A154" s="38"/>
      <c r="B154" s="38"/>
      <c r="C154" s="38"/>
      <c r="D154" s="38"/>
      <c r="E154" s="38"/>
      <c r="F154" s="55"/>
      <c r="G154" s="55"/>
      <c r="H154" s="55"/>
      <c r="I154" s="55"/>
      <c r="J154" s="55"/>
      <c r="K154" s="55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</row>
    <row r="155">
      <c r="A155" s="38"/>
      <c r="B155" s="38"/>
      <c r="C155" s="38"/>
      <c r="D155" s="38"/>
      <c r="E155" s="38"/>
      <c r="F155" s="55"/>
      <c r="G155" s="55"/>
      <c r="H155" s="55"/>
      <c r="I155" s="55"/>
      <c r="J155" s="55"/>
      <c r="K155" s="55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</row>
    <row r="156">
      <c r="A156" s="38"/>
      <c r="B156" s="38"/>
      <c r="C156" s="38"/>
      <c r="D156" s="38"/>
      <c r="E156" s="38"/>
      <c r="F156" s="55"/>
      <c r="G156" s="55"/>
      <c r="H156" s="55"/>
      <c r="I156" s="55"/>
      <c r="J156" s="55"/>
      <c r="K156" s="55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</row>
    <row r="157">
      <c r="A157" s="38"/>
      <c r="B157" s="38"/>
      <c r="C157" s="38"/>
      <c r="D157" s="38"/>
      <c r="E157" s="38"/>
      <c r="F157" s="55"/>
      <c r="G157" s="55"/>
      <c r="H157" s="55"/>
      <c r="I157" s="55"/>
      <c r="J157" s="55"/>
      <c r="K157" s="55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</row>
    <row r="158">
      <c r="A158" s="38"/>
      <c r="B158" s="38"/>
      <c r="C158" s="38"/>
      <c r="D158" s="38"/>
      <c r="E158" s="38"/>
      <c r="F158" s="55"/>
      <c r="G158" s="55"/>
      <c r="H158" s="55"/>
      <c r="I158" s="55"/>
      <c r="J158" s="55"/>
      <c r="K158" s="55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</row>
    <row r="159">
      <c r="A159" s="38"/>
      <c r="B159" s="38"/>
      <c r="C159" s="38"/>
      <c r="D159" s="38"/>
      <c r="E159" s="38"/>
      <c r="F159" s="55"/>
      <c r="G159" s="55"/>
      <c r="H159" s="55"/>
      <c r="I159" s="55"/>
      <c r="J159" s="55"/>
      <c r="K159" s="55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</row>
    <row r="160">
      <c r="A160" s="38"/>
      <c r="B160" s="38"/>
      <c r="C160" s="38"/>
      <c r="D160" s="38"/>
      <c r="E160" s="38"/>
      <c r="F160" s="55"/>
      <c r="G160" s="55"/>
      <c r="H160" s="55"/>
      <c r="I160" s="55"/>
      <c r="J160" s="55"/>
      <c r="K160" s="55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</row>
    <row r="161">
      <c r="A161" s="38"/>
      <c r="B161" s="38"/>
      <c r="C161" s="38"/>
      <c r="D161" s="38"/>
      <c r="E161" s="38"/>
      <c r="F161" s="55"/>
      <c r="G161" s="55"/>
      <c r="H161" s="55"/>
      <c r="I161" s="55"/>
      <c r="J161" s="55"/>
      <c r="K161" s="55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</row>
    <row r="162">
      <c r="A162" s="38"/>
      <c r="B162" s="38"/>
      <c r="C162" s="38"/>
      <c r="D162" s="38"/>
      <c r="E162" s="38"/>
      <c r="F162" s="55"/>
      <c r="G162" s="55"/>
      <c r="H162" s="55"/>
      <c r="I162" s="55"/>
      <c r="J162" s="55"/>
      <c r="K162" s="55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</row>
    <row r="163">
      <c r="A163" s="38"/>
      <c r="B163" s="38"/>
      <c r="C163" s="38"/>
      <c r="D163" s="38"/>
      <c r="E163" s="38"/>
      <c r="F163" s="55"/>
      <c r="G163" s="55"/>
      <c r="H163" s="55"/>
      <c r="I163" s="55"/>
      <c r="J163" s="55"/>
      <c r="K163" s="55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</row>
    <row r="164">
      <c r="A164" s="38"/>
      <c r="B164" s="38"/>
      <c r="C164" s="38"/>
      <c r="D164" s="38"/>
      <c r="E164" s="38"/>
      <c r="F164" s="55"/>
      <c r="G164" s="55"/>
      <c r="H164" s="55"/>
      <c r="I164" s="55"/>
      <c r="J164" s="55"/>
      <c r="K164" s="55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</row>
    <row r="165">
      <c r="A165" s="38"/>
      <c r="B165" s="38"/>
      <c r="C165" s="38"/>
      <c r="D165" s="38"/>
      <c r="E165" s="38"/>
      <c r="F165" s="55"/>
      <c r="G165" s="55"/>
      <c r="H165" s="55"/>
      <c r="I165" s="55"/>
      <c r="J165" s="55"/>
      <c r="K165" s="55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</row>
    <row r="166">
      <c r="A166" s="38"/>
      <c r="B166" s="38"/>
      <c r="C166" s="38"/>
      <c r="D166" s="38"/>
      <c r="E166" s="38"/>
      <c r="F166" s="55"/>
      <c r="G166" s="55"/>
      <c r="H166" s="55"/>
      <c r="I166" s="55"/>
      <c r="J166" s="55"/>
      <c r="K166" s="55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</row>
    <row r="167">
      <c r="A167" s="38"/>
      <c r="B167" s="38"/>
      <c r="C167" s="38"/>
      <c r="D167" s="38"/>
      <c r="E167" s="38"/>
      <c r="F167" s="55"/>
      <c r="G167" s="55"/>
      <c r="H167" s="55"/>
      <c r="I167" s="55"/>
      <c r="J167" s="55"/>
      <c r="K167" s="55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</row>
    <row r="168">
      <c r="A168" s="38"/>
      <c r="B168" s="38"/>
      <c r="C168" s="38"/>
      <c r="D168" s="38"/>
      <c r="E168" s="38"/>
      <c r="F168" s="55"/>
      <c r="G168" s="55"/>
      <c r="H168" s="55"/>
      <c r="I168" s="55"/>
      <c r="J168" s="55"/>
      <c r="K168" s="55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</row>
    <row r="169">
      <c r="A169" s="38"/>
      <c r="B169" s="38"/>
      <c r="C169" s="38"/>
      <c r="D169" s="38"/>
      <c r="E169" s="38"/>
      <c r="F169" s="55"/>
      <c r="G169" s="55"/>
      <c r="H169" s="55"/>
      <c r="I169" s="55"/>
      <c r="J169" s="55"/>
      <c r="K169" s="55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</row>
    <row r="170">
      <c r="A170" s="38"/>
      <c r="B170" s="38"/>
      <c r="C170" s="38"/>
      <c r="D170" s="38"/>
      <c r="E170" s="38"/>
      <c r="F170" s="55"/>
      <c r="G170" s="55"/>
      <c r="H170" s="55"/>
      <c r="I170" s="55"/>
      <c r="J170" s="55"/>
      <c r="K170" s="55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</row>
    <row r="171">
      <c r="A171" s="38"/>
      <c r="B171" s="38"/>
      <c r="C171" s="38"/>
      <c r="D171" s="38"/>
      <c r="E171" s="38"/>
      <c r="F171" s="55"/>
      <c r="G171" s="55"/>
      <c r="H171" s="55"/>
      <c r="I171" s="55"/>
      <c r="J171" s="55"/>
      <c r="K171" s="55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</row>
    <row r="172">
      <c r="A172" s="38"/>
      <c r="B172" s="38"/>
      <c r="C172" s="38"/>
      <c r="D172" s="38"/>
      <c r="E172" s="38"/>
      <c r="F172" s="55"/>
      <c r="G172" s="55"/>
      <c r="H172" s="55"/>
      <c r="I172" s="55"/>
      <c r="J172" s="55"/>
      <c r="K172" s="55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</row>
    <row r="173">
      <c r="A173" s="38"/>
      <c r="B173" s="38"/>
      <c r="C173" s="38"/>
      <c r="D173" s="38"/>
      <c r="E173" s="38"/>
      <c r="F173" s="55"/>
      <c r="G173" s="55"/>
      <c r="H173" s="55"/>
      <c r="I173" s="55"/>
      <c r="J173" s="55"/>
      <c r="K173" s="55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</row>
    <row r="174">
      <c r="A174" s="38"/>
      <c r="B174" s="38"/>
      <c r="C174" s="38"/>
      <c r="D174" s="38"/>
      <c r="E174" s="38"/>
      <c r="F174" s="55"/>
      <c r="G174" s="55"/>
      <c r="H174" s="55"/>
      <c r="I174" s="55"/>
      <c r="J174" s="55"/>
      <c r="K174" s="55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</row>
    <row r="175">
      <c r="A175" s="38"/>
      <c r="B175" s="38"/>
      <c r="C175" s="38"/>
      <c r="D175" s="38"/>
      <c r="E175" s="38"/>
      <c r="F175" s="55"/>
      <c r="G175" s="55"/>
      <c r="H175" s="55"/>
      <c r="I175" s="55"/>
      <c r="J175" s="55"/>
      <c r="K175" s="55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</row>
    <row r="176">
      <c r="A176" s="38"/>
      <c r="B176" s="38"/>
      <c r="C176" s="38"/>
      <c r="D176" s="38"/>
      <c r="E176" s="38"/>
      <c r="F176" s="55"/>
      <c r="G176" s="55"/>
      <c r="H176" s="55"/>
      <c r="I176" s="55"/>
      <c r="J176" s="55"/>
      <c r="K176" s="55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</row>
    <row r="177">
      <c r="A177" s="38"/>
      <c r="B177" s="38"/>
      <c r="C177" s="38"/>
      <c r="D177" s="38"/>
      <c r="E177" s="38"/>
      <c r="F177" s="55"/>
      <c r="G177" s="55"/>
      <c r="H177" s="55"/>
      <c r="I177" s="55"/>
      <c r="J177" s="55"/>
      <c r="K177" s="55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</row>
    <row r="178">
      <c r="A178" s="38"/>
      <c r="B178" s="38"/>
      <c r="C178" s="38"/>
      <c r="D178" s="38"/>
      <c r="E178" s="38"/>
      <c r="F178" s="55"/>
      <c r="G178" s="55"/>
      <c r="H178" s="55"/>
      <c r="I178" s="55"/>
      <c r="J178" s="55"/>
      <c r="K178" s="55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</row>
    <row r="179">
      <c r="A179" s="38"/>
      <c r="B179" s="38"/>
      <c r="C179" s="38"/>
      <c r="D179" s="38"/>
      <c r="E179" s="38"/>
      <c r="F179" s="55"/>
      <c r="G179" s="55"/>
      <c r="H179" s="55"/>
      <c r="I179" s="55"/>
      <c r="J179" s="55"/>
      <c r="K179" s="55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</row>
    <row r="180">
      <c r="A180" s="38"/>
      <c r="B180" s="38"/>
      <c r="C180" s="38"/>
      <c r="D180" s="38"/>
      <c r="E180" s="38"/>
      <c r="F180" s="55"/>
      <c r="G180" s="55"/>
      <c r="H180" s="55"/>
      <c r="I180" s="55"/>
      <c r="J180" s="55"/>
      <c r="K180" s="55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</row>
    <row r="181">
      <c r="A181" s="38"/>
      <c r="B181" s="38"/>
      <c r="C181" s="38"/>
      <c r="D181" s="38"/>
      <c r="E181" s="38"/>
      <c r="F181" s="55"/>
      <c r="G181" s="55"/>
      <c r="H181" s="55"/>
      <c r="I181" s="55"/>
      <c r="J181" s="55"/>
      <c r="K181" s="55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</row>
    <row r="182">
      <c r="A182" s="38"/>
      <c r="B182" s="38"/>
      <c r="C182" s="38"/>
      <c r="D182" s="38"/>
      <c r="E182" s="38"/>
      <c r="F182" s="55"/>
      <c r="G182" s="55"/>
      <c r="H182" s="55"/>
      <c r="I182" s="55"/>
      <c r="J182" s="55"/>
      <c r="K182" s="55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</row>
    <row r="183">
      <c r="A183" s="38"/>
      <c r="B183" s="38"/>
      <c r="C183" s="38"/>
      <c r="D183" s="38"/>
      <c r="E183" s="38"/>
      <c r="F183" s="55"/>
      <c r="G183" s="55"/>
      <c r="H183" s="55"/>
      <c r="I183" s="55"/>
      <c r="J183" s="55"/>
      <c r="K183" s="55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</row>
    <row r="184">
      <c r="A184" s="38"/>
      <c r="B184" s="38"/>
      <c r="C184" s="38"/>
      <c r="D184" s="38"/>
      <c r="E184" s="38"/>
      <c r="F184" s="55"/>
      <c r="G184" s="55"/>
      <c r="H184" s="55"/>
      <c r="I184" s="55"/>
      <c r="J184" s="55"/>
      <c r="K184" s="55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</row>
    <row r="185">
      <c r="A185" s="38"/>
      <c r="B185" s="38"/>
      <c r="C185" s="38"/>
      <c r="D185" s="38"/>
      <c r="E185" s="38"/>
      <c r="F185" s="55"/>
      <c r="G185" s="55"/>
      <c r="H185" s="55"/>
      <c r="I185" s="55"/>
      <c r="J185" s="55"/>
      <c r="K185" s="55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</row>
    <row r="186">
      <c r="A186" s="38"/>
      <c r="B186" s="38"/>
      <c r="C186" s="38"/>
      <c r="D186" s="38"/>
      <c r="E186" s="38"/>
      <c r="F186" s="55"/>
      <c r="G186" s="55"/>
      <c r="H186" s="55"/>
      <c r="I186" s="55"/>
      <c r="J186" s="55"/>
      <c r="K186" s="55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</row>
    <row r="187">
      <c r="A187" s="38"/>
      <c r="B187" s="38"/>
      <c r="C187" s="38"/>
      <c r="D187" s="38"/>
      <c r="E187" s="38"/>
      <c r="F187" s="55"/>
      <c r="G187" s="55"/>
      <c r="H187" s="55"/>
      <c r="I187" s="55"/>
      <c r="J187" s="55"/>
      <c r="K187" s="55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</row>
    <row r="188">
      <c r="A188" s="38"/>
      <c r="B188" s="38"/>
      <c r="C188" s="38"/>
      <c r="D188" s="38"/>
      <c r="E188" s="38"/>
      <c r="F188" s="55"/>
      <c r="G188" s="55"/>
      <c r="H188" s="55"/>
      <c r="I188" s="55"/>
      <c r="J188" s="55"/>
      <c r="K188" s="55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</row>
    <row r="189">
      <c r="A189" s="38"/>
      <c r="B189" s="38"/>
      <c r="C189" s="38"/>
      <c r="D189" s="38"/>
      <c r="E189" s="38"/>
      <c r="F189" s="55"/>
      <c r="G189" s="55"/>
      <c r="H189" s="55"/>
      <c r="I189" s="55"/>
      <c r="J189" s="55"/>
      <c r="K189" s="55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</row>
    <row r="190">
      <c r="A190" s="38"/>
      <c r="B190" s="38"/>
      <c r="C190" s="38"/>
      <c r="D190" s="38"/>
      <c r="E190" s="38"/>
      <c r="F190" s="55"/>
      <c r="G190" s="55"/>
      <c r="H190" s="55"/>
      <c r="I190" s="55"/>
      <c r="J190" s="55"/>
      <c r="K190" s="55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</row>
    <row r="191">
      <c r="A191" s="38"/>
      <c r="B191" s="38"/>
      <c r="C191" s="38"/>
      <c r="D191" s="38"/>
      <c r="E191" s="38"/>
      <c r="F191" s="55"/>
      <c r="G191" s="55"/>
      <c r="H191" s="55"/>
      <c r="I191" s="55"/>
      <c r="J191" s="55"/>
      <c r="K191" s="55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</row>
    <row r="192">
      <c r="A192" s="38"/>
      <c r="B192" s="38"/>
      <c r="C192" s="38"/>
      <c r="D192" s="38"/>
      <c r="E192" s="38"/>
      <c r="F192" s="55"/>
      <c r="G192" s="55"/>
      <c r="H192" s="55"/>
      <c r="I192" s="55"/>
      <c r="J192" s="55"/>
      <c r="K192" s="55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</row>
    <row r="193">
      <c r="A193" s="38"/>
      <c r="B193" s="38"/>
      <c r="C193" s="38"/>
      <c r="D193" s="38"/>
      <c r="E193" s="38"/>
      <c r="F193" s="55"/>
      <c r="G193" s="55"/>
      <c r="H193" s="55"/>
      <c r="I193" s="55"/>
      <c r="J193" s="55"/>
      <c r="K193" s="55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</row>
    <row r="194">
      <c r="A194" s="38"/>
      <c r="B194" s="38"/>
      <c r="C194" s="38"/>
      <c r="D194" s="38"/>
      <c r="E194" s="38"/>
      <c r="F194" s="55"/>
      <c r="G194" s="55"/>
      <c r="H194" s="55"/>
      <c r="I194" s="55"/>
      <c r="J194" s="55"/>
      <c r="K194" s="55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</row>
    <row r="195">
      <c r="A195" s="38"/>
      <c r="B195" s="38"/>
      <c r="C195" s="38"/>
      <c r="D195" s="38"/>
      <c r="E195" s="38"/>
      <c r="F195" s="55"/>
      <c r="G195" s="55"/>
      <c r="H195" s="55"/>
      <c r="I195" s="55"/>
      <c r="J195" s="55"/>
      <c r="K195" s="55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</row>
    <row r="196">
      <c r="A196" s="38"/>
      <c r="B196" s="38"/>
      <c r="C196" s="38"/>
      <c r="D196" s="38"/>
      <c r="E196" s="38"/>
      <c r="F196" s="55"/>
      <c r="G196" s="55"/>
      <c r="H196" s="55"/>
      <c r="I196" s="55"/>
      <c r="J196" s="55"/>
      <c r="K196" s="55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</row>
    <row r="197">
      <c r="A197" s="38"/>
      <c r="B197" s="38"/>
      <c r="C197" s="38"/>
      <c r="D197" s="38"/>
      <c r="E197" s="38"/>
      <c r="F197" s="55"/>
      <c r="G197" s="55"/>
      <c r="H197" s="55"/>
      <c r="I197" s="55"/>
      <c r="J197" s="55"/>
      <c r="K197" s="55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</row>
    <row r="198">
      <c r="A198" s="38"/>
      <c r="B198" s="38"/>
      <c r="C198" s="38"/>
      <c r="D198" s="38"/>
      <c r="E198" s="38"/>
      <c r="F198" s="55"/>
      <c r="G198" s="55"/>
      <c r="H198" s="55"/>
      <c r="I198" s="55"/>
      <c r="J198" s="55"/>
      <c r="K198" s="55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</row>
    <row r="199">
      <c r="A199" s="38"/>
      <c r="B199" s="38"/>
      <c r="C199" s="38"/>
      <c r="D199" s="38"/>
      <c r="E199" s="38"/>
      <c r="F199" s="55"/>
      <c r="G199" s="55"/>
      <c r="H199" s="55"/>
      <c r="I199" s="55"/>
      <c r="J199" s="55"/>
      <c r="K199" s="55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</row>
    <row r="200">
      <c r="A200" s="38"/>
      <c r="B200" s="38"/>
      <c r="C200" s="38"/>
      <c r="D200" s="38"/>
      <c r="E200" s="38"/>
      <c r="F200" s="55"/>
      <c r="G200" s="55"/>
      <c r="H200" s="55"/>
      <c r="I200" s="55"/>
      <c r="J200" s="55"/>
      <c r="K200" s="55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</row>
    <row r="201">
      <c r="A201" s="38"/>
      <c r="B201" s="38"/>
      <c r="C201" s="38"/>
      <c r="D201" s="38"/>
      <c r="E201" s="38"/>
      <c r="F201" s="55"/>
      <c r="G201" s="55"/>
      <c r="H201" s="55"/>
      <c r="I201" s="55"/>
      <c r="J201" s="55"/>
      <c r="K201" s="55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</row>
    <row r="202">
      <c r="A202" s="38"/>
      <c r="B202" s="38"/>
      <c r="C202" s="38"/>
      <c r="D202" s="38"/>
      <c r="E202" s="38"/>
      <c r="F202" s="55"/>
      <c r="G202" s="55"/>
      <c r="H202" s="55"/>
      <c r="I202" s="55"/>
      <c r="J202" s="55"/>
      <c r="K202" s="55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</row>
    <row r="203">
      <c r="A203" s="38"/>
      <c r="B203" s="38"/>
      <c r="C203" s="38"/>
      <c r="D203" s="38"/>
      <c r="E203" s="38"/>
      <c r="F203" s="55"/>
      <c r="G203" s="55"/>
      <c r="H203" s="55"/>
      <c r="I203" s="55"/>
      <c r="J203" s="55"/>
      <c r="K203" s="55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</row>
    <row r="204">
      <c r="A204" s="38"/>
      <c r="B204" s="38"/>
      <c r="C204" s="38"/>
      <c r="D204" s="38"/>
      <c r="E204" s="38"/>
      <c r="F204" s="55"/>
      <c r="G204" s="55"/>
      <c r="H204" s="55"/>
      <c r="I204" s="55"/>
      <c r="J204" s="55"/>
      <c r="K204" s="55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</row>
    <row r="205">
      <c r="A205" s="38"/>
      <c r="B205" s="38"/>
      <c r="C205" s="38"/>
      <c r="D205" s="38"/>
      <c r="E205" s="38"/>
      <c r="F205" s="55"/>
      <c r="G205" s="55"/>
      <c r="H205" s="55"/>
      <c r="I205" s="55"/>
      <c r="J205" s="55"/>
      <c r="K205" s="55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</row>
    <row r="206">
      <c r="A206" s="38"/>
      <c r="B206" s="38"/>
      <c r="C206" s="38"/>
      <c r="D206" s="38"/>
      <c r="E206" s="38"/>
      <c r="F206" s="55"/>
      <c r="G206" s="55"/>
      <c r="H206" s="55"/>
      <c r="I206" s="55"/>
      <c r="J206" s="55"/>
      <c r="K206" s="55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</row>
    <row r="207">
      <c r="A207" s="38"/>
      <c r="B207" s="38"/>
      <c r="C207" s="38"/>
      <c r="D207" s="38"/>
      <c r="E207" s="38"/>
      <c r="F207" s="55"/>
      <c r="G207" s="55"/>
      <c r="H207" s="55"/>
      <c r="I207" s="55"/>
      <c r="J207" s="55"/>
      <c r="K207" s="55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</row>
    <row r="208">
      <c r="A208" s="38"/>
      <c r="B208" s="38"/>
      <c r="C208" s="38"/>
      <c r="D208" s="38"/>
      <c r="E208" s="38"/>
      <c r="F208" s="55"/>
      <c r="G208" s="55"/>
      <c r="H208" s="55"/>
      <c r="I208" s="55"/>
      <c r="J208" s="55"/>
      <c r="K208" s="55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</row>
    <row r="209">
      <c r="A209" s="38"/>
      <c r="B209" s="38"/>
      <c r="C209" s="38"/>
      <c r="D209" s="38"/>
      <c r="E209" s="38"/>
      <c r="F209" s="55"/>
      <c r="G209" s="55"/>
      <c r="H209" s="55"/>
      <c r="I209" s="55"/>
      <c r="J209" s="55"/>
      <c r="K209" s="55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</row>
    <row r="210">
      <c r="A210" s="38"/>
      <c r="B210" s="38"/>
      <c r="C210" s="38"/>
      <c r="D210" s="38"/>
      <c r="E210" s="38"/>
      <c r="F210" s="55"/>
      <c r="G210" s="55"/>
      <c r="H210" s="55"/>
      <c r="I210" s="55"/>
      <c r="J210" s="55"/>
      <c r="K210" s="55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</row>
    <row r="211">
      <c r="A211" s="38"/>
      <c r="B211" s="38"/>
      <c r="C211" s="38"/>
      <c r="D211" s="38"/>
      <c r="E211" s="38"/>
      <c r="F211" s="55"/>
      <c r="G211" s="55"/>
      <c r="H211" s="55"/>
      <c r="I211" s="55"/>
      <c r="J211" s="55"/>
      <c r="K211" s="55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</row>
    <row r="212">
      <c r="A212" s="38"/>
      <c r="B212" s="38"/>
      <c r="C212" s="38"/>
      <c r="D212" s="38"/>
      <c r="E212" s="38"/>
      <c r="F212" s="55"/>
      <c r="G212" s="55"/>
      <c r="H212" s="55"/>
      <c r="I212" s="55"/>
      <c r="J212" s="55"/>
      <c r="K212" s="55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</row>
    <row r="213">
      <c r="A213" s="38"/>
      <c r="B213" s="38"/>
      <c r="C213" s="38"/>
      <c r="D213" s="38"/>
      <c r="E213" s="38"/>
      <c r="F213" s="55"/>
      <c r="G213" s="55"/>
      <c r="H213" s="55"/>
      <c r="I213" s="55"/>
      <c r="J213" s="55"/>
      <c r="K213" s="55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</row>
    <row r="214">
      <c r="A214" s="38"/>
      <c r="B214" s="38"/>
      <c r="C214" s="38"/>
      <c r="D214" s="38"/>
      <c r="E214" s="38"/>
      <c r="F214" s="55"/>
      <c r="G214" s="55"/>
      <c r="H214" s="55"/>
      <c r="I214" s="55"/>
      <c r="J214" s="55"/>
      <c r="K214" s="55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</row>
    <row r="215">
      <c r="A215" s="38"/>
      <c r="B215" s="38"/>
      <c r="C215" s="38"/>
      <c r="D215" s="38"/>
      <c r="E215" s="38"/>
      <c r="F215" s="55"/>
      <c r="G215" s="55"/>
      <c r="H215" s="55"/>
      <c r="I215" s="55"/>
      <c r="J215" s="55"/>
      <c r="K215" s="55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</row>
    <row r="216">
      <c r="A216" s="38"/>
      <c r="B216" s="38"/>
      <c r="C216" s="38"/>
      <c r="D216" s="38"/>
      <c r="E216" s="38"/>
      <c r="F216" s="55"/>
      <c r="G216" s="55"/>
      <c r="H216" s="55"/>
      <c r="I216" s="55"/>
      <c r="J216" s="55"/>
      <c r="K216" s="55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</row>
    <row r="217">
      <c r="A217" s="38"/>
      <c r="B217" s="38"/>
      <c r="C217" s="38"/>
      <c r="D217" s="38"/>
      <c r="E217" s="38"/>
      <c r="F217" s="55"/>
      <c r="G217" s="55"/>
      <c r="H217" s="55"/>
      <c r="I217" s="55"/>
      <c r="J217" s="55"/>
      <c r="K217" s="55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</row>
    <row r="218">
      <c r="A218" s="38"/>
      <c r="B218" s="38"/>
      <c r="C218" s="38"/>
      <c r="D218" s="38"/>
      <c r="E218" s="38"/>
      <c r="F218" s="55"/>
      <c r="G218" s="55"/>
      <c r="H218" s="55"/>
      <c r="I218" s="55"/>
      <c r="J218" s="55"/>
      <c r="K218" s="55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</row>
    <row r="219">
      <c r="A219" s="38"/>
      <c r="B219" s="38"/>
      <c r="C219" s="38"/>
      <c r="D219" s="38"/>
      <c r="E219" s="38"/>
      <c r="F219" s="55"/>
      <c r="G219" s="55"/>
      <c r="H219" s="55"/>
      <c r="I219" s="55"/>
      <c r="J219" s="55"/>
      <c r="K219" s="55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</row>
    <row r="220">
      <c r="A220" s="38"/>
      <c r="B220" s="38"/>
      <c r="C220" s="38"/>
      <c r="D220" s="38"/>
      <c r="E220" s="38"/>
      <c r="F220" s="55"/>
      <c r="G220" s="55"/>
      <c r="H220" s="55"/>
      <c r="I220" s="55"/>
      <c r="J220" s="55"/>
      <c r="K220" s="55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</row>
    <row r="221">
      <c r="A221" s="38"/>
      <c r="B221" s="38"/>
      <c r="C221" s="38"/>
      <c r="D221" s="38"/>
      <c r="E221" s="38"/>
      <c r="F221" s="55"/>
      <c r="G221" s="55"/>
      <c r="H221" s="55"/>
      <c r="I221" s="55"/>
      <c r="J221" s="55"/>
      <c r="K221" s="55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</row>
    <row r="222">
      <c r="A222" s="38"/>
      <c r="B222" s="38"/>
      <c r="C222" s="38"/>
      <c r="D222" s="38"/>
      <c r="E222" s="38"/>
      <c r="F222" s="55"/>
      <c r="G222" s="55"/>
      <c r="H222" s="55"/>
      <c r="I222" s="55"/>
      <c r="J222" s="55"/>
      <c r="K222" s="55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</row>
    <row r="223">
      <c r="A223" s="38"/>
      <c r="B223" s="38"/>
      <c r="C223" s="38"/>
      <c r="D223" s="38"/>
      <c r="E223" s="38"/>
      <c r="F223" s="55"/>
      <c r="G223" s="55"/>
      <c r="H223" s="55"/>
      <c r="I223" s="55"/>
      <c r="J223" s="55"/>
      <c r="K223" s="55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</row>
    <row r="224">
      <c r="A224" s="38"/>
      <c r="B224" s="38"/>
      <c r="C224" s="38"/>
      <c r="D224" s="38"/>
      <c r="E224" s="38"/>
      <c r="F224" s="55"/>
      <c r="G224" s="55"/>
      <c r="H224" s="55"/>
      <c r="I224" s="55"/>
      <c r="J224" s="55"/>
      <c r="K224" s="55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</row>
    <row r="225">
      <c r="A225" s="38"/>
      <c r="B225" s="38"/>
      <c r="C225" s="38"/>
      <c r="D225" s="38"/>
      <c r="E225" s="38"/>
      <c r="F225" s="55"/>
      <c r="G225" s="55"/>
      <c r="H225" s="55"/>
      <c r="I225" s="55"/>
      <c r="J225" s="55"/>
      <c r="K225" s="55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</row>
    <row r="226">
      <c r="A226" s="38"/>
      <c r="B226" s="38"/>
      <c r="C226" s="38"/>
      <c r="D226" s="38"/>
      <c r="E226" s="38"/>
      <c r="F226" s="55"/>
      <c r="G226" s="55"/>
      <c r="H226" s="55"/>
      <c r="I226" s="55"/>
      <c r="J226" s="55"/>
      <c r="K226" s="55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</row>
    <row r="227">
      <c r="A227" s="38"/>
      <c r="B227" s="38"/>
      <c r="C227" s="38"/>
      <c r="D227" s="38"/>
      <c r="E227" s="38"/>
      <c r="F227" s="55"/>
      <c r="G227" s="55"/>
      <c r="H227" s="55"/>
      <c r="I227" s="55"/>
      <c r="J227" s="55"/>
      <c r="K227" s="55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</row>
    <row r="228">
      <c r="A228" s="38"/>
      <c r="B228" s="38"/>
      <c r="C228" s="38"/>
      <c r="D228" s="38"/>
      <c r="E228" s="38"/>
      <c r="F228" s="55"/>
      <c r="G228" s="55"/>
      <c r="H228" s="55"/>
      <c r="I228" s="55"/>
      <c r="J228" s="55"/>
      <c r="K228" s="55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</row>
    <row r="229">
      <c r="A229" s="38"/>
      <c r="B229" s="38"/>
      <c r="C229" s="38"/>
      <c r="D229" s="38"/>
      <c r="E229" s="38"/>
      <c r="F229" s="55"/>
      <c r="G229" s="55"/>
      <c r="H229" s="55"/>
      <c r="I229" s="55"/>
      <c r="J229" s="55"/>
      <c r="K229" s="55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</row>
    <row r="230">
      <c r="A230" s="38"/>
      <c r="B230" s="38"/>
      <c r="C230" s="38"/>
      <c r="D230" s="38"/>
      <c r="E230" s="38"/>
      <c r="F230" s="55"/>
      <c r="G230" s="55"/>
      <c r="H230" s="55"/>
      <c r="I230" s="55"/>
      <c r="J230" s="55"/>
      <c r="K230" s="55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</row>
    <row r="231">
      <c r="A231" s="38"/>
      <c r="B231" s="38"/>
      <c r="C231" s="38"/>
      <c r="D231" s="38"/>
      <c r="E231" s="38"/>
      <c r="F231" s="55"/>
      <c r="G231" s="55"/>
      <c r="H231" s="55"/>
      <c r="I231" s="55"/>
      <c r="J231" s="55"/>
      <c r="K231" s="55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</row>
    <row r="232">
      <c r="A232" s="38"/>
      <c r="B232" s="38"/>
      <c r="C232" s="38"/>
      <c r="D232" s="38"/>
      <c r="E232" s="38"/>
      <c r="F232" s="55"/>
      <c r="G232" s="55"/>
      <c r="H232" s="55"/>
      <c r="I232" s="55"/>
      <c r="J232" s="55"/>
      <c r="K232" s="55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</row>
    <row r="233">
      <c r="A233" s="38"/>
      <c r="B233" s="38"/>
      <c r="C233" s="38"/>
      <c r="D233" s="38"/>
      <c r="E233" s="38"/>
      <c r="F233" s="55"/>
      <c r="G233" s="55"/>
      <c r="H233" s="55"/>
      <c r="I233" s="55"/>
      <c r="J233" s="55"/>
      <c r="K233" s="55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</row>
    <row r="234">
      <c r="A234" s="38"/>
      <c r="B234" s="38"/>
      <c r="C234" s="38"/>
      <c r="D234" s="38"/>
      <c r="E234" s="38"/>
      <c r="F234" s="55"/>
      <c r="G234" s="55"/>
      <c r="H234" s="55"/>
      <c r="I234" s="55"/>
      <c r="J234" s="55"/>
      <c r="K234" s="55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</row>
    <row r="235">
      <c r="A235" s="38"/>
      <c r="B235" s="38"/>
      <c r="C235" s="38"/>
      <c r="D235" s="38"/>
      <c r="E235" s="38"/>
      <c r="F235" s="55"/>
      <c r="G235" s="55"/>
      <c r="H235" s="55"/>
      <c r="I235" s="55"/>
      <c r="J235" s="55"/>
      <c r="K235" s="55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</row>
    <row r="236">
      <c r="A236" s="38"/>
      <c r="B236" s="38"/>
      <c r="C236" s="38"/>
      <c r="D236" s="38"/>
      <c r="E236" s="38"/>
      <c r="F236" s="55"/>
      <c r="G236" s="55"/>
      <c r="H236" s="55"/>
      <c r="I236" s="55"/>
      <c r="J236" s="55"/>
      <c r="K236" s="55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</row>
    <row r="237">
      <c r="A237" s="38"/>
      <c r="B237" s="38"/>
      <c r="C237" s="38"/>
      <c r="D237" s="38"/>
      <c r="E237" s="38"/>
      <c r="F237" s="55"/>
      <c r="G237" s="55"/>
      <c r="H237" s="55"/>
      <c r="I237" s="55"/>
      <c r="J237" s="55"/>
      <c r="K237" s="55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</row>
    <row r="238">
      <c r="A238" s="38"/>
      <c r="B238" s="38"/>
      <c r="C238" s="38"/>
      <c r="D238" s="38"/>
      <c r="E238" s="38"/>
      <c r="F238" s="55"/>
      <c r="G238" s="55"/>
      <c r="H238" s="55"/>
      <c r="I238" s="55"/>
      <c r="J238" s="55"/>
      <c r="K238" s="55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</row>
    <row r="239">
      <c r="A239" s="38"/>
      <c r="B239" s="38"/>
      <c r="C239" s="38"/>
      <c r="D239" s="38"/>
      <c r="E239" s="38"/>
      <c r="F239" s="55"/>
      <c r="G239" s="55"/>
      <c r="H239" s="55"/>
      <c r="I239" s="55"/>
      <c r="J239" s="55"/>
      <c r="K239" s="55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</row>
    <row r="240">
      <c r="A240" s="38"/>
      <c r="B240" s="38"/>
      <c r="C240" s="38"/>
      <c r="D240" s="38"/>
      <c r="E240" s="38"/>
      <c r="F240" s="55"/>
      <c r="G240" s="55"/>
      <c r="H240" s="55"/>
      <c r="I240" s="55"/>
      <c r="J240" s="55"/>
      <c r="K240" s="55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</row>
    <row r="241">
      <c r="A241" s="38"/>
      <c r="B241" s="38"/>
      <c r="C241" s="38"/>
      <c r="D241" s="38"/>
      <c r="E241" s="38"/>
      <c r="F241" s="55"/>
      <c r="G241" s="55"/>
      <c r="H241" s="55"/>
      <c r="I241" s="55"/>
      <c r="J241" s="55"/>
      <c r="K241" s="55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</row>
    <row r="242">
      <c r="A242" s="38"/>
      <c r="B242" s="38"/>
      <c r="C242" s="38"/>
      <c r="D242" s="38"/>
      <c r="E242" s="38"/>
      <c r="F242" s="55"/>
      <c r="G242" s="55"/>
      <c r="H242" s="55"/>
      <c r="I242" s="55"/>
      <c r="J242" s="55"/>
      <c r="K242" s="55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</row>
    <row r="243">
      <c r="A243" s="38"/>
      <c r="B243" s="38"/>
      <c r="C243" s="38"/>
      <c r="D243" s="38"/>
      <c r="E243" s="38"/>
      <c r="F243" s="55"/>
      <c r="G243" s="55"/>
      <c r="H243" s="55"/>
      <c r="I243" s="55"/>
      <c r="J243" s="55"/>
      <c r="K243" s="55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</row>
    <row r="244">
      <c r="A244" s="38"/>
      <c r="B244" s="38"/>
      <c r="C244" s="38"/>
      <c r="D244" s="38"/>
      <c r="E244" s="38"/>
      <c r="F244" s="55"/>
      <c r="G244" s="55"/>
      <c r="H244" s="55"/>
      <c r="I244" s="55"/>
      <c r="J244" s="55"/>
      <c r="K244" s="55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</row>
    <row r="245">
      <c r="A245" s="38"/>
      <c r="B245" s="38"/>
      <c r="C245" s="38"/>
      <c r="D245" s="38"/>
      <c r="E245" s="38"/>
      <c r="F245" s="55"/>
      <c r="G245" s="55"/>
      <c r="H245" s="55"/>
      <c r="I245" s="55"/>
      <c r="J245" s="55"/>
      <c r="K245" s="55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</row>
    <row r="246">
      <c r="A246" s="38"/>
      <c r="B246" s="38"/>
      <c r="C246" s="38"/>
      <c r="D246" s="38"/>
      <c r="E246" s="38"/>
      <c r="F246" s="55"/>
      <c r="G246" s="55"/>
      <c r="H246" s="55"/>
      <c r="I246" s="55"/>
      <c r="J246" s="55"/>
      <c r="K246" s="55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</row>
    <row r="247">
      <c r="A247" s="38"/>
      <c r="B247" s="38"/>
      <c r="C247" s="38"/>
      <c r="D247" s="38"/>
      <c r="E247" s="38"/>
      <c r="F247" s="55"/>
      <c r="G247" s="55"/>
      <c r="H247" s="55"/>
      <c r="I247" s="55"/>
      <c r="J247" s="55"/>
      <c r="K247" s="55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</row>
    <row r="248">
      <c r="A248" s="38"/>
      <c r="B248" s="38"/>
      <c r="C248" s="38"/>
      <c r="D248" s="38"/>
      <c r="E248" s="38"/>
      <c r="F248" s="55"/>
      <c r="G248" s="55"/>
      <c r="H248" s="55"/>
      <c r="I248" s="55"/>
      <c r="J248" s="55"/>
      <c r="K248" s="55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</row>
    <row r="249">
      <c r="A249" s="38"/>
      <c r="B249" s="38"/>
      <c r="C249" s="38"/>
      <c r="D249" s="38"/>
      <c r="E249" s="38"/>
      <c r="F249" s="55"/>
      <c r="G249" s="55"/>
      <c r="H249" s="55"/>
      <c r="I249" s="55"/>
      <c r="J249" s="55"/>
      <c r="K249" s="55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</row>
    <row r="250">
      <c r="A250" s="38"/>
      <c r="B250" s="38"/>
      <c r="C250" s="38"/>
      <c r="D250" s="38"/>
      <c r="E250" s="38"/>
      <c r="F250" s="55"/>
      <c r="G250" s="55"/>
      <c r="H250" s="55"/>
      <c r="I250" s="55"/>
      <c r="J250" s="55"/>
      <c r="K250" s="55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</row>
    <row r="251">
      <c r="A251" s="38"/>
      <c r="B251" s="38"/>
      <c r="C251" s="38"/>
      <c r="D251" s="38"/>
      <c r="E251" s="38"/>
      <c r="F251" s="55"/>
      <c r="G251" s="55"/>
      <c r="H251" s="55"/>
      <c r="I251" s="55"/>
      <c r="J251" s="55"/>
      <c r="K251" s="55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</row>
    <row r="252">
      <c r="A252" s="38"/>
      <c r="B252" s="38"/>
      <c r="C252" s="38"/>
      <c r="D252" s="38"/>
      <c r="E252" s="38"/>
      <c r="F252" s="55"/>
      <c r="G252" s="55"/>
      <c r="H252" s="55"/>
      <c r="I252" s="55"/>
      <c r="J252" s="55"/>
      <c r="K252" s="55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</row>
    <row r="253">
      <c r="A253" s="38"/>
      <c r="B253" s="38"/>
      <c r="C253" s="38"/>
      <c r="D253" s="38"/>
      <c r="E253" s="38"/>
      <c r="F253" s="55"/>
      <c r="G253" s="55"/>
      <c r="H253" s="55"/>
      <c r="I253" s="55"/>
      <c r="J253" s="55"/>
      <c r="K253" s="55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</row>
    <row r="254">
      <c r="A254" s="38"/>
      <c r="B254" s="38"/>
      <c r="C254" s="38"/>
      <c r="D254" s="38"/>
      <c r="E254" s="38"/>
      <c r="F254" s="55"/>
      <c r="G254" s="55"/>
      <c r="H254" s="55"/>
      <c r="I254" s="55"/>
      <c r="J254" s="55"/>
      <c r="K254" s="55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</row>
    <row r="255">
      <c r="A255" s="38"/>
      <c r="B255" s="38"/>
      <c r="C255" s="38"/>
      <c r="D255" s="38"/>
      <c r="E255" s="38"/>
      <c r="F255" s="55"/>
      <c r="G255" s="55"/>
      <c r="H255" s="55"/>
      <c r="I255" s="55"/>
      <c r="J255" s="55"/>
      <c r="K255" s="55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</row>
    <row r="256">
      <c r="A256" s="38"/>
      <c r="B256" s="38"/>
      <c r="C256" s="38"/>
      <c r="D256" s="38"/>
      <c r="E256" s="38"/>
      <c r="F256" s="55"/>
      <c r="G256" s="55"/>
      <c r="H256" s="55"/>
      <c r="I256" s="55"/>
      <c r="J256" s="55"/>
      <c r="K256" s="55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</row>
    <row r="257">
      <c r="A257" s="38"/>
      <c r="B257" s="38"/>
      <c r="C257" s="38"/>
      <c r="D257" s="38"/>
      <c r="E257" s="38"/>
      <c r="F257" s="55"/>
      <c r="G257" s="55"/>
      <c r="H257" s="55"/>
      <c r="I257" s="55"/>
      <c r="J257" s="55"/>
      <c r="K257" s="55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</row>
    <row r="258">
      <c r="A258" s="38"/>
      <c r="B258" s="38"/>
      <c r="C258" s="38"/>
      <c r="D258" s="38"/>
      <c r="E258" s="38"/>
      <c r="F258" s="55"/>
      <c r="G258" s="55"/>
      <c r="H258" s="55"/>
      <c r="I258" s="55"/>
      <c r="J258" s="55"/>
      <c r="K258" s="55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</row>
    <row r="259">
      <c r="A259" s="38"/>
      <c r="B259" s="38"/>
      <c r="C259" s="38"/>
      <c r="D259" s="38"/>
      <c r="E259" s="38"/>
      <c r="F259" s="55"/>
      <c r="G259" s="55"/>
      <c r="H259" s="55"/>
      <c r="I259" s="55"/>
      <c r="J259" s="55"/>
      <c r="K259" s="55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</row>
    <row r="260">
      <c r="A260" s="38"/>
      <c r="B260" s="38"/>
      <c r="C260" s="38"/>
      <c r="D260" s="38"/>
      <c r="E260" s="38"/>
      <c r="F260" s="55"/>
      <c r="G260" s="55"/>
      <c r="H260" s="55"/>
      <c r="I260" s="55"/>
      <c r="J260" s="55"/>
      <c r="K260" s="55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</row>
    <row r="261">
      <c r="A261" s="38"/>
      <c r="B261" s="38"/>
      <c r="C261" s="38"/>
      <c r="D261" s="38"/>
      <c r="E261" s="38"/>
      <c r="F261" s="55"/>
      <c r="G261" s="55"/>
      <c r="H261" s="55"/>
      <c r="I261" s="55"/>
      <c r="J261" s="55"/>
      <c r="K261" s="55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</row>
    <row r="262">
      <c r="A262" s="38"/>
      <c r="B262" s="38"/>
      <c r="C262" s="38"/>
      <c r="D262" s="38"/>
      <c r="E262" s="38"/>
      <c r="F262" s="55"/>
      <c r="G262" s="55"/>
      <c r="H262" s="55"/>
      <c r="I262" s="55"/>
      <c r="J262" s="55"/>
      <c r="K262" s="55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</row>
    <row r="263">
      <c r="A263" s="38"/>
      <c r="B263" s="38"/>
      <c r="C263" s="38"/>
      <c r="D263" s="38"/>
      <c r="E263" s="38"/>
      <c r="F263" s="55"/>
      <c r="G263" s="55"/>
      <c r="H263" s="55"/>
      <c r="I263" s="55"/>
      <c r="J263" s="55"/>
      <c r="K263" s="55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</row>
    <row r="264">
      <c r="A264" s="38"/>
      <c r="B264" s="38"/>
      <c r="C264" s="38"/>
      <c r="D264" s="38"/>
      <c r="E264" s="38"/>
      <c r="F264" s="55"/>
      <c r="G264" s="55"/>
      <c r="H264" s="55"/>
      <c r="I264" s="55"/>
      <c r="J264" s="55"/>
      <c r="K264" s="55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</row>
    <row r="265">
      <c r="A265" s="38"/>
      <c r="B265" s="38"/>
      <c r="C265" s="38"/>
      <c r="D265" s="38"/>
      <c r="E265" s="38"/>
      <c r="F265" s="55"/>
      <c r="G265" s="55"/>
      <c r="H265" s="55"/>
      <c r="I265" s="55"/>
      <c r="J265" s="55"/>
      <c r="K265" s="55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</row>
    <row r="266">
      <c r="A266" s="38"/>
      <c r="B266" s="38"/>
      <c r="C266" s="38"/>
      <c r="D266" s="38"/>
      <c r="E266" s="38"/>
      <c r="F266" s="55"/>
      <c r="G266" s="55"/>
      <c r="H266" s="55"/>
      <c r="I266" s="55"/>
      <c r="J266" s="55"/>
      <c r="K266" s="55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</row>
    <row r="267">
      <c r="A267" s="38"/>
      <c r="B267" s="38"/>
      <c r="C267" s="38"/>
      <c r="D267" s="38"/>
      <c r="E267" s="38"/>
      <c r="F267" s="55"/>
      <c r="G267" s="55"/>
      <c r="H267" s="55"/>
      <c r="I267" s="55"/>
      <c r="J267" s="55"/>
      <c r="K267" s="55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</row>
    <row r="268">
      <c r="A268" s="38"/>
      <c r="B268" s="38"/>
      <c r="C268" s="38"/>
      <c r="D268" s="38"/>
      <c r="E268" s="38"/>
      <c r="F268" s="55"/>
      <c r="G268" s="55"/>
      <c r="H268" s="55"/>
      <c r="I268" s="55"/>
      <c r="J268" s="55"/>
      <c r="K268" s="55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</row>
    <row r="269">
      <c r="A269" s="38"/>
      <c r="B269" s="38"/>
      <c r="C269" s="38"/>
      <c r="D269" s="38"/>
      <c r="E269" s="38"/>
      <c r="F269" s="55"/>
      <c r="G269" s="55"/>
      <c r="H269" s="55"/>
      <c r="I269" s="55"/>
      <c r="J269" s="55"/>
      <c r="K269" s="55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</row>
    <row r="270">
      <c r="A270" s="38"/>
      <c r="B270" s="38"/>
      <c r="C270" s="38"/>
      <c r="D270" s="38"/>
      <c r="E270" s="38"/>
      <c r="F270" s="55"/>
      <c r="G270" s="55"/>
      <c r="H270" s="55"/>
      <c r="I270" s="55"/>
      <c r="J270" s="55"/>
      <c r="K270" s="55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</row>
    <row r="271">
      <c r="A271" s="38"/>
      <c r="B271" s="38"/>
      <c r="C271" s="38"/>
      <c r="D271" s="38"/>
      <c r="E271" s="38"/>
      <c r="F271" s="55"/>
      <c r="G271" s="55"/>
      <c r="H271" s="55"/>
      <c r="I271" s="55"/>
      <c r="J271" s="55"/>
      <c r="K271" s="55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</row>
    <row r="272">
      <c r="A272" s="38"/>
      <c r="B272" s="38"/>
      <c r="C272" s="38"/>
      <c r="D272" s="38"/>
      <c r="E272" s="38"/>
      <c r="F272" s="55"/>
      <c r="G272" s="55"/>
      <c r="H272" s="55"/>
      <c r="I272" s="55"/>
      <c r="J272" s="55"/>
      <c r="K272" s="55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</row>
    <row r="273">
      <c r="A273" s="38"/>
      <c r="B273" s="38"/>
      <c r="C273" s="38"/>
      <c r="D273" s="38"/>
      <c r="E273" s="38"/>
      <c r="F273" s="55"/>
      <c r="G273" s="55"/>
      <c r="H273" s="55"/>
      <c r="I273" s="55"/>
      <c r="J273" s="55"/>
      <c r="K273" s="55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</row>
    <row r="274">
      <c r="A274" s="38"/>
      <c r="B274" s="38"/>
      <c r="C274" s="38"/>
      <c r="D274" s="38"/>
      <c r="E274" s="38"/>
      <c r="F274" s="55"/>
      <c r="G274" s="55"/>
      <c r="H274" s="55"/>
      <c r="I274" s="55"/>
      <c r="J274" s="55"/>
      <c r="K274" s="55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</row>
    <row r="275">
      <c r="A275" s="38"/>
      <c r="B275" s="38"/>
      <c r="C275" s="38"/>
      <c r="D275" s="38"/>
      <c r="E275" s="38"/>
      <c r="F275" s="55"/>
      <c r="G275" s="55"/>
      <c r="H275" s="55"/>
      <c r="I275" s="55"/>
      <c r="J275" s="55"/>
      <c r="K275" s="55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</row>
    <row r="276">
      <c r="A276" s="38"/>
      <c r="B276" s="38"/>
      <c r="C276" s="38"/>
      <c r="D276" s="38"/>
      <c r="E276" s="38"/>
      <c r="F276" s="55"/>
      <c r="G276" s="55"/>
      <c r="H276" s="55"/>
      <c r="I276" s="55"/>
      <c r="J276" s="55"/>
      <c r="K276" s="55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</row>
    <row r="277">
      <c r="A277" s="38"/>
      <c r="B277" s="38"/>
      <c r="C277" s="38"/>
      <c r="D277" s="38"/>
      <c r="E277" s="38"/>
      <c r="F277" s="55"/>
      <c r="G277" s="55"/>
      <c r="H277" s="55"/>
      <c r="I277" s="55"/>
      <c r="J277" s="55"/>
      <c r="K277" s="55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</row>
    <row r="278">
      <c r="A278" s="38"/>
      <c r="B278" s="38"/>
      <c r="C278" s="38"/>
      <c r="D278" s="38"/>
      <c r="E278" s="38"/>
      <c r="F278" s="55"/>
      <c r="G278" s="55"/>
      <c r="H278" s="55"/>
      <c r="I278" s="55"/>
      <c r="J278" s="55"/>
      <c r="K278" s="55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</row>
    <row r="279">
      <c r="A279" s="38"/>
      <c r="B279" s="38"/>
      <c r="C279" s="38"/>
      <c r="D279" s="38"/>
      <c r="E279" s="38"/>
      <c r="F279" s="55"/>
      <c r="G279" s="55"/>
      <c r="H279" s="55"/>
      <c r="I279" s="55"/>
      <c r="J279" s="55"/>
      <c r="K279" s="55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</row>
    <row r="280">
      <c r="A280" s="38"/>
      <c r="B280" s="38"/>
      <c r="C280" s="38"/>
      <c r="D280" s="38"/>
      <c r="E280" s="38"/>
      <c r="F280" s="55"/>
      <c r="G280" s="55"/>
      <c r="H280" s="55"/>
      <c r="I280" s="55"/>
      <c r="J280" s="55"/>
      <c r="K280" s="55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</row>
    <row r="281">
      <c r="A281" s="38"/>
      <c r="B281" s="38"/>
      <c r="C281" s="38"/>
      <c r="D281" s="38"/>
      <c r="E281" s="38"/>
      <c r="F281" s="55"/>
      <c r="G281" s="55"/>
      <c r="H281" s="55"/>
      <c r="I281" s="55"/>
      <c r="J281" s="55"/>
      <c r="K281" s="55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</row>
    <row r="282">
      <c r="A282" s="38"/>
      <c r="B282" s="38"/>
      <c r="C282" s="38"/>
      <c r="D282" s="38"/>
      <c r="E282" s="38"/>
      <c r="F282" s="55"/>
      <c r="G282" s="55"/>
      <c r="H282" s="55"/>
      <c r="I282" s="55"/>
      <c r="J282" s="55"/>
      <c r="K282" s="55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</row>
    <row r="283">
      <c r="A283" s="38"/>
      <c r="B283" s="38"/>
      <c r="C283" s="38"/>
      <c r="D283" s="38"/>
      <c r="E283" s="38"/>
      <c r="F283" s="55"/>
      <c r="G283" s="55"/>
      <c r="H283" s="55"/>
      <c r="I283" s="55"/>
      <c r="J283" s="55"/>
      <c r="K283" s="55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</row>
    <row r="284">
      <c r="A284" s="38"/>
      <c r="B284" s="38"/>
      <c r="C284" s="38"/>
      <c r="D284" s="38"/>
      <c r="E284" s="38"/>
      <c r="F284" s="55"/>
      <c r="G284" s="55"/>
      <c r="H284" s="55"/>
      <c r="I284" s="55"/>
      <c r="J284" s="55"/>
      <c r="K284" s="55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</row>
    <row r="285">
      <c r="A285" s="38"/>
      <c r="B285" s="38"/>
      <c r="C285" s="38"/>
      <c r="D285" s="38"/>
      <c r="E285" s="38"/>
      <c r="F285" s="55"/>
      <c r="G285" s="55"/>
      <c r="H285" s="55"/>
      <c r="I285" s="55"/>
      <c r="J285" s="55"/>
      <c r="K285" s="55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</row>
    <row r="286">
      <c r="A286" s="38"/>
      <c r="B286" s="38"/>
      <c r="C286" s="38"/>
      <c r="D286" s="38"/>
      <c r="E286" s="38"/>
      <c r="F286" s="55"/>
      <c r="G286" s="55"/>
      <c r="H286" s="55"/>
      <c r="I286" s="55"/>
      <c r="J286" s="55"/>
      <c r="K286" s="55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</row>
    <row r="287">
      <c r="A287" s="38"/>
      <c r="B287" s="38"/>
      <c r="C287" s="38"/>
      <c r="D287" s="38"/>
      <c r="E287" s="38"/>
      <c r="F287" s="55"/>
      <c r="G287" s="55"/>
      <c r="H287" s="55"/>
      <c r="I287" s="55"/>
      <c r="J287" s="55"/>
      <c r="K287" s="55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</row>
    <row r="288">
      <c r="A288" s="38"/>
      <c r="B288" s="38"/>
      <c r="C288" s="38"/>
      <c r="D288" s="38"/>
      <c r="E288" s="38"/>
      <c r="F288" s="55"/>
      <c r="G288" s="55"/>
      <c r="H288" s="55"/>
      <c r="I288" s="55"/>
      <c r="J288" s="55"/>
      <c r="K288" s="55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</row>
    <row r="289">
      <c r="A289" s="38"/>
      <c r="B289" s="38"/>
      <c r="C289" s="38"/>
      <c r="D289" s="38"/>
      <c r="E289" s="38"/>
      <c r="F289" s="55"/>
      <c r="G289" s="55"/>
      <c r="H289" s="55"/>
      <c r="I289" s="55"/>
      <c r="J289" s="55"/>
      <c r="K289" s="55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</row>
    <row r="290">
      <c r="A290" s="38"/>
      <c r="B290" s="38"/>
      <c r="C290" s="38"/>
      <c r="D290" s="38"/>
      <c r="E290" s="38"/>
      <c r="F290" s="55"/>
      <c r="G290" s="55"/>
      <c r="H290" s="55"/>
      <c r="I290" s="55"/>
      <c r="J290" s="55"/>
      <c r="K290" s="55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</row>
    <row r="291">
      <c r="A291" s="38"/>
      <c r="B291" s="38"/>
      <c r="C291" s="38"/>
      <c r="D291" s="38"/>
      <c r="E291" s="38"/>
      <c r="F291" s="55"/>
      <c r="G291" s="55"/>
      <c r="H291" s="55"/>
      <c r="I291" s="55"/>
      <c r="J291" s="55"/>
      <c r="K291" s="55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</row>
    <row r="292">
      <c r="A292" s="38"/>
      <c r="B292" s="38"/>
      <c r="C292" s="38"/>
      <c r="D292" s="38"/>
      <c r="E292" s="38"/>
      <c r="F292" s="55"/>
      <c r="G292" s="55"/>
      <c r="H292" s="55"/>
      <c r="I292" s="55"/>
      <c r="J292" s="55"/>
      <c r="K292" s="55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</row>
    <row r="293">
      <c r="A293" s="38"/>
      <c r="B293" s="38"/>
      <c r="C293" s="38"/>
      <c r="D293" s="38"/>
      <c r="E293" s="38"/>
      <c r="F293" s="55"/>
      <c r="G293" s="55"/>
      <c r="H293" s="55"/>
      <c r="I293" s="55"/>
      <c r="J293" s="55"/>
      <c r="K293" s="55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</row>
    <row r="294">
      <c r="A294" s="38"/>
      <c r="B294" s="38"/>
      <c r="C294" s="38"/>
      <c r="D294" s="38"/>
      <c r="E294" s="38"/>
      <c r="F294" s="55"/>
      <c r="G294" s="55"/>
      <c r="H294" s="55"/>
      <c r="I294" s="55"/>
      <c r="J294" s="55"/>
      <c r="K294" s="55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</row>
    <row r="295">
      <c r="A295" s="38"/>
      <c r="B295" s="38"/>
      <c r="C295" s="38"/>
      <c r="D295" s="38"/>
      <c r="E295" s="38"/>
      <c r="F295" s="55"/>
      <c r="G295" s="55"/>
      <c r="H295" s="55"/>
      <c r="I295" s="55"/>
      <c r="J295" s="55"/>
      <c r="K295" s="55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</row>
    <row r="296">
      <c r="A296" s="38"/>
      <c r="B296" s="38"/>
      <c r="C296" s="38"/>
      <c r="D296" s="38"/>
      <c r="E296" s="38"/>
      <c r="F296" s="55"/>
      <c r="G296" s="55"/>
      <c r="H296" s="55"/>
      <c r="I296" s="55"/>
      <c r="J296" s="55"/>
      <c r="K296" s="55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</row>
    <row r="297">
      <c r="A297" s="38"/>
      <c r="B297" s="38"/>
      <c r="C297" s="38"/>
      <c r="D297" s="38"/>
      <c r="E297" s="38"/>
      <c r="F297" s="55"/>
      <c r="G297" s="55"/>
      <c r="H297" s="55"/>
      <c r="I297" s="55"/>
      <c r="J297" s="55"/>
      <c r="K297" s="55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</row>
    <row r="298">
      <c r="A298" s="38"/>
      <c r="B298" s="38"/>
      <c r="C298" s="38"/>
      <c r="D298" s="38"/>
      <c r="E298" s="38"/>
      <c r="F298" s="55"/>
      <c r="G298" s="55"/>
      <c r="H298" s="55"/>
      <c r="I298" s="55"/>
      <c r="J298" s="55"/>
      <c r="K298" s="55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</row>
    <row r="299">
      <c r="A299" s="38"/>
      <c r="B299" s="38"/>
      <c r="C299" s="38"/>
      <c r="D299" s="38"/>
      <c r="E299" s="38"/>
      <c r="F299" s="55"/>
      <c r="G299" s="55"/>
      <c r="H299" s="55"/>
      <c r="I299" s="55"/>
      <c r="J299" s="55"/>
      <c r="K299" s="55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</row>
    <row r="300">
      <c r="A300" s="38"/>
      <c r="B300" s="38"/>
      <c r="C300" s="38"/>
      <c r="D300" s="38"/>
      <c r="E300" s="38"/>
      <c r="F300" s="55"/>
      <c r="G300" s="55"/>
      <c r="H300" s="55"/>
      <c r="I300" s="55"/>
      <c r="J300" s="55"/>
      <c r="K300" s="55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</row>
    <row r="301">
      <c r="A301" s="38"/>
      <c r="B301" s="38"/>
      <c r="C301" s="38"/>
      <c r="D301" s="38"/>
      <c r="E301" s="38"/>
      <c r="F301" s="55"/>
      <c r="G301" s="55"/>
      <c r="H301" s="55"/>
      <c r="I301" s="55"/>
      <c r="J301" s="55"/>
      <c r="K301" s="55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</row>
    <row r="302">
      <c r="A302" s="38"/>
      <c r="B302" s="38"/>
      <c r="C302" s="38"/>
      <c r="D302" s="38"/>
      <c r="E302" s="38"/>
      <c r="F302" s="55"/>
      <c r="G302" s="55"/>
      <c r="H302" s="55"/>
      <c r="I302" s="55"/>
      <c r="J302" s="55"/>
      <c r="K302" s="55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</row>
    <row r="303">
      <c r="A303" s="38"/>
      <c r="B303" s="38"/>
      <c r="C303" s="38"/>
      <c r="D303" s="38"/>
      <c r="E303" s="38"/>
      <c r="F303" s="55"/>
      <c r="G303" s="55"/>
      <c r="H303" s="55"/>
      <c r="I303" s="55"/>
      <c r="J303" s="55"/>
      <c r="K303" s="55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</row>
    <row r="304">
      <c r="A304" s="38"/>
      <c r="B304" s="38"/>
      <c r="C304" s="38"/>
      <c r="D304" s="38"/>
      <c r="E304" s="38"/>
      <c r="F304" s="55"/>
      <c r="G304" s="55"/>
      <c r="H304" s="55"/>
      <c r="I304" s="55"/>
      <c r="J304" s="55"/>
      <c r="K304" s="55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</row>
    <row r="305">
      <c r="A305" s="38"/>
      <c r="B305" s="38"/>
      <c r="C305" s="38"/>
      <c r="D305" s="38"/>
      <c r="E305" s="38"/>
      <c r="F305" s="55"/>
      <c r="G305" s="55"/>
      <c r="H305" s="55"/>
      <c r="I305" s="55"/>
      <c r="J305" s="55"/>
      <c r="K305" s="55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</row>
    <row r="306">
      <c r="A306" s="38"/>
      <c r="B306" s="38"/>
      <c r="C306" s="38"/>
      <c r="D306" s="38"/>
      <c r="E306" s="38"/>
      <c r="F306" s="55"/>
      <c r="G306" s="55"/>
      <c r="H306" s="55"/>
      <c r="I306" s="55"/>
      <c r="J306" s="55"/>
      <c r="K306" s="55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</row>
    <row r="307">
      <c r="A307" s="38"/>
      <c r="B307" s="38"/>
      <c r="C307" s="38"/>
      <c r="D307" s="38"/>
      <c r="E307" s="38"/>
      <c r="F307" s="55"/>
      <c r="G307" s="55"/>
      <c r="H307" s="55"/>
      <c r="I307" s="55"/>
      <c r="J307" s="55"/>
      <c r="K307" s="55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</row>
    <row r="308">
      <c r="A308" s="38"/>
      <c r="B308" s="38"/>
      <c r="C308" s="38"/>
      <c r="D308" s="38"/>
      <c r="E308" s="38"/>
      <c r="F308" s="55"/>
      <c r="G308" s="55"/>
      <c r="H308" s="55"/>
      <c r="I308" s="55"/>
      <c r="J308" s="55"/>
      <c r="K308" s="55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</row>
    <row r="309">
      <c r="A309" s="38"/>
      <c r="B309" s="38"/>
      <c r="C309" s="38"/>
      <c r="D309" s="38"/>
      <c r="E309" s="38"/>
      <c r="F309" s="55"/>
      <c r="G309" s="55"/>
      <c r="H309" s="55"/>
      <c r="I309" s="55"/>
      <c r="J309" s="55"/>
      <c r="K309" s="55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</row>
    <row r="310">
      <c r="A310" s="38"/>
      <c r="B310" s="38"/>
      <c r="C310" s="38"/>
      <c r="D310" s="38"/>
      <c r="E310" s="38"/>
      <c r="F310" s="55"/>
      <c r="G310" s="55"/>
      <c r="H310" s="55"/>
      <c r="I310" s="55"/>
      <c r="J310" s="55"/>
      <c r="K310" s="55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</row>
    <row r="311">
      <c r="A311" s="38"/>
      <c r="B311" s="38"/>
      <c r="C311" s="38"/>
      <c r="D311" s="38"/>
      <c r="E311" s="38"/>
      <c r="F311" s="55"/>
      <c r="G311" s="55"/>
      <c r="H311" s="55"/>
      <c r="I311" s="55"/>
      <c r="J311" s="55"/>
      <c r="K311" s="55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</row>
    <row r="312">
      <c r="A312" s="38"/>
      <c r="B312" s="38"/>
      <c r="C312" s="38"/>
      <c r="D312" s="38"/>
      <c r="E312" s="38"/>
      <c r="F312" s="55"/>
      <c r="G312" s="55"/>
      <c r="H312" s="55"/>
      <c r="I312" s="55"/>
      <c r="J312" s="55"/>
      <c r="K312" s="55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</row>
    <row r="313">
      <c r="A313" s="38"/>
      <c r="B313" s="38"/>
      <c r="C313" s="38"/>
      <c r="D313" s="38"/>
      <c r="E313" s="38"/>
      <c r="F313" s="55"/>
      <c r="G313" s="55"/>
      <c r="H313" s="55"/>
      <c r="I313" s="55"/>
      <c r="J313" s="55"/>
      <c r="K313" s="55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</row>
    <row r="314">
      <c r="A314" s="38"/>
      <c r="B314" s="38"/>
      <c r="C314" s="38"/>
      <c r="D314" s="38"/>
      <c r="E314" s="38"/>
      <c r="F314" s="55"/>
      <c r="G314" s="55"/>
      <c r="H314" s="55"/>
      <c r="I314" s="55"/>
      <c r="J314" s="55"/>
      <c r="K314" s="55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</row>
    <row r="315">
      <c r="A315" s="38"/>
      <c r="B315" s="38"/>
      <c r="C315" s="38"/>
      <c r="D315" s="38"/>
      <c r="E315" s="38"/>
      <c r="F315" s="55"/>
      <c r="G315" s="55"/>
      <c r="H315" s="55"/>
      <c r="I315" s="55"/>
      <c r="J315" s="55"/>
      <c r="K315" s="55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</row>
    <row r="316">
      <c r="A316" s="38"/>
      <c r="B316" s="38"/>
      <c r="C316" s="38"/>
      <c r="D316" s="38"/>
      <c r="E316" s="38"/>
      <c r="F316" s="55"/>
      <c r="G316" s="55"/>
      <c r="H316" s="55"/>
      <c r="I316" s="55"/>
      <c r="J316" s="55"/>
      <c r="K316" s="55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</row>
    <row r="317">
      <c r="A317" s="38"/>
      <c r="B317" s="38"/>
      <c r="C317" s="38"/>
      <c r="D317" s="38"/>
      <c r="E317" s="38"/>
      <c r="F317" s="55"/>
      <c r="G317" s="55"/>
      <c r="H317" s="55"/>
      <c r="I317" s="55"/>
      <c r="J317" s="55"/>
      <c r="K317" s="55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</row>
    <row r="318">
      <c r="A318" s="38"/>
      <c r="B318" s="38"/>
      <c r="C318" s="38"/>
      <c r="D318" s="38"/>
      <c r="E318" s="38"/>
      <c r="F318" s="55"/>
      <c r="G318" s="55"/>
      <c r="H318" s="55"/>
      <c r="I318" s="55"/>
      <c r="J318" s="55"/>
      <c r="K318" s="55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</row>
    <row r="319">
      <c r="A319" s="38"/>
      <c r="B319" s="38"/>
      <c r="C319" s="38"/>
      <c r="D319" s="38"/>
      <c r="E319" s="38"/>
      <c r="F319" s="55"/>
      <c r="G319" s="55"/>
      <c r="H319" s="55"/>
      <c r="I319" s="55"/>
      <c r="J319" s="55"/>
      <c r="K319" s="55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</row>
    <row r="320">
      <c r="A320" s="38"/>
      <c r="B320" s="38"/>
      <c r="C320" s="38"/>
      <c r="D320" s="38"/>
      <c r="E320" s="38"/>
      <c r="F320" s="55"/>
      <c r="G320" s="55"/>
      <c r="H320" s="55"/>
      <c r="I320" s="55"/>
      <c r="J320" s="55"/>
      <c r="K320" s="55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</row>
    <row r="321">
      <c r="A321" s="38"/>
      <c r="B321" s="38"/>
      <c r="C321" s="38"/>
      <c r="D321" s="38"/>
      <c r="E321" s="38"/>
      <c r="F321" s="55"/>
      <c r="G321" s="55"/>
      <c r="H321" s="55"/>
      <c r="I321" s="55"/>
      <c r="J321" s="55"/>
      <c r="K321" s="55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</row>
    <row r="322">
      <c r="A322" s="38"/>
      <c r="B322" s="38"/>
      <c r="C322" s="38"/>
      <c r="D322" s="38"/>
      <c r="E322" s="38"/>
      <c r="F322" s="55"/>
      <c r="G322" s="55"/>
      <c r="H322" s="55"/>
      <c r="I322" s="55"/>
      <c r="J322" s="55"/>
      <c r="K322" s="55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</row>
    <row r="323">
      <c r="A323" s="38"/>
      <c r="B323" s="38"/>
      <c r="C323" s="38"/>
      <c r="D323" s="38"/>
      <c r="E323" s="38"/>
      <c r="F323" s="55"/>
      <c r="G323" s="55"/>
      <c r="H323" s="55"/>
      <c r="I323" s="55"/>
      <c r="J323" s="55"/>
      <c r="K323" s="55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</row>
    <row r="324">
      <c r="A324" s="38"/>
      <c r="B324" s="38"/>
      <c r="C324" s="38"/>
      <c r="D324" s="38"/>
      <c r="E324" s="38"/>
      <c r="F324" s="55"/>
      <c r="G324" s="55"/>
      <c r="H324" s="55"/>
      <c r="I324" s="55"/>
      <c r="J324" s="55"/>
      <c r="K324" s="55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</row>
    <row r="325">
      <c r="A325" s="38"/>
      <c r="B325" s="38"/>
      <c r="C325" s="38"/>
      <c r="D325" s="38"/>
      <c r="E325" s="38"/>
      <c r="F325" s="55"/>
      <c r="G325" s="55"/>
      <c r="H325" s="55"/>
      <c r="I325" s="55"/>
      <c r="J325" s="55"/>
      <c r="K325" s="55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</row>
    <row r="326">
      <c r="A326" s="38"/>
      <c r="B326" s="38"/>
      <c r="C326" s="38"/>
      <c r="D326" s="38"/>
      <c r="E326" s="38"/>
      <c r="F326" s="55"/>
      <c r="G326" s="55"/>
      <c r="H326" s="55"/>
      <c r="I326" s="55"/>
      <c r="J326" s="55"/>
      <c r="K326" s="55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</row>
    <row r="327">
      <c r="A327" s="38"/>
      <c r="B327" s="38"/>
      <c r="C327" s="38"/>
      <c r="D327" s="38"/>
      <c r="E327" s="38"/>
      <c r="F327" s="55"/>
      <c r="G327" s="55"/>
      <c r="H327" s="55"/>
      <c r="I327" s="55"/>
      <c r="J327" s="55"/>
      <c r="K327" s="55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</row>
    <row r="328">
      <c r="A328" s="38"/>
      <c r="B328" s="38"/>
      <c r="C328" s="38"/>
      <c r="D328" s="38"/>
      <c r="E328" s="38"/>
      <c r="F328" s="55"/>
      <c r="G328" s="55"/>
      <c r="H328" s="55"/>
      <c r="I328" s="55"/>
      <c r="J328" s="55"/>
      <c r="K328" s="55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</row>
    <row r="329">
      <c r="A329" s="38"/>
      <c r="B329" s="38"/>
      <c r="C329" s="38"/>
      <c r="D329" s="38"/>
      <c r="E329" s="38"/>
      <c r="F329" s="55"/>
      <c r="G329" s="55"/>
      <c r="H329" s="55"/>
      <c r="I329" s="55"/>
      <c r="J329" s="55"/>
      <c r="K329" s="55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</row>
    <row r="330">
      <c r="A330" s="38"/>
      <c r="B330" s="38"/>
      <c r="C330" s="38"/>
      <c r="D330" s="38"/>
      <c r="E330" s="38"/>
      <c r="F330" s="55"/>
      <c r="G330" s="55"/>
      <c r="H330" s="55"/>
      <c r="I330" s="55"/>
      <c r="J330" s="55"/>
      <c r="K330" s="55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</row>
    <row r="331">
      <c r="A331" s="38"/>
      <c r="B331" s="38"/>
      <c r="C331" s="38"/>
      <c r="D331" s="38"/>
      <c r="E331" s="38"/>
      <c r="F331" s="55"/>
      <c r="G331" s="55"/>
      <c r="H331" s="55"/>
      <c r="I331" s="55"/>
      <c r="J331" s="55"/>
      <c r="K331" s="55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</row>
    <row r="332">
      <c r="A332" s="38"/>
      <c r="B332" s="38"/>
      <c r="C332" s="38"/>
      <c r="D332" s="38"/>
      <c r="E332" s="38"/>
      <c r="F332" s="55"/>
      <c r="G332" s="55"/>
      <c r="H332" s="55"/>
      <c r="I332" s="55"/>
      <c r="J332" s="55"/>
      <c r="K332" s="55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</row>
    <row r="333">
      <c r="A333" s="38"/>
      <c r="B333" s="38"/>
      <c r="C333" s="38"/>
      <c r="D333" s="38"/>
      <c r="E333" s="38"/>
      <c r="F333" s="55"/>
      <c r="G333" s="55"/>
      <c r="H333" s="55"/>
      <c r="I333" s="55"/>
      <c r="J333" s="55"/>
      <c r="K333" s="55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</row>
    <row r="334">
      <c r="A334" s="38"/>
      <c r="B334" s="38"/>
      <c r="C334" s="38"/>
      <c r="D334" s="38"/>
      <c r="E334" s="38"/>
      <c r="F334" s="55"/>
      <c r="G334" s="55"/>
      <c r="H334" s="55"/>
      <c r="I334" s="55"/>
      <c r="J334" s="55"/>
      <c r="K334" s="55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</row>
    <row r="335">
      <c r="A335" s="38"/>
      <c r="B335" s="38"/>
      <c r="C335" s="38"/>
      <c r="D335" s="38"/>
      <c r="E335" s="38"/>
      <c r="F335" s="55"/>
      <c r="G335" s="55"/>
      <c r="H335" s="55"/>
      <c r="I335" s="55"/>
      <c r="J335" s="55"/>
      <c r="K335" s="55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</row>
    <row r="336">
      <c r="A336" s="38"/>
      <c r="B336" s="38"/>
      <c r="C336" s="38"/>
      <c r="D336" s="38"/>
      <c r="E336" s="38"/>
      <c r="F336" s="55"/>
      <c r="G336" s="55"/>
      <c r="H336" s="55"/>
      <c r="I336" s="55"/>
      <c r="J336" s="55"/>
      <c r="K336" s="55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</row>
    <row r="337">
      <c r="A337" s="38"/>
      <c r="B337" s="38"/>
      <c r="C337" s="38"/>
      <c r="D337" s="38"/>
      <c r="E337" s="38"/>
      <c r="F337" s="55"/>
      <c r="G337" s="55"/>
      <c r="H337" s="55"/>
      <c r="I337" s="55"/>
      <c r="J337" s="55"/>
      <c r="K337" s="55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</row>
    <row r="338">
      <c r="A338" s="38"/>
      <c r="B338" s="38"/>
      <c r="C338" s="38"/>
      <c r="D338" s="38"/>
      <c r="E338" s="38"/>
      <c r="F338" s="55"/>
      <c r="G338" s="55"/>
      <c r="H338" s="55"/>
      <c r="I338" s="55"/>
      <c r="J338" s="55"/>
      <c r="K338" s="55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</row>
    <row r="339">
      <c r="A339" s="38"/>
      <c r="B339" s="38"/>
      <c r="C339" s="38"/>
      <c r="D339" s="38"/>
      <c r="E339" s="38"/>
      <c r="F339" s="55"/>
      <c r="G339" s="55"/>
      <c r="H339" s="55"/>
      <c r="I339" s="55"/>
      <c r="J339" s="55"/>
      <c r="K339" s="55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</row>
    <row r="340">
      <c r="A340" s="38"/>
      <c r="B340" s="38"/>
      <c r="C340" s="38"/>
      <c r="D340" s="38"/>
      <c r="E340" s="38"/>
      <c r="F340" s="55"/>
      <c r="G340" s="55"/>
      <c r="H340" s="55"/>
      <c r="I340" s="55"/>
      <c r="J340" s="55"/>
      <c r="K340" s="55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</row>
    <row r="341">
      <c r="A341" s="38"/>
      <c r="B341" s="38"/>
      <c r="C341" s="38"/>
      <c r="D341" s="38"/>
      <c r="E341" s="38"/>
      <c r="F341" s="55"/>
      <c r="G341" s="55"/>
      <c r="H341" s="55"/>
      <c r="I341" s="55"/>
      <c r="J341" s="55"/>
      <c r="K341" s="55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</row>
    <row r="342">
      <c r="A342" s="38"/>
      <c r="B342" s="38"/>
      <c r="C342" s="38"/>
      <c r="D342" s="38"/>
      <c r="E342" s="38"/>
      <c r="F342" s="55"/>
      <c r="G342" s="55"/>
      <c r="H342" s="55"/>
      <c r="I342" s="55"/>
      <c r="J342" s="55"/>
      <c r="K342" s="55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</row>
    <row r="343">
      <c r="A343" s="38"/>
      <c r="B343" s="38"/>
      <c r="C343" s="38"/>
      <c r="D343" s="38"/>
      <c r="E343" s="38"/>
      <c r="F343" s="55"/>
      <c r="G343" s="55"/>
      <c r="H343" s="55"/>
      <c r="I343" s="55"/>
      <c r="J343" s="55"/>
      <c r="K343" s="55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</row>
    <row r="344">
      <c r="A344" s="38"/>
      <c r="B344" s="38"/>
      <c r="C344" s="38"/>
      <c r="D344" s="38"/>
      <c r="E344" s="38"/>
      <c r="F344" s="55"/>
      <c r="G344" s="55"/>
      <c r="H344" s="55"/>
      <c r="I344" s="55"/>
      <c r="J344" s="55"/>
      <c r="K344" s="55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</row>
    <row r="345">
      <c r="A345" s="38"/>
      <c r="B345" s="38"/>
      <c r="C345" s="38"/>
      <c r="D345" s="38"/>
      <c r="E345" s="38"/>
      <c r="F345" s="55"/>
      <c r="G345" s="55"/>
      <c r="H345" s="55"/>
      <c r="I345" s="55"/>
      <c r="J345" s="55"/>
      <c r="K345" s="55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</row>
    <row r="346">
      <c r="A346" s="38"/>
      <c r="B346" s="38"/>
      <c r="C346" s="38"/>
      <c r="D346" s="38"/>
      <c r="E346" s="38"/>
      <c r="F346" s="55"/>
      <c r="G346" s="55"/>
      <c r="H346" s="55"/>
      <c r="I346" s="55"/>
      <c r="J346" s="55"/>
      <c r="K346" s="55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</row>
    <row r="347">
      <c r="A347" s="38"/>
      <c r="B347" s="38"/>
      <c r="C347" s="38"/>
      <c r="D347" s="38"/>
      <c r="E347" s="38"/>
      <c r="F347" s="55"/>
      <c r="G347" s="55"/>
      <c r="H347" s="55"/>
      <c r="I347" s="55"/>
      <c r="J347" s="55"/>
      <c r="K347" s="55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</row>
    <row r="348">
      <c r="A348" s="38"/>
      <c r="B348" s="38"/>
      <c r="C348" s="38"/>
      <c r="D348" s="38"/>
      <c r="E348" s="38"/>
      <c r="F348" s="55"/>
      <c r="G348" s="55"/>
      <c r="H348" s="55"/>
      <c r="I348" s="55"/>
      <c r="J348" s="55"/>
      <c r="K348" s="55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</row>
    <row r="349">
      <c r="A349" s="38"/>
      <c r="B349" s="38"/>
      <c r="C349" s="38"/>
      <c r="D349" s="38"/>
      <c r="E349" s="38"/>
      <c r="F349" s="55"/>
      <c r="G349" s="55"/>
      <c r="H349" s="55"/>
      <c r="I349" s="55"/>
      <c r="J349" s="55"/>
      <c r="K349" s="55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</row>
    <row r="350">
      <c r="A350" s="38"/>
      <c r="B350" s="38"/>
      <c r="C350" s="38"/>
      <c r="D350" s="38"/>
      <c r="E350" s="38"/>
      <c r="F350" s="55"/>
      <c r="G350" s="55"/>
      <c r="H350" s="55"/>
      <c r="I350" s="55"/>
      <c r="J350" s="55"/>
      <c r="K350" s="55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</row>
    <row r="351">
      <c r="A351" s="38"/>
      <c r="B351" s="38"/>
      <c r="C351" s="38"/>
      <c r="D351" s="38"/>
      <c r="E351" s="38"/>
      <c r="F351" s="55"/>
      <c r="G351" s="55"/>
      <c r="H351" s="55"/>
      <c r="I351" s="55"/>
      <c r="J351" s="55"/>
      <c r="K351" s="55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</row>
    <row r="352">
      <c r="A352" s="38"/>
      <c r="B352" s="38"/>
      <c r="C352" s="38"/>
      <c r="D352" s="38"/>
      <c r="E352" s="38"/>
      <c r="F352" s="55"/>
      <c r="G352" s="55"/>
      <c r="H352" s="55"/>
      <c r="I352" s="55"/>
      <c r="J352" s="55"/>
      <c r="K352" s="55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</row>
    <row r="353">
      <c r="A353" s="38"/>
      <c r="B353" s="38"/>
      <c r="C353" s="38"/>
      <c r="D353" s="38"/>
      <c r="E353" s="38"/>
      <c r="F353" s="55"/>
      <c r="G353" s="55"/>
      <c r="H353" s="55"/>
      <c r="I353" s="55"/>
      <c r="J353" s="55"/>
      <c r="K353" s="55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</row>
    <row r="354">
      <c r="A354" s="38"/>
      <c r="B354" s="38"/>
      <c r="C354" s="38"/>
      <c r="D354" s="38"/>
      <c r="E354" s="38"/>
      <c r="F354" s="55"/>
      <c r="G354" s="55"/>
      <c r="H354" s="55"/>
      <c r="I354" s="55"/>
      <c r="J354" s="55"/>
      <c r="K354" s="55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</row>
    <row r="355">
      <c r="A355" s="38"/>
      <c r="B355" s="38"/>
      <c r="C355" s="38"/>
      <c r="D355" s="38"/>
      <c r="E355" s="38"/>
      <c r="F355" s="55"/>
      <c r="G355" s="55"/>
      <c r="H355" s="55"/>
      <c r="I355" s="55"/>
      <c r="J355" s="55"/>
      <c r="K355" s="55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</row>
    <row r="356">
      <c r="A356" s="38"/>
      <c r="B356" s="38"/>
      <c r="C356" s="38"/>
      <c r="D356" s="38"/>
      <c r="E356" s="38"/>
      <c r="F356" s="55"/>
      <c r="G356" s="55"/>
      <c r="H356" s="55"/>
      <c r="I356" s="55"/>
      <c r="J356" s="55"/>
      <c r="K356" s="55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</row>
    <row r="357">
      <c r="A357" s="38"/>
      <c r="B357" s="38"/>
      <c r="C357" s="38"/>
      <c r="D357" s="38"/>
      <c r="E357" s="38"/>
      <c r="F357" s="55"/>
      <c r="G357" s="55"/>
      <c r="H357" s="55"/>
      <c r="I357" s="55"/>
      <c r="J357" s="55"/>
      <c r="K357" s="55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</row>
    <row r="358">
      <c r="A358" s="38"/>
      <c r="B358" s="38"/>
      <c r="C358" s="38"/>
      <c r="D358" s="38"/>
      <c r="E358" s="38"/>
      <c r="F358" s="55"/>
      <c r="G358" s="55"/>
      <c r="H358" s="55"/>
      <c r="I358" s="55"/>
      <c r="J358" s="55"/>
      <c r="K358" s="55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</row>
    <row r="359">
      <c r="A359" s="38"/>
      <c r="B359" s="38"/>
      <c r="C359" s="38"/>
      <c r="D359" s="38"/>
      <c r="E359" s="38"/>
      <c r="F359" s="55"/>
      <c r="G359" s="55"/>
      <c r="H359" s="55"/>
      <c r="I359" s="55"/>
      <c r="J359" s="55"/>
      <c r="K359" s="55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</row>
    <row r="360">
      <c r="A360" s="38"/>
      <c r="B360" s="38"/>
      <c r="C360" s="38"/>
      <c r="D360" s="38"/>
      <c r="E360" s="38"/>
      <c r="F360" s="55"/>
      <c r="G360" s="55"/>
      <c r="H360" s="55"/>
      <c r="I360" s="55"/>
      <c r="J360" s="55"/>
      <c r="K360" s="55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</row>
    <row r="361">
      <c r="A361" s="38"/>
      <c r="B361" s="38"/>
      <c r="C361" s="38"/>
      <c r="D361" s="38"/>
      <c r="E361" s="38"/>
      <c r="F361" s="55"/>
      <c r="G361" s="55"/>
      <c r="H361" s="55"/>
      <c r="I361" s="55"/>
      <c r="J361" s="55"/>
      <c r="K361" s="55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</row>
    <row r="362">
      <c r="A362" s="38"/>
      <c r="B362" s="38"/>
      <c r="C362" s="38"/>
      <c r="D362" s="38"/>
      <c r="E362" s="38"/>
      <c r="F362" s="55"/>
      <c r="G362" s="55"/>
      <c r="H362" s="55"/>
      <c r="I362" s="55"/>
      <c r="J362" s="55"/>
      <c r="K362" s="55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</row>
    <row r="363">
      <c r="A363" s="38"/>
      <c r="B363" s="38"/>
      <c r="C363" s="38"/>
      <c r="D363" s="38"/>
      <c r="E363" s="38"/>
      <c r="F363" s="55"/>
      <c r="G363" s="55"/>
      <c r="H363" s="55"/>
      <c r="I363" s="55"/>
      <c r="J363" s="55"/>
      <c r="K363" s="55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</row>
    <row r="364">
      <c r="A364" s="38"/>
      <c r="B364" s="38"/>
      <c r="C364" s="38"/>
      <c r="D364" s="38"/>
      <c r="E364" s="38"/>
      <c r="F364" s="55"/>
      <c r="G364" s="55"/>
      <c r="H364" s="55"/>
      <c r="I364" s="55"/>
      <c r="J364" s="55"/>
      <c r="K364" s="55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</row>
    <row r="365">
      <c r="A365" s="38"/>
      <c r="B365" s="38"/>
      <c r="C365" s="38"/>
      <c r="D365" s="38"/>
      <c r="E365" s="38"/>
      <c r="F365" s="55"/>
      <c r="G365" s="55"/>
      <c r="H365" s="55"/>
      <c r="I365" s="55"/>
      <c r="J365" s="55"/>
      <c r="K365" s="55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</row>
    <row r="366">
      <c r="A366" s="38"/>
      <c r="B366" s="38"/>
      <c r="C366" s="38"/>
      <c r="D366" s="38"/>
      <c r="E366" s="38"/>
      <c r="F366" s="55"/>
      <c r="G366" s="55"/>
      <c r="H366" s="55"/>
      <c r="I366" s="55"/>
      <c r="J366" s="55"/>
      <c r="K366" s="55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</row>
    <row r="367">
      <c r="A367" s="38"/>
      <c r="B367" s="38"/>
      <c r="C367" s="38"/>
      <c r="D367" s="38"/>
      <c r="E367" s="38"/>
      <c r="F367" s="55"/>
      <c r="G367" s="55"/>
      <c r="H367" s="55"/>
      <c r="I367" s="55"/>
      <c r="J367" s="55"/>
      <c r="K367" s="55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</row>
    <row r="368">
      <c r="A368" s="38"/>
      <c r="B368" s="38"/>
      <c r="C368" s="38"/>
      <c r="D368" s="38"/>
      <c r="E368" s="38"/>
      <c r="F368" s="55"/>
      <c r="G368" s="55"/>
      <c r="H368" s="55"/>
      <c r="I368" s="55"/>
      <c r="J368" s="55"/>
      <c r="K368" s="55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</row>
    <row r="369">
      <c r="A369" s="38"/>
      <c r="B369" s="38"/>
      <c r="C369" s="38"/>
      <c r="D369" s="38"/>
      <c r="E369" s="38"/>
      <c r="F369" s="55"/>
      <c r="G369" s="55"/>
      <c r="H369" s="55"/>
      <c r="I369" s="55"/>
      <c r="J369" s="55"/>
      <c r="K369" s="55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</row>
    <row r="370">
      <c r="A370" s="38"/>
      <c r="B370" s="38"/>
      <c r="C370" s="38"/>
      <c r="D370" s="38"/>
      <c r="E370" s="38"/>
      <c r="F370" s="55"/>
      <c r="G370" s="55"/>
      <c r="H370" s="55"/>
      <c r="I370" s="55"/>
      <c r="J370" s="55"/>
      <c r="K370" s="55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</row>
    <row r="371">
      <c r="A371" s="38"/>
      <c r="B371" s="38"/>
      <c r="C371" s="38"/>
      <c r="D371" s="38"/>
      <c r="E371" s="38"/>
      <c r="F371" s="55"/>
      <c r="G371" s="55"/>
      <c r="H371" s="55"/>
      <c r="I371" s="55"/>
      <c r="J371" s="55"/>
      <c r="K371" s="55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</row>
    <row r="372">
      <c r="A372" s="38"/>
      <c r="B372" s="38"/>
      <c r="C372" s="38"/>
      <c r="D372" s="38"/>
      <c r="E372" s="38"/>
      <c r="F372" s="55"/>
      <c r="G372" s="55"/>
      <c r="H372" s="55"/>
      <c r="I372" s="55"/>
      <c r="J372" s="55"/>
      <c r="K372" s="55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</row>
    <row r="373">
      <c r="A373" s="38"/>
      <c r="B373" s="38"/>
      <c r="C373" s="38"/>
      <c r="D373" s="38"/>
      <c r="E373" s="38"/>
      <c r="F373" s="55"/>
      <c r="G373" s="55"/>
      <c r="H373" s="55"/>
      <c r="I373" s="55"/>
      <c r="J373" s="55"/>
      <c r="K373" s="55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</row>
    <row r="374">
      <c r="A374" s="38"/>
      <c r="B374" s="38"/>
      <c r="C374" s="38"/>
      <c r="D374" s="38"/>
      <c r="E374" s="38"/>
      <c r="F374" s="55"/>
      <c r="G374" s="55"/>
      <c r="H374" s="55"/>
      <c r="I374" s="55"/>
      <c r="J374" s="55"/>
      <c r="K374" s="55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</row>
    <row r="375">
      <c r="A375" s="38"/>
      <c r="B375" s="38"/>
      <c r="C375" s="38"/>
      <c r="D375" s="38"/>
      <c r="E375" s="38"/>
      <c r="F375" s="55"/>
      <c r="G375" s="55"/>
      <c r="H375" s="55"/>
      <c r="I375" s="55"/>
      <c r="J375" s="55"/>
      <c r="K375" s="55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</row>
    <row r="376">
      <c r="A376" s="38"/>
      <c r="B376" s="38"/>
      <c r="C376" s="38"/>
      <c r="D376" s="38"/>
      <c r="E376" s="38"/>
      <c r="F376" s="55"/>
      <c r="G376" s="55"/>
      <c r="H376" s="55"/>
      <c r="I376" s="55"/>
      <c r="J376" s="55"/>
      <c r="K376" s="55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</row>
    <row r="377">
      <c r="A377" s="38"/>
      <c r="B377" s="38"/>
      <c r="C377" s="38"/>
      <c r="D377" s="38"/>
      <c r="E377" s="38"/>
      <c r="F377" s="55"/>
      <c r="G377" s="55"/>
      <c r="H377" s="55"/>
      <c r="I377" s="55"/>
      <c r="J377" s="55"/>
      <c r="K377" s="55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</row>
    <row r="378">
      <c r="A378" s="38"/>
      <c r="B378" s="38"/>
      <c r="C378" s="38"/>
      <c r="D378" s="38"/>
      <c r="E378" s="38"/>
      <c r="F378" s="55"/>
      <c r="G378" s="55"/>
      <c r="H378" s="55"/>
      <c r="I378" s="55"/>
      <c r="J378" s="55"/>
      <c r="K378" s="55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</row>
    <row r="379">
      <c r="A379" s="38"/>
      <c r="B379" s="38"/>
      <c r="C379" s="38"/>
      <c r="D379" s="38"/>
      <c r="E379" s="38"/>
      <c r="F379" s="55"/>
      <c r="G379" s="55"/>
      <c r="H379" s="55"/>
      <c r="I379" s="55"/>
      <c r="J379" s="55"/>
      <c r="K379" s="55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</row>
    <row r="380">
      <c r="A380" s="38"/>
      <c r="B380" s="38"/>
      <c r="C380" s="38"/>
      <c r="D380" s="38"/>
      <c r="E380" s="38"/>
      <c r="F380" s="55"/>
      <c r="G380" s="55"/>
      <c r="H380" s="55"/>
      <c r="I380" s="55"/>
      <c r="J380" s="55"/>
      <c r="K380" s="55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</row>
    <row r="381">
      <c r="A381" s="38"/>
      <c r="B381" s="38"/>
      <c r="C381" s="38"/>
      <c r="D381" s="38"/>
      <c r="E381" s="38"/>
      <c r="F381" s="55"/>
      <c r="G381" s="55"/>
      <c r="H381" s="55"/>
      <c r="I381" s="55"/>
      <c r="J381" s="55"/>
      <c r="K381" s="55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</row>
    <row r="382">
      <c r="A382" s="38"/>
      <c r="B382" s="38"/>
      <c r="C382" s="38"/>
      <c r="D382" s="38"/>
      <c r="E382" s="38"/>
      <c r="F382" s="55"/>
      <c r="G382" s="55"/>
      <c r="H382" s="55"/>
      <c r="I382" s="55"/>
      <c r="J382" s="55"/>
      <c r="K382" s="55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</row>
    <row r="383">
      <c r="A383" s="38"/>
      <c r="B383" s="38"/>
      <c r="C383" s="38"/>
      <c r="D383" s="38"/>
      <c r="E383" s="38"/>
      <c r="F383" s="55"/>
      <c r="G383" s="55"/>
      <c r="H383" s="55"/>
      <c r="I383" s="55"/>
      <c r="J383" s="55"/>
      <c r="K383" s="55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</row>
    <row r="384">
      <c r="A384" s="38"/>
      <c r="B384" s="38"/>
      <c r="C384" s="38"/>
      <c r="D384" s="38"/>
      <c r="E384" s="38"/>
      <c r="F384" s="55"/>
      <c r="G384" s="55"/>
      <c r="H384" s="55"/>
      <c r="I384" s="55"/>
      <c r="J384" s="55"/>
      <c r="K384" s="55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</row>
    <row r="385">
      <c r="A385" s="38"/>
      <c r="B385" s="38"/>
      <c r="C385" s="38"/>
      <c r="D385" s="38"/>
      <c r="E385" s="38"/>
      <c r="F385" s="55"/>
      <c r="G385" s="55"/>
      <c r="H385" s="55"/>
      <c r="I385" s="55"/>
      <c r="J385" s="55"/>
      <c r="K385" s="55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</row>
    <row r="386">
      <c r="A386" s="38"/>
      <c r="B386" s="38"/>
      <c r="C386" s="38"/>
      <c r="D386" s="38"/>
      <c r="E386" s="38"/>
      <c r="F386" s="55"/>
      <c r="G386" s="55"/>
      <c r="H386" s="55"/>
      <c r="I386" s="55"/>
      <c r="J386" s="55"/>
      <c r="K386" s="55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</row>
    <row r="387">
      <c r="A387" s="38"/>
      <c r="B387" s="38"/>
      <c r="C387" s="38"/>
      <c r="D387" s="38"/>
      <c r="E387" s="38"/>
      <c r="F387" s="55"/>
      <c r="G387" s="55"/>
      <c r="H387" s="55"/>
      <c r="I387" s="55"/>
      <c r="J387" s="55"/>
      <c r="K387" s="55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</row>
    <row r="388">
      <c r="A388" s="38"/>
      <c r="B388" s="38"/>
      <c r="C388" s="38"/>
      <c r="D388" s="38"/>
      <c r="E388" s="38"/>
      <c r="F388" s="55"/>
      <c r="G388" s="55"/>
      <c r="H388" s="55"/>
      <c r="I388" s="55"/>
      <c r="J388" s="55"/>
      <c r="K388" s="55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</row>
    <row r="389">
      <c r="A389" s="38"/>
      <c r="B389" s="38"/>
      <c r="C389" s="38"/>
      <c r="D389" s="38"/>
      <c r="E389" s="38"/>
      <c r="F389" s="55"/>
      <c r="G389" s="55"/>
      <c r="H389" s="55"/>
      <c r="I389" s="55"/>
      <c r="J389" s="55"/>
      <c r="K389" s="55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</row>
    <row r="390">
      <c r="A390" s="38"/>
      <c r="B390" s="38"/>
      <c r="C390" s="38"/>
      <c r="D390" s="38"/>
      <c r="E390" s="38"/>
      <c r="F390" s="55"/>
      <c r="G390" s="55"/>
      <c r="H390" s="55"/>
      <c r="I390" s="55"/>
      <c r="J390" s="55"/>
      <c r="K390" s="55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</row>
    <row r="391">
      <c r="A391" s="38"/>
      <c r="B391" s="38"/>
      <c r="C391" s="38"/>
      <c r="D391" s="38"/>
      <c r="E391" s="38"/>
      <c r="F391" s="55"/>
      <c r="G391" s="55"/>
      <c r="H391" s="55"/>
      <c r="I391" s="55"/>
      <c r="J391" s="55"/>
      <c r="K391" s="55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</row>
    <row r="392">
      <c r="A392" s="38"/>
      <c r="B392" s="38"/>
      <c r="C392" s="38"/>
      <c r="D392" s="38"/>
      <c r="E392" s="38"/>
      <c r="F392" s="55"/>
      <c r="G392" s="55"/>
      <c r="H392" s="55"/>
      <c r="I392" s="55"/>
      <c r="J392" s="55"/>
      <c r="K392" s="55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</row>
    <row r="393">
      <c r="A393" s="38"/>
      <c r="B393" s="38"/>
      <c r="C393" s="38"/>
      <c r="D393" s="38"/>
      <c r="E393" s="38"/>
      <c r="F393" s="55"/>
      <c r="G393" s="55"/>
      <c r="H393" s="55"/>
      <c r="I393" s="55"/>
      <c r="J393" s="55"/>
      <c r="K393" s="55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</row>
    <row r="394">
      <c r="A394" s="38"/>
      <c r="B394" s="38"/>
      <c r="C394" s="38"/>
      <c r="D394" s="38"/>
      <c r="E394" s="38"/>
      <c r="F394" s="55"/>
      <c r="G394" s="55"/>
      <c r="H394" s="55"/>
      <c r="I394" s="55"/>
      <c r="J394" s="55"/>
      <c r="K394" s="55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</row>
    <row r="395">
      <c r="A395" s="38"/>
      <c r="B395" s="38"/>
      <c r="C395" s="38"/>
      <c r="D395" s="38"/>
      <c r="E395" s="38"/>
      <c r="F395" s="55"/>
      <c r="G395" s="55"/>
      <c r="H395" s="55"/>
      <c r="I395" s="55"/>
      <c r="J395" s="55"/>
      <c r="K395" s="55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</row>
    <row r="396">
      <c r="A396" s="38"/>
      <c r="B396" s="38"/>
      <c r="C396" s="38"/>
      <c r="D396" s="38"/>
      <c r="E396" s="38"/>
      <c r="F396" s="55"/>
      <c r="G396" s="55"/>
      <c r="H396" s="55"/>
      <c r="I396" s="55"/>
      <c r="J396" s="55"/>
      <c r="K396" s="55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</row>
    <row r="397">
      <c r="A397" s="38"/>
      <c r="B397" s="38"/>
      <c r="C397" s="38"/>
      <c r="D397" s="38"/>
      <c r="E397" s="38"/>
      <c r="F397" s="55"/>
      <c r="G397" s="55"/>
      <c r="H397" s="55"/>
      <c r="I397" s="55"/>
      <c r="J397" s="55"/>
      <c r="K397" s="55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</row>
    <row r="398">
      <c r="A398" s="38"/>
      <c r="B398" s="38"/>
      <c r="C398" s="38"/>
      <c r="D398" s="38"/>
      <c r="E398" s="38"/>
      <c r="F398" s="55"/>
      <c r="G398" s="55"/>
      <c r="H398" s="55"/>
      <c r="I398" s="55"/>
      <c r="J398" s="55"/>
      <c r="K398" s="55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</row>
    <row r="399">
      <c r="A399" s="38"/>
      <c r="B399" s="38"/>
      <c r="C399" s="38"/>
      <c r="D399" s="38"/>
      <c r="E399" s="38"/>
      <c r="F399" s="55"/>
      <c r="G399" s="55"/>
      <c r="H399" s="55"/>
      <c r="I399" s="55"/>
      <c r="J399" s="55"/>
      <c r="K399" s="55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</row>
    <row r="400">
      <c r="A400" s="38"/>
      <c r="B400" s="38"/>
      <c r="C400" s="38"/>
      <c r="D400" s="38"/>
      <c r="E400" s="38"/>
      <c r="F400" s="55"/>
      <c r="G400" s="55"/>
      <c r="H400" s="55"/>
      <c r="I400" s="55"/>
      <c r="J400" s="55"/>
      <c r="K400" s="55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</row>
    <row r="401">
      <c r="A401" s="38"/>
      <c r="B401" s="38"/>
      <c r="C401" s="38"/>
      <c r="D401" s="38"/>
      <c r="E401" s="38"/>
      <c r="F401" s="55"/>
      <c r="G401" s="55"/>
      <c r="H401" s="55"/>
      <c r="I401" s="55"/>
      <c r="J401" s="55"/>
      <c r="K401" s="55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</row>
    <row r="402">
      <c r="A402" s="38"/>
      <c r="B402" s="38"/>
      <c r="C402" s="38"/>
      <c r="D402" s="38"/>
      <c r="E402" s="38"/>
      <c r="F402" s="55"/>
      <c r="G402" s="55"/>
      <c r="H402" s="55"/>
      <c r="I402" s="55"/>
      <c r="J402" s="55"/>
      <c r="K402" s="55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</row>
    <row r="403">
      <c r="A403" s="38"/>
      <c r="B403" s="38"/>
      <c r="C403" s="38"/>
      <c r="D403" s="38"/>
      <c r="E403" s="38"/>
      <c r="F403" s="55"/>
      <c r="G403" s="55"/>
      <c r="H403" s="55"/>
      <c r="I403" s="55"/>
      <c r="J403" s="55"/>
      <c r="K403" s="55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</row>
    <row r="404">
      <c r="A404" s="38"/>
      <c r="B404" s="38"/>
      <c r="C404" s="38"/>
      <c r="D404" s="38"/>
      <c r="E404" s="38"/>
      <c r="F404" s="55"/>
      <c r="G404" s="55"/>
      <c r="H404" s="55"/>
      <c r="I404" s="55"/>
      <c r="J404" s="55"/>
      <c r="K404" s="55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</row>
    <row r="405">
      <c r="A405" s="38"/>
      <c r="B405" s="38"/>
      <c r="C405" s="38"/>
      <c r="D405" s="38"/>
      <c r="E405" s="38"/>
      <c r="F405" s="55"/>
      <c r="G405" s="55"/>
      <c r="H405" s="55"/>
      <c r="I405" s="55"/>
      <c r="J405" s="55"/>
      <c r="K405" s="55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</row>
    <row r="406">
      <c r="A406" s="38"/>
      <c r="B406" s="38"/>
      <c r="C406" s="38"/>
      <c r="D406" s="38"/>
      <c r="E406" s="38"/>
      <c r="F406" s="55"/>
      <c r="G406" s="55"/>
      <c r="H406" s="55"/>
      <c r="I406" s="55"/>
      <c r="J406" s="55"/>
      <c r="K406" s="55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</row>
    <row r="407">
      <c r="A407" s="38"/>
      <c r="B407" s="38"/>
      <c r="C407" s="38"/>
      <c r="D407" s="38"/>
      <c r="E407" s="38"/>
      <c r="F407" s="55"/>
      <c r="G407" s="55"/>
      <c r="H407" s="55"/>
      <c r="I407" s="55"/>
      <c r="J407" s="55"/>
      <c r="K407" s="55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</row>
    <row r="408">
      <c r="A408" s="38"/>
      <c r="B408" s="38"/>
      <c r="C408" s="38"/>
      <c r="D408" s="38"/>
      <c r="E408" s="38"/>
      <c r="F408" s="55"/>
      <c r="G408" s="55"/>
      <c r="H408" s="55"/>
      <c r="I408" s="55"/>
      <c r="J408" s="55"/>
      <c r="K408" s="55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</row>
    <row r="409">
      <c r="A409" s="38"/>
      <c r="B409" s="38"/>
      <c r="C409" s="38"/>
      <c r="D409" s="38"/>
      <c r="E409" s="38"/>
      <c r="F409" s="55"/>
      <c r="G409" s="55"/>
      <c r="H409" s="55"/>
      <c r="I409" s="55"/>
      <c r="J409" s="55"/>
      <c r="K409" s="55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</row>
    <row r="410">
      <c r="A410" s="38"/>
      <c r="B410" s="38"/>
      <c r="C410" s="38"/>
      <c r="D410" s="38"/>
      <c r="E410" s="38"/>
      <c r="F410" s="55"/>
      <c r="G410" s="55"/>
      <c r="H410" s="55"/>
      <c r="I410" s="55"/>
      <c r="J410" s="55"/>
      <c r="K410" s="55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</row>
    <row r="411">
      <c r="A411" s="38"/>
      <c r="B411" s="38"/>
      <c r="C411" s="38"/>
      <c r="D411" s="38"/>
      <c r="E411" s="38"/>
      <c r="F411" s="55"/>
      <c r="G411" s="55"/>
      <c r="H411" s="55"/>
      <c r="I411" s="55"/>
      <c r="J411" s="55"/>
      <c r="K411" s="55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</row>
    <row r="412">
      <c r="A412" s="38"/>
      <c r="B412" s="38"/>
      <c r="C412" s="38"/>
      <c r="D412" s="38"/>
      <c r="E412" s="38"/>
      <c r="F412" s="55"/>
      <c r="G412" s="55"/>
      <c r="H412" s="55"/>
      <c r="I412" s="55"/>
      <c r="J412" s="55"/>
      <c r="K412" s="55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</row>
    <row r="413">
      <c r="A413" s="38"/>
      <c r="B413" s="38"/>
      <c r="C413" s="38"/>
      <c r="D413" s="38"/>
      <c r="E413" s="38"/>
      <c r="F413" s="55"/>
      <c r="G413" s="55"/>
      <c r="H413" s="55"/>
      <c r="I413" s="55"/>
      <c r="J413" s="55"/>
      <c r="K413" s="55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</row>
    <row r="414">
      <c r="A414" s="38"/>
      <c r="B414" s="38"/>
      <c r="C414" s="38"/>
      <c r="D414" s="38"/>
      <c r="E414" s="38"/>
      <c r="F414" s="55"/>
      <c r="G414" s="55"/>
      <c r="H414" s="55"/>
      <c r="I414" s="55"/>
      <c r="J414" s="55"/>
      <c r="K414" s="55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</row>
    <row r="415">
      <c r="A415" s="38"/>
      <c r="B415" s="38"/>
      <c r="C415" s="38"/>
      <c r="D415" s="38"/>
      <c r="E415" s="38"/>
      <c r="F415" s="55"/>
      <c r="G415" s="55"/>
      <c r="H415" s="55"/>
      <c r="I415" s="55"/>
      <c r="J415" s="55"/>
      <c r="K415" s="55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</row>
    <row r="416">
      <c r="A416" s="38"/>
      <c r="B416" s="38"/>
      <c r="C416" s="38"/>
      <c r="D416" s="38"/>
      <c r="E416" s="38"/>
      <c r="F416" s="55"/>
      <c r="G416" s="55"/>
      <c r="H416" s="55"/>
      <c r="I416" s="55"/>
      <c r="J416" s="55"/>
      <c r="K416" s="55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</row>
    <row r="417">
      <c r="A417" s="38"/>
      <c r="B417" s="38"/>
      <c r="C417" s="38"/>
      <c r="D417" s="38"/>
      <c r="E417" s="38"/>
      <c r="F417" s="55"/>
      <c r="G417" s="55"/>
      <c r="H417" s="55"/>
      <c r="I417" s="55"/>
      <c r="J417" s="55"/>
      <c r="K417" s="55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</row>
    <row r="418">
      <c r="A418" s="38"/>
      <c r="B418" s="38"/>
      <c r="C418" s="38"/>
      <c r="D418" s="38"/>
      <c r="E418" s="38"/>
      <c r="F418" s="55"/>
      <c r="G418" s="55"/>
      <c r="H418" s="55"/>
      <c r="I418" s="55"/>
      <c r="J418" s="55"/>
      <c r="K418" s="55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</row>
    <row r="419">
      <c r="A419" s="38"/>
      <c r="B419" s="38"/>
      <c r="C419" s="38"/>
      <c r="D419" s="38"/>
      <c r="E419" s="38"/>
      <c r="F419" s="55"/>
      <c r="G419" s="55"/>
      <c r="H419" s="55"/>
      <c r="I419" s="55"/>
      <c r="J419" s="55"/>
      <c r="K419" s="55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</row>
    <row r="420">
      <c r="A420" s="38"/>
      <c r="B420" s="38"/>
      <c r="C420" s="38"/>
      <c r="D420" s="38"/>
      <c r="E420" s="38"/>
      <c r="F420" s="55"/>
      <c r="G420" s="55"/>
      <c r="H420" s="55"/>
      <c r="I420" s="55"/>
      <c r="J420" s="55"/>
      <c r="K420" s="55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</row>
    <row r="421">
      <c r="A421" s="38"/>
      <c r="B421" s="38"/>
      <c r="C421" s="38"/>
      <c r="D421" s="38"/>
      <c r="E421" s="38"/>
      <c r="F421" s="55"/>
      <c r="G421" s="55"/>
      <c r="H421" s="55"/>
      <c r="I421" s="55"/>
      <c r="J421" s="55"/>
      <c r="K421" s="55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</row>
    <row r="422">
      <c r="A422" s="38"/>
      <c r="B422" s="38"/>
      <c r="C422" s="38"/>
      <c r="D422" s="38"/>
      <c r="E422" s="38"/>
      <c r="F422" s="55"/>
      <c r="G422" s="55"/>
      <c r="H422" s="55"/>
      <c r="I422" s="55"/>
      <c r="J422" s="55"/>
      <c r="K422" s="55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</row>
    <row r="423">
      <c r="A423" s="38"/>
      <c r="B423" s="38"/>
      <c r="C423" s="38"/>
      <c r="D423" s="38"/>
      <c r="E423" s="38"/>
      <c r="F423" s="55"/>
      <c r="G423" s="55"/>
      <c r="H423" s="55"/>
      <c r="I423" s="55"/>
      <c r="J423" s="55"/>
      <c r="K423" s="55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</row>
    <row r="424">
      <c r="A424" s="38"/>
      <c r="B424" s="38"/>
      <c r="C424" s="38"/>
      <c r="D424" s="38"/>
      <c r="E424" s="38"/>
      <c r="F424" s="55"/>
      <c r="G424" s="55"/>
      <c r="H424" s="55"/>
      <c r="I424" s="55"/>
      <c r="J424" s="55"/>
      <c r="K424" s="55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</row>
    <row r="425">
      <c r="A425" s="38"/>
      <c r="B425" s="38"/>
      <c r="C425" s="38"/>
      <c r="D425" s="38"/>
      <c r="E425" s="38"/>
      <c r="F425" s="55"/>
      <c r="G425" s="55"/>
      <c r="H425" s="55"/>
      <c r="I425" s="55"/>
      <c r="J425" s="55"/>
      <c r="K425" s="55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</row>
    <row r="426">
      <c r="A426" s="38"/>
      <c r="B426" s="38"/>
      <c r="C426" s="38"/>
      <c r="D426" s="38"/>
      <c r="E426" s="38"/>
      <c r="F426" s="55"/>
      <c r="G426" s="55"/>
      <c r="H426" s="55"/>
      <c r="I426" s="55"/>
      <c r="J426" s="55"/>
      <c r="K426" s="55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</row>
    <row r="427">
      <c r="A427" s="38"/>
      <c r="B427" s="38"/>
      <c r="C427" s="38"/>
      <c r="D427" s="38"/>
      <c r="E427" s="38"/>
      <c r="F427" s="55"/>
      <c r="G427" s="55"/>
      <c r="H427" s="55"/>
      <c r="I427" s="55"/>
      <c r="J427" s="55"/>
      <c r="K427" s="55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</row>
    <row r="428">
      <c r="A428" s="38"/>
      <c r="B428" s="38"/>
      <c r="C428" s="38"/>
      <c r="D428" s="38"/>
      <c r="E428" s="38"/>
      <c r="F428" s="55"/>
      <c r="G428" s="55"/>
      <c r="H428" s="55"/>
      <c r="I428" s="55"/>
      <c r="J428" s="55"/>
      <c r="K428" s="55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</row>
    <row r="429">
      <c r="A429" s="38"/>
      <c r="B429" s="38"/>
      <c r="C429" s="38"/>
      <c r="D429" s="38"/>
      <c r="E429" s="38"/>
      <c r="F429" s="55"/>
      <c r="G429" s="55"/>
      <c r="H429" s="55"/>
      <c r="I429" s="55"/>
      <c r="J429" s="55"/>
      <c r="K429" s="55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</row>
    <row r="430">
      <c r="A430" s="38"/>
      <c r="B430" s="38"/>
      <c r="C430" s="38"/>
      <c r="D430" s="38"/>
      <c r="E430" s="38"/>
      <c r="F430" s="55"/>
      <c r="G430" s="55"/>
      <c r="H430" s="55"/>
      <c r="I430" s="55"/>
      <c r="J430" s="55"/>
      <c r="K430" s="55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</row>
    <row r="431">
      <c r="A431" s="38"/>
      <c r="B431" s="38"/>
      <c r="C431" s="38"/>
      <c r="D431" s="38"/>
      <c r="E431" s="38"/>
      <c r="F431" s="55"/>
      <c r="G431" s="55"/>
      <c r="H431" s="55"/>
      <c r="I431" s="55"/>
      <c r="J431" s="55"/>
      <c r="K431" s="55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</row>
    <row r="432">
      <c r="A432" s="38"/>
      <c r="B432" s="38"/>
      <c r="C432" s="38"/>
      <c r="D432" s="38"/>
      <c r="E432" s="38"/>
      <c r="F432" s="55"/>
      <c r="G432" s="55"/>
      <c r="H432" s="55"/>
      <c r="I432" s="55"/>
      <c r="J432" s="55"/>
      <c r="K432" s="55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</row>
    <row r="433">
      <c r="A433" s="38"/>
      <c r="B433" s="38"/>
      <c r="C433" s="38"/>
      <c r="D433" s="38"/>
      <c r="E433" s="38"/>
      <c r="F433" s="55"/>
      <c r="G433" s="55"/>
      <c r="H433" s="55"/>
      <c r="I433" s="55"/>
      <c r="J433" s="55"/>
      <c r="K433" s="55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</row>
    <row r="434">
      <c r="A434" s="38"/>
      <c r="B434" s="38"/>
      <c r="C434" s="38"/>
      <c r="D434" s="38"/>
      <c r="E434" s="38"/>
      <c r="F434" s="55"/>
      <c r="G434" s="55"/>
      <c r="H434" s="55"/>
      <c r="I434" s="55"/>
      <c r="J434" s="55"/>
      <c r="K434" s="55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</row>
    <row r="435">
      <c r="A435" s="38"/>
      <c r="B435" s="38"/>
      <c r="C435" s="38"/>
      <c r="D435" s="38"/>
      <c r="E435" s="38"/>
      <c r="F435" s="55"/>
      <c r="G435" s="55"/>
      <c r="H435" s="55"/>
      <c r="I435" s="55"/>
      <c r="J435" s="55"/>
      <c r="K435" s="55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</row>
    <row r="436">
      <c r="A436" s="38"/>
      <c r="B436" s="38"/>
      <c r="C436" s="38"/>
      <c r="D436" s="38"/>
      <c r="E436" s="38"/>
      <c r="F436" s="55"/>
      <c r="G436" s="55"/>
      <c r="H436" s="55"/>
      <c r="I436" s="55"/>
      <c r="J436" s="55"/>
      <c r="K436" s="55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</row>
    <row r="437">
      <c r="A437" s="38"/>
      <c r="B437" s="38"/>
      <c r="C437" s="38"/>
      <c r="D437" s="38"/>
      <c r="E437" s="38"/>
      <c r="F437" s="55"/>
      <c r="G437" s="55"/>
      <c r="H437" s="55"/>
      <c r="I437" s="55"/>
      <c r="J437" s="55"/>
      <c r="K437" s="55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</row>
    <row r="438">
      <c r="A438" s="38"/>
      <c r="B438" s="38"/>
      <c r="C438" s="38"/>
      <c r="D438" s="38"/>
      <c r="E438" s="38"/>
      <c r="F438" s="55"/>
      <c r="G438" s="55"/>
      <c r="H438" s="55"/>
      <c r="I438" s="55"/>
      <c r="J438" s="55"/>
      <c r="K438" s="55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</row>
    <row r="439">
      <c r="A439" s="38"/>
      <c r="B439" s="38"/>
      <c r="C439" s="38"/>
      <c r="D439" s="38"/>
      <c r="E439" s="38"/>
      <c r="F439" s="55"/>
      <c r="G439" s="55"/>
      <c r="H439" s="55"/>
      <c r="I439" s="55"/>
      <c r="J439" s="55"/>
      <c r="K439" s="55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</row>
    <row r="440">
      <c r="A440" s="38"/>
      <c r="B440" s="38"/>
      <c r="C440" s="38"/>
      <c r="D440" s="38"/>
      <c r="E440" s="38"/>
      <c r="F440" s="55"/>
      <c r="G440" s="55"/>
      <c r="H440" s="55"/>
      <c r="I440" s="55"/>
      <c r="J440" s="55"/>
      <c r="K440" s="55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</row>
    <row r="441">
      <c r="A441" s="38"/>
      <c r="B441" s="38"/>
      <c r="C441" s="38"/>
      <c r="D441" s="38"/>
      <c r="E441" s="38"/>
      <c r="F441" s="55"/>
      <c r="G441" s="55"/>
      <c r="H441" s="55"/>
      <c r="I441" s="55"/>
      <c r="J441" s="55"/>
      <c r="K441" s="55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</row>
    <row r="442">
      <c r="A442" s="38"/>
      <c r="B442" s="38"/>
      <c r="C442" s="38"/>
      <c r="D442" s="38"/>
      <c r="E442" s="38"/>
      <c r="F442" s="55"/>
      <c r="G442" s="55"/>
      <c r="H442" s="55"/>
      <c r="I442" s="55"/>
      <c r="J442" s="55"/>
      <c r="K442" s="55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</row>
    <row r="443">
      <c r="A443" s="38"/>
      <c r="B443" s="38"/>
      <c r="C443" s="38"/>
      <c r="D443" s="38"/>
      <c r="E443" s="38"/>
      <c r="F443" s="55"/>
      <c r="G443" s="55"/>
      <c r="H443" s="55"/>
      <c r="I443" s="55"/>
      <c r="J443" s="55"/>
      <c r="K443" s="55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</row>
    <row r="444">
      <c r="A444" s="38"/>
      <c r="B444" s="38"/>
      <c r="C444" s="38"/>
      <c r="D444" s="38"/>
      <c r="E444" s="38"/>
      <c r="F444" s="55"/>
      <c r="G444" s="55"/>
      <c r="H444" s="55"/>
      <c r="I444" s="55"/>
      <c r="J444" s="55"/>
      <c r="K444" s="55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</row>
    <row r="445">
      <c r="A445" s="38"/>
      <c r="B445" s="38"/>
      <c r="C445" s="38"/>
      <c r="D445" s="38"/>
      <c r="E445" s="38"/>
      <c r="F445" s="55"/>
      <c r="G445" s="55"/>
      <c r="H445" s="55"/>
      <c r="I445" s="55"/>
      <c r="J445" s="55"/>
      <c r="K445" s="55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</row>
    <row r="446">
      <c r="A446" s="38"/>
      <c r="B446" s="38"/>
      <c r="C446" s="38"/>
      <c r="D446" s="38"/>
      <c r="E446" s="38"/>
      <c r="F446" s="55"/>
      <c r="G446" s="55"/>
      <c r="H446" s="55"/>
      <c r="I446" s="55"/>
      <c r="J446" s="55"/>
      <c r="K446" s="55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</row>
    <row r="447">
      <c r="A447" s="38"/>
      <c r="B447" s="38"/>
      <c r="C447" s="38"/>
      <c r="D447" s="38"/>
      <c r="E447" s="38"/>
      <c r="F447" s="55"/>
      <c r="G447" s="55"/>
      <c r="H447" s="55"/>
      <c r="I447" s="55"/>
      <c r="J447" s="55"/>
      <c r="K447" s="55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</row>
    <row r="448">
      <c r="A448" s="38"/>
      <c r="B448" s="38"/>
      <c r="C448" s="38"/>
      <c r="D448" s="38"/>
      <c r="E448" s="38"/>
      <c r="F448" s="55"/>
      <c r="G448" s="55"/>
      <c r="H448" s="55"/>
      <c r="I448" s="55"/>
      <c r="J448" s="55"/>
      <c r="K448" s="55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</row>
    <row r="449">
      <c r="A449" s="38"/>
      <c r="B449" s="38"/>
      <c r="C449" s="38"/>
      <c r="D449" s="38"/>
      <c r="E449" s="38"/>
      <c r="F449" s="55"/>
      <c r="G449" s="55"/>
      <c r="H449" s="55"/>
      <c r="I449" s="55"/>
      <c r="J449" s="55"/>
      <c r="K449" s="55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</row>
    <row r="450">
      <c r="A450" s="38"/>
      <c r="B450" s="38"/>
      <c r="C450" s="38"/>
      <c r="D450" s="38"/>
      <c r="E450" s="38"/>
      <c r="F450" s="55"/>
      <c r="G450" s="55"/>
      <c r="H450" s="55"/>
      <c r="I450" s="55"/>
      <c r="J450" s="55"/>
      <c r="K450" s="55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</row>
    <row r="451">
      <c r="A451" s="38"/>
      <c r="B451" s="38"/>
      <c r="C451" s="38"/>
      <c r="D451" s="38"/>
      <c r="E451" s="38"/>
      <c r="F451" s="55"/>
      <c r="G451" s="55"/>
      <c r="H451" s="55"/>
      <c r="I451" s="55"/>
      <c r="J451" s="55"/>
      <c r="K451" s="55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</row>
    <row r="452">
      <c r="A452" s="38"/>
      <c r="B452" s="38"/>
      <c r="C452" s="38"/>
      <c r="D452" s="38"/>
      <c r="E452" s="38"/>
      <c r="F452" s="55"/>
      <c r="G452" s="55"/>
      <c r="H452" s="55"/>
      <c r="I452" s="55"/>
      <c r="J452" s="55"/>
      <c r="K452" s="55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</row>
    <row r="453">
      <c r="A453" s="38"/>
      <c r="B453" s="38"/>
      <c r="C453" s="38"/>
      <c r="D453" s="38"/>
      <c r="E453" s="38"/>
      <c r="F453" s="55"/>
      <c r="G453" s="55"/>
      <c r="H453" s="55"/>
      <c r="I453" s="55"/>
      <c r="J453" s="55"/>
      <c r="K453" s="55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</row>
    <row r="454">
      <c r="A454" s="38"/>
      <c r="B454" s="38"/>
      <c r="C454" s="38"/>
      <c r="D454" s="38"/>
      <c r="E454" s="38"/>
      <c r="F454" s="55"/>
      <c r="G454" s="55"/>
      <c r="H454" s="55"/>
      <c r="I454" s="55"/>
      <c r="J454" s="55"/>
      <c r="K454" s="55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</row>
    <row r="455">
      <c r="A455" s="38"/>
      <c r="B455" s="38"/>
      <c r="C455" s="38"/>
      <c r="D455" s="38"/>
      <c r="E455" s="38"/>
      <c r="F455" s="55"/>
      <c r="G455" s="55"/>
      <c r="H455" s="55"/>
      <c r="I455" s="55"/>
      <c r="J455" s="55"/>
      <c r="K455" s="55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</row>
    <row r="456">
      <c r="A456" s="38"/>
      <c r="B456" s="38"/>
      <c r="C456" s="38"/>
      <c r="D456" s="38"/>
      <c r="E456" s="38"/>
      <c r="F456" s="55"/>
      <c r="G456" s="55"/>
      <c r="H456" s="55"/>
      <c r="I456" s="55"/>
      <c r="J456" s="55"/>
      <c r="K456" s="55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</row>
    <row r="457">
      <c r="A457" s="38"/>
      <c r="B457" s="38"/>
      <c r="C457" s="38"/>
      <c r="D457" s="38"/>
      <c r="E457" s="38"/>
      <c r="F457" s="55"/>
      <c r="G457" s="55"/>
      <c r="H457" s="55"/>
      <c r="I457" s="55"/>
      <c r="J457" s="55"/>
      <c r="K457" s="55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</row>
    <row r="458">
      <c r="A458" s="38"/>
      <c r="B458" s="38"/>
      <c r="C458" s="38"/>
      <c r="D458" s="38"/>
      <c r="E458" s="38"/>
      <c r="F458" s="55"/>
      <c r="G458" s="55"/>
      <c r="H458" s="55"/>
      <c r="I458" s="55"/>
      <c r="J458" s="55"/>
      <c r="K458" s="55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</row>
    <row r="459">
      <c r="A459" s="38"/>
      <c r="B459" s="38"/>
      <c r="C459" s="38"/>
      <c r="D459" s="38"/>
      <c r="E459" s="38"/>
      <c r="F459" s="55"/>
      <c r="G459" s="55"/>
      <c r="H459" s="55"/>
      <c r="I459" s="55"/>
      <c r="J459" s="55"/>
      <c r="K459" s="55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</row>
    <row r="460">
      <c r="A460" s="38"/>
      <c r="B460" s="38"/>
      <c r="C460" s="38"/>
      <c r="D460" s="38"/>
      <c r="E460" s="38"/>
      <c r="F460" s="55"/>
      <c r="G460" s="55"/>
      <c r="H460" s="55"/>
      <c r="I460" s="55"/>
      <c r="J460" s="55"/>
      <c r="K460" s="55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</row>
    <row r="461">
      <c r="A461" s="38"/>
      <c r="B461" s="38"/>
      <c r="C461" s="38"/>
      <c r="D461" s="38"/>
      <c r="E461" s="38"/>
      <c r="F461" s="55"/>
      <c r="G461" s="55"/>
      <c r="H461" s="55"/>
      <c r="I461" s="55"/>
      <c r="J461" s="55"/>
      <c r="K461" s="55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</row>
    <row r="462">
      <c r="A462" s="38"/>
      <c r="B462" s="38"/>
      <c r="C462" s="38"/>
      <c r="D462" s="38"/>
      <c r="E462" s="38"/>
      <c r="F462" s="55"/>
      <c r="G462" s="55"/>
      <c r="H462" s="55"/>
      <c r="I462" s="55"/>
      <c r="J462" s="55"/>
      <c r="K462" s="55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</row>
    <row r="463">
      <c r="A463" s="38"/>
      <c r="B463" s="38"/>
      <c r="C463" s="38"/>
      <c r="D463" s="38"/>
      <c r="E463" s="38"/>
      <c r="F463" s="55"/>
      <c r="G463" s="55"/>
      <c r="H463" s="55"/>
      <c r="I463" s="55"/>
      <c r="J463" s="55"/>
      <c r="K463" s="55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</row>
    <row r="464">
      <c r="A464" s="38"/>
      <c r="B464" s="38"/>
      <c r="C464" s="38"/>
      <c r="D464" s="38"/>
      <c r="E464" s="38"/>
      <c r="F464" s="55"/>
      <c r="G464" s="55"/>
      <c r="H464" s="55"/>
      <c r="I464" s="55"/>
      <c r="J464" s="55"/>
      <c r="K464" s="55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</row>
    <row r="465">
      <c r="A465" s="38"/>
      <c r="B465" s="38"/>
      <c r="C465" s="38"/>
      <c r="D465" s="38"/>
      <c r="E465" s="38"/>
      <c r="F465" s="55"/>
      <c r="G465" s="55"/>
      <c r="H465" s="55"/>
      <c r="I465" s="55"/>
      <c r="J465" s="55"/>
      <c r="K465" s="55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</row>
    <row r="466">
      <c r="A466" s="38"/>
      <c r="B466" s="38"/>
      <c r="C466" s="38"/>
      <c r="D466" s="38"/>
      <c r="E466" s="38"/>
      <c r="F466" s="55"/>
      <c r="G466" s="55"/>
      <c r="H466" s="55"/>
      <c r="I466" s="55"/>
      <c r="J466" s="55"/>
      <c r="K466" s="55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</row>
    <row r="467">
      <c r="A467" s="38"/>
      <c r="B467" s="38"/>
      <c r="C467" s="38"/>
      <c r="D467" s="38"/>
      <c r="E467" s="38"/>
      <c r="F467" s="55"/>
      <c r="G467" s="55"/>
      <c r="H467" s="55"/>
      <c r="I467" s="55"/>
      <c r="J467" s="55"/>
      <c r="K467" s="55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</row>
    <row r="468">
      <c r="A468" s="38"/>
      <c r="B468" s="38"/>
      <c r="C468" s="38"/>
      <c r="D468" s="38"/>
      <c r="E468" s="38"/>
      <c r="F468" s="55"/>
      <c r="G468" s="55"/>
      <c r="H468" s="55"/>
      <c r="I468" s="55"/>
      <c r="J468" s="55"/>
      <c r="K468" s="55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</row>
    <row r="469">
      <c r="A469" s="38"/>
      <c r="B469" s="38"/>
      <c r="C469" s="38"/>
      <c r="D469" s="38"/>
      <c r="E469" s="38"/>
      <c r="F469" s="55"/>
      <c r="G469" s="55"/>
      <c r="H469" s="55"/>
      <c r="I469" s="55"/>
      <c r="J469" s="55"/>
      <c r="K469" s="55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</row>
    <row r="470">
      <c r="A470" s="38"/>
      <c r="B470" s="38"/>
      <c r="C470" s="38"/>
      <c r="D470" s="38"/>
      <c r="E470" s="38"/>
      <c r="F470" s="55"/>
      <c r="G470" s="55"/>
      <c r="H470" s="55"/>
      <c r="I470" s="55"/>
      <c r="J470" s="55"/>
      <c r="K470" s="55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</row>
    <row r="471">
      <c r="A471" s="38"/>
      <c r="B471" s="38"/>
      <c r="C471" s="38"/>
      <c r="D471" s="38"/>
      <c r="E471" s="38"/>
      <c r="F471" s="55"/>
      <c r="G471" s="55"/>
      <c r="H471" s="55"/>
      <c r="I471" s="55"/>
      <c r="J471" s="55"/>
      <c r="K471" s="55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</row>
    <row r="472">
      <c r="A472" s="38"/>
      <c r="B472" s="38"/>
      <c r="C472" s="38"/>
      <c r="D472" s="38"/>
      <c r="E472" s="38"/>
      <c r="F472" s="55"/>
      <c r="G472" s="55"/>
      <c r="H472" s="55"/>
      <c r="I472" s="55"/>
      <c r="J472" s="55"/>
      <c r="K472" s="55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</row>
    <row r="473">
      <c r="A473" s="38"/>
      <c r="B473" s="38"/>
      <c r="C473" s="38"/>
      <c r="D473" s="38"/>
      <c r="E473" s="38"/>
      <c r="F473" s="55"/>
      <c r="G473" s="55"/>
      <c r="H473" s="55"/>
      <c r="I473" s="55"/>
      <c r="J473" s="55"/>
      <c r="K473" s="55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</row>
    <row r="474">
      <c r="A474" s="38"/>
      <c r="B474" s="38"/>
      <c r="C474" s="38"/>
      <c r="D474" s="38"/>
      <c r="E474" s="38"/>
      <c r="F474" s="55"/>
      <c r="G474" s="55"/>
      <c r="H474" s="55"/>
      <c r="I474" s="55"/>
      <c r="J474" s="55"/>
      <c r="K474" s="55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</row>
    <row r="475">
      <c r="A475" s="38"/>
      <c r="B475" s="38"/>
      <c r="C475" s="38"/>
      <c r="D475" s="38"/>
      <c r="E475" s="38"/>
      <c r="F475" s="55"/>
      <c r="G475" s="55"/>
      <c r="H475" s="55"/>
      <c r="I475" s="55"/>
      <c r="J475" s="55"/>
      <c r="K475" s="55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</row>
    <row r="476">
      <c r="A476" s="38"/>
      <c r="B476" s="38"/>
      <c r="C476" s="38"/>
      <c r="D476" s="38"/>
      <c r="E476" s="38"/>
      <c r="F476" s="55"/>
      <c r="G476" s="55"/>
      <c r="H476" s="55"/>
      <c r="I476" s="55"/>
      <c r="J476" s="55"/>
      <c r="K476" s="55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</row>
    <row r="477">
      <c r="A477" s="38"/>
      <c r="B477" s="38"/>
      <c r="C477" s="38"/>
      <c r="D477" s="38"/>
      <c r="E477" s="38"/>
      <c r="F477" s="55"/>
      <c r="G477" s="55"/>
      <c r="H477" s="55"/>
      <c r="I477" s="55"/>
      <c r="J477" s="55"/>
      <c r="K477" s="55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</row>
    <row r="478">
      <c r="A478" s="38"/>
      <c r="B478" s="38"/>
      <c r="C478" s="38"/>
      <c r="D478" s="38"/>
      <c r="E478" s="38"/>
      <c r="F478" s="55"/>
      <c r="G478" s="55"/>
      <c r="H478" s="55"/>
      <c r="I478" s="55"/>
      <c r="J478" s="55"/>
      <c r="K478" s="55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</row>
    <row r="479">
      <c r="A479" s="38"/>
      <c r="B479" s="38"/>
      <c r="C479" s="38"/>
      <c r="D479" s="38"/>
      <c r="E479" s="38"/>
      <c r="F479" s="55"/>
      <c r="G479" s="55"/>
      <c r="H479" s="55"/>
      <c r="I479" s="55"/>
      <c r="J479" s="55"/>
      <c r="K479" s="55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</row>
    <row r="480">
      <c r="A480" s="38"/>
      <c r="B480" s="38"/>
      <c r="C480" s="38"/>
      <c r="D480" s="38"/>
      <c r="E480" s="38"/>
      <c r="F480" s="55"/>
      <c r="G480" s="55"/>
      <c r="H480" s="55"/>
      <c r="I480" s="55"/>
      <c r="J480" s="55"/>
      <c r="K480" s="55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</row>
    <row r="481">
      <c r="A481" s="38"/>
      <c r="B481" s="38"/>
      <c r="C481" s="38"/>
      <c r="D481" s="38"/>
      <c r="E481" s="38"/>
      <c r="F481" s="55"/>
      <c r="G481" s="55"/>
      <c r="H481" s="55"/>
      <c r="I481" s="55"/>
      <c r="J481" s="55"/>
      <c r="K481" s="55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</row>
    <row r="482">
      <c r="A482" s="38"/>
      <c r="B482" s="38"/>
      <c r="C482" s="38"/>
      <c r="D482" s="38"/>
      <c r="E482" s="38"/>
      <c r="F482" s="55"/>
      <c r="G482" s="55"/>
      <c r="H482" s="55"/>
      <c r="I482" s="55"/>
      <c r="J482" s="55"/>
      <c r="K482" s="55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</row>
    <row r="483">
      <c r="A483" s="38"/>
      <c r="B483" s="38"/>
      <c r="C483" s="38"/>
      <c r="D483" s="38"/>
      <c r="E483" s="38"/>
      <c r="F483" s="55"/>
      <c r="G483" s="55"/>
      <c r="H483" s="55"/>
      <c r="I483" s="55"/>
      <c r="J483" s="55"/>
      <c r="K483" s="55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</row>
    <row r="484">
      <c r="A484" s="38"/>
      <c r="B484" s="38"/>
      <c r="C484" s="38"/>
      <c r="D484" s="38"/>
      <c r="E484" s="38"/>
      <c r="F484" s="55"/>
      <c r="G484" s="55"/>
      <c r="H484" s="55"/>
      <c r="I484" s="55"/>
      <c r="J484" s="55"/>
      <c r="K484" s="55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</row>
    <row r="485">
      <c r="A485" s="38"/>
      <c r="B485" s="38"/>
      <c r="C485" s="38"/>
      <c r="D485" s="38"/>
      <c r="E485" s="38"/>
      <c r="F485" s="55"/>
      <c r="G485" s="55"/>
      <c r="H485" s="55"/>
      <c r="I485" s="55"/>
      <c r="J485" s="55"/>
      <c r="K485" s="55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</row>
    <row r="486">
      <c r="A486" s="38"/>
      <c r="B486" s="38"/>
      <c r="C486" s="38"/>
      <c r="D486" s="38"/>
      <c r="E486" s="38"/>
      <c r="F486" s="55"/>
      <c r="G486" s="55"/>
      <c r="H486" s="55"/>
      <c r="I486" s="55"/>
      <c r="J486" s="55"/>
      <c r="K486" s="55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</row>
    <row r="487">
      <c r="A487" s="38"/>
      <c r="B487" s="38"/>
      <c r="C487" s="38"/>
      <c r="D487" s="38"/>
      <c r="E487" s="38"/>
      <c r="F487" s="55"/>
      <c r="G487" s="55"/>
      <c r="H487" s="55"/>
      <c r="I487" s="55"/>
      <c r="J487" s="55"/>
      <c r="K487" s="55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</row>
    <row r="488">
      <c r="A488" s="38"/>
      <c r="B488" s="38"/>
      <c r="C488" s="38"/>
      <c r="D488" s="38"/>
      <c r="E488" s="38"/>
      <c r="F488" s="55"/>
      <c r="G488" s="55"/>
      <c r="H488" s="55"/>
      <c r="I488" s="55"/>
      <c r="J488" s="55"/>
      <c r="K488" s="55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</row>
    <row r="489">
      <c r="A489" s="38"/>
      <c r="B489" s="38"/>
      <c r="C489" s="38"/>
      <c r="D489" s="38"/>
      <c r="E489" s="38"/>
      <c r="F489" s="55"/>
      <c r="G489" s="55"/>
      <c r="H489" s="55"/>
      <c r="I489" s="55"/>
      <c r="J489" s="55"/>
      <c r="K489" s="55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</row>
    <row r="490">
      <c r="A490" s="38"/>
      <c r="B490" s="38"/>
      <c r="C490" s="38"/>
      <c r="D490" s="38"/>
      <c r="E490" s="38"/>
      <c r="F490" s="55"/>
      <c r="G490" s="55"/>
      <c r="H490" s="55"/>
      <c r="I490" s="55"/>
      <c r="J490" s="55"/>
      <c r="K490" s="55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</row>
    <row r="491">
      <c r="A491" s="38"/>
      <c r="B491" s="38"/>
      <c r="C491" s="38"/>
      <c r="D491" s="38"/>
      <c r="E491" s="38"/>
      <c r="F491" s="55"/>
      <c r="G491" s="55"/>
      <c r="H491" s="55"/>
      <c r="I491" s="55"/>
      <c r="J491" s="55"/>
      <c r="K491" s="55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</row>
    <row r="492">
      <c r="A492" s="38"/>
      <c r="B492" s="38"/>
      <c r="C492" s="38"/>
      <c r="D492" s="38"/>
      <c r="E492" s="38"/>
      <c r="F492" s="55"/>
      <c r="G492" s="55"/>
      <c r="H492" s="55"/>
      <c r="I492" s="55"/>
      <c r="J492" s="55"/>
      <c r="K492" s="55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</row>
    <row r="493">
      <c r="A493" s="38"/>
      <c r="B493" s="38"/>
      <c r="C493" s="38"/>
      <c r="D493" s="38"/>
      <c r="E493" s="38"/>
      <c r="F493" s="55"/>
      <c r="G493" s="55"/>
      <c r="H493" s="55"/>
      <c r="I493" s="55"/>
      <c r="J493" s="55"/>
      <c r="K493" s="55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</row>
    <row r="494">
      <c r="A494" s="38"/>
      <c r="B494" s="38"/>
      <c r="C494" s="38"/>
      <c r="D494" s="38"/>
      <c r="E494" s="38"/>
      <c r="F494" s="55"/>
      <c r="G494" s="55"/>
      <c r="H494" s="55"/>
      <c r="I494" s="55"/>
      <c r="J494" s="55"/>
      <c r="K494" s="55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</row>
    <row r="495">
      <c r="A495" s="38"/>
      <c r="B495" s="38"/>
      <c r="C495" s="38"/>
      <c r="D495" s="38"/>
      <c r="E495" s="38"/>
      <c r="F495" s="55"/>
      <c r="G495" s="55"/>
      <c r="H495" s="55"/>
      <c r="I495" s="55"/>
      <c r="J495" s="55"/>
      <c r="K495" s="55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</row>
    <row r="496">
      <c r="A496" s="38"/>
      <c r="B496" s="38"/>
      <c r="C496" s="38"/>
      <c r="D496" s="38"/>
      <c r="E496" s="38"/>
      <c r="F496" s="55"/>
      <c r="G496" s="55"/>
      <c r="H496" s="55"/>
      <c r="I496" s="55"/>
      <c r="J496" s="55"/>
      <c r="K496" s="55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</row>
    <row r="497">
      <c r="A497" s="38"/>
      <c r="B497" s="38"/>
      <c r="C497" s="38"/>
      <c r="D497" s="38"/>
      <c r="E497" s="38"/>
      <c r="F497" s="55"/>
      <c r="G497" s="55"/>
      <c r="H497" s="55"/>
      <c r="I497" s="55"/>
      <c r="J497" s="55"/>
      <c r="K497" s="55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</row>
    <row r="498">
      <c r="A498" s="38"/>
      <c r="B498" s="38"/>
      <c r="C498" s="38"/>
      <c r="D498" s="38"/>
      <c r="E498" s="38"/>
      <c r="F498" s="55"/>
      <c r="G498" s="55"/>
      <c r="H498" s="55"/>
      <c r="I498" s="55"/>
      <c r="J498" s="55"/>
      <c r="K498" s="55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</row>
    <row r="499">
      <c r="A499" s="38"/>
      <c r="B499" s="38"/>
      <c r="C499" s="38"/>
      <c r="D499" s="38"/>
      <c r="E499" s="38"/>
      <c r="F499" s="55"/>
      <c r="G499" s="55"/>
      <c r="H499" s="55"/>
      <c r="I499" s="55"/>
      <c r="J499" s="55"/>
      <c r="K499" s="55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</row>
    <row r="500">
      <c r="A500" s="38"/>
      <c r="B500" s="38"/>
      <c r="C500" s="38"/>
      <c r="D500" s="38"/>
      <c r="E500" s="38"/>
      <c r="F500" s="55"/>
      <c r="G500" s="55"/>
      <c r="H500" s="55"/>
      <c r="I500" s="55"/>
      <c r="J500" s="55"/>
      <c r="K500" s="55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</row>
    <row r="501">
      <c r="A501" s="38"/>
      <c r="B501" s="38"/>
      <c r="C501" s="38"/>
      <c r="D501" s="38"/>
      <c r="E501" s="38"/>
      <c r="F501" s="55"/>
      <c r="G501" s="55"/>
      <c r="H501" s="55"/>
      <c r="I501" s="55"/>
      <c r="J501" s="55"/>
      <c r="K501" s="55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</row>
    <row r="502">
      <c r="A502" s="38"/>
      <c r="B502" s="38"/>
      <c r="C502" s="38"/>
      <c r="D502" s="38"/>
      <c r="E502" s="38"/>
      <c r="F502" s="55"/>
      <c r="G502" s="55"/>
      <c r="H502" s="55"/>
      <c r="I502" s="55"/>
      <c r="J502" s="55"/>
      <c r="K502" s="55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</row>
    <row r="503">
      <c r="A503" s="38"/>
      <c r="B503" s="38"/>
      <c r="C503" s="38"/>
      <c r="D503" s="38"/>
      <c r="E503" s="38"/>
      <c r="F503" s="55"/>
      <c r="G503" s="55"/>
      <c r="H503" s="55"/>
      <c r="I503" s="55"/>
      <c r="J503" s="55"/>
      <c r="K503" s="55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</row>
    <row r="504">
      <c r="A504" s="38"/>
      <c r="B504" s="38"/>
      <c r="C504" s="38"/>
      <c r="D504" s="38"/>
      <c r="E504" s="38"/>
      <c r="F504" s="55"/>
      <c r="G504" s="55"/>
      <c r="H504" s="55"/>
      <c r="I504" s="55"/>
      <c r="J504" s="55"/>
      <c r="K504" s="55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</row>
    <row r="505">
      <c r="A505" s="38"/>
      <c r="B505" s="38"/>
      <c r="C505" s="38"/>
      <c r="D505" s="38"/>
      <c r="E505" s="38"/>
      <c r="F505" s="55"/>
      <c r="G505" s="55"/>
      <c r="H505" s="55"/>
      <c r="I505" s="55"/>
      <c r="J505" s="55"/>
      <c r="K505" s="55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</row>
    <row r="506">
      <c r="A506" s="38"/>
      <c r="B506" s="38"/>
      <c r="C506" s="38"/>
      <c r="D506" s="38"/>
      <c r="E506" s="38"/>
      <c r="F506" s="55"/>
      <c r="G506" s="55"/>
      <c r="H506" s="55"/>
      <c r="I506" s="55"/>
      <c r="J506" s="55"/>
      <c r="K506" s="55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</row>
    <row r="507">
      <c r="A507" s="38"/>
      <c r="B507" s="38"/>
      <c r="C507" s="38"/>
      <c r="D507" s="38"/>
      <c r="E507" s="38"/>
      <c r="F507" s="55"/>
      <c r="G507" s="55"/>
      <c r="H507" s="55"/>
      <c r="I507" s="55"/>
      <c r="J507" s="55"/>
      <c r="K507" s="55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</row>
    <row r="508">
      <c r="A508" s="38"/>
      <c r="B508" s="38"/>
      <c r="C508" s="38"/>
      <c r="D508" s="38"/>
      <c r="E508" s="38"/>
      <c r="F508" s="55"/>
      <c r="G508" s="55"/>
      <c r="H508" s="55"/>
      <c r="I508" s="55"/>
      <c r="J508" s="55"/>
      <c r="K508" s="55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</row>
    <row r="509">
      <c r="A509" s="38"/>
      <c r="B509" s="38"/>
      <c r="C509" s="38"/>
      <c r="D509" s="38"/>
      <c r="E509" s="38"/>
      <c r="F509" s="55"/>
      <c r="G509" s="55"/>
      <c r="H509" s="55"/>
      <c r="I509" s="55"/>
      <c r="J509" s="55"/>
      <c r="K509" s="55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</row>
    <row r="510">
      <c r="A510" s="38"/>
      <c r="B510" s="38"/>
      <c r="C510" s="38"/>
      <c r="D510" s="38"/>
      <c r="E510" s="38"/>
      <c r="F510" s="55"/>
      <c r="G510" s="55"/>
      <c r="H510" s="55"/>
      <c r="I510" s="55"/>
      <c r="J510" s="55"/>
      <c r="K510" s="55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</row>
    <row r="511">
      <c r="A511" s="38"/>
      <c r="B511" s="38"/>
      <c r="C511" s="38"/>
      <c r="D511" s="38"/>
      <c r="E511" s="38"/>
      <c r="F511" s="55"/>
      <c r="G511" s="55"/>
      <c r="H511" s="55"/>
      <c r="I511" s="55"/>
      <c r="J511" s="55"/>
      <c r="K511" s="55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</row>
    <row r="512">
      <c r="A512" s="38"/>
      <c r="B512" s="38"/>
      <c r="C512" s="38"/>
      <c r="D512" s="38"/>
      <c r="E512" s="38"/>
      <c r="F512" s="55"/>
      <c r="G512" s="55"/>
      <c r="H512" s="55"/>
      <c r="I512" s="55"/>
      <c r="J512" s="55"/>
      <c r="K512" s="55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</row>
    <row r="513">
      <c r="A513" s="38"/>
      <c r="B513" s="38"/>
      <c r="C513" s="38"/>
      <c r="D513" s="38"/>
      <c r="E513" s="38"/>
      <c r="F513" s="55"/>
      <c r="G513" s="55"/>
      <c r="H513" s="55"/>
      <c r="I513" s="55"/>
      <c r="J513" s="55"/>
      <c r="K513" s="55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</row>
    <row r="514">
      <c r="A514" s="38"/>
      <c r="B514" s="38"/>
      <c r="C514" s="38"/>
      <c r="D514" s="38"/>
      <c r="E514" s="38"/>
      <c r="F514" s="55"/>
      <c r="G514" s="55"/>
      <c r="H514" s="55"/>
      <c r="I514" s="55"/>
      <c r="J514" s="55"/>
      <c r="K514" s="55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</row>
    <row r="515">
      <c r="A515" s="38"/>
      <c r="B515" s="38"/>
      <c r="C515" s="38"/>
      <c r="D515" s="38"/>
      <c r="E515" s="38"/>
      <c r="F515" s="55"/>
      <c r="G515" s="55"/>
      <c r="H515" s="55"/>
      <c r="I515" s="55"/>
      <c r="J515" s="55"/>
      <c r="K515" s="55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</row>
    <row r="516">
      <c r="A516" s="38"/>
      <c r="B516" s="38"/>
      <c r="C516" s="38"/>
      <c r="D516" s="38"/>
      <c r="E516" s="38"/>
      <c r="F516" s="55"/>
      <c r="G516" s="55"/>
      <c r="H516" s="55"/>
      <c r="I516" s="55"/>
      <c r="J516" s="55"/>
      <c r="K516" s="55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</row>
    <row r="517">
      <c r="A517" s="38"/>
      <c r="B517" s="38"/>
      <c r="C517" s="38"/>
      <c r="D517" s="38"/>
      <c r="E517" s="38"/>
      <c r="F517" s="55"/>
      <c r="G517" s="55"/>
      <c r="H517" s="55"/>
      <c r="I517" s="55"/>
      <c r="J517" s="55"/>
      <c r="K517" s="55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</row>
    <row r="518">
      <c r="A518" s="38"/>
      <c r="B518" s="38"/>
      <c r="C518" s="38"/>
      <c r="D518" s="38"/>
      <c r="E518" s="38"/>
      <c r="F518" s="55"/>
      <c r="G518" s="55"/>
      <c r="H518" s="55"/>
      <c r="I518" s="55"/>
      <c r="J518" s="55"/>
      <c r="K518" s="55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</row>
    <row r="519">
      <c r="A519" s="38"/>
      <c r="B519" s="38"/>
      <c r="C519" s="38"/>
      <c r="D519" s="38"/>
      <c r="E519" s="38"/>
      <c r="F519" s="55"/>
      <c r="G519" s="55"/>
      <c r="H519" s="55"/>
      <c r="I519" s="55"/>
      <c r="J519" s="55"/>
      <c r="K519" s="55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</row>
    <row r="520">
      <c r="A520" s="38"/>
      <c r="B520" s="38"/>
      <c r="C520" s="38"/>
      <c r="D520" s="38"/>
      <c r="E520" s="38"/>
      <c r="F520" s="55"/>
      <c r="G520" s="55"/>
      <c r="H520" s="55"/>
      <c r="I520" s="55"/>
      <c r="J520" s="55"/>
      <c r="K520" s="55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</row>
    <row r="521">
      <c r="A521" s="38"/>
      <c r="B521" s="38"/>
      <c r="C521" s="38"/>
      <c r="D521" s="38"/>
      <c r="E521" s="38"/>
      <c r="F521" s="55"/>
      <c r="G521" s="55"/>
      <c r="H521" s="55"/>
      <c r="I521" s="55"/>
      <c r="J521" s="55"/>
      <c r="K521" s="55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</row>
    <row r="522">
      <c r="A522" s="38"/>
      <c r="B522" s="38"/>
      <c r="C522" s="38"/>
      <c r="D522" s="38"/>
      <c r="E522" s="38"/>
      <c r="F522" s="55"/>
      <c r="G522" s="55"/>
      <c r="H522" s="55"/>
      <c r="I522" s="55"/>
      <c r="J522" s="55"/>
      <c r="K522" s="55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</row>
    <row r="523">
      <c r="A523" s="38"/>
      <c r="B523" s="38"/>
      <c r="C523" s="38"/>
      <c r="D523" s="38"/>
      <c r="E523" s="38"/>
      <c r="F523" s="55"/>
      <c r="G523" s="55"/>
      <c r="H523" s="55"/>
      <c r="I523" s="55"/>
      <c r="J523" s="55"/>
      <c r="K523" s="55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</row>
    <row r="524">
      <c r="A524" s="38"/>
      <c r="B524" s="38"/>
      <c r="C524" s="38"/>
      <c r="D524" s="38"/>
      <c r="E524" s="38"/>
      <c r="F524" s="55"/>
      <c r="G524" s="55"/>
      <c r="H524" s="55"/>
      <c r="I524" s="55"/>
      <c r="J524" s="55"/>
      <c r="K524" s="55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</row>
    <row r="525">
      <c r="A525" s="38"/>
      <c r="B525" s="38"/>
      <c r="C525" s="38"/>
      <c r="D525" s="38"/>
      <c r="E525" s="38"/>
      <c r="F525" s="55"/>
      <c r="G525" s="55"/>
      <c r="H525" s="55"/>
      <c r="I525" s="55"/>
      <c r="J525" s="55"/>
      <c r="K525" s="55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</row>
    <row r="526">
      <c r="A526" s="38"/>
      <c r="B526" s="38"/>
      <c r="C526" s="38"/>
      <c r="D526" s="38"/>
      <c r="E526" s="38"/>
      <c r="F526" s="55"/>
      <c r="G526" s="55"/>
      <c r="H526" s="55"/>
      <c r="I526" s="55"/>
      <c r="J526" s="55"/>
      <c r="K526" s="55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</row>
    <row r="527">
      <c r="A527" s="38"/>
      <c r="B527" s="38"/>
      <c r="C527" s="38"/>
      <c r="D527" s="38"/>
      <c r="E527" s="38"/>
      <c r="F527" s="55"/>
      <c r="G527" s="55"/>
      <c r="H527" s="55"/>
      <c r="I527" s="55"/>
      <c r="J527" s="55"/>
      <c r="K527" s="55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</row>
    <row r="528">
      <c r="A528" s="38"/>
      <c r="B528" s="38"/>
      <c r="C528" s="38"/>
      <c r="D528" s="38"/>
      <c r="E528" s="38"/>
      <c r="F528" s="55"/>
      <c r="G528" s="55"/>
      <c r="H528" s="55"/>
      <c r="I528" s="55"/>
      <c r="J528" s="55"/>
      <c r="K528" s="55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</row>
    <row r="529">
      <c r="A529" s="38"/>
      <c r="B529" s="38"/>
      <c r="C529" s="38"/>
      <c r="D529" s="38"/>
      <c r="E529" s="38"/>
      <c r="F529" s="55"/>
      <c r="G529" s="55"/>
      <c r="H529" s="55"/>
      <c r="I529" s="55"/>
      <c r="J529" s="55"/>
      <c r="K529" s="55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</row>
    <row r="530">
      <c r="A530" s="38"/>
      <c r="B530" s="38"/>
      <c r="C530" s="38"/>
      <c r="D530" s="38"/>
      <c r="E530" s="38"/>
      <c r="F530" s="55"/>
      <c r="G530" s="55"/>
      <c r="H530" s="55"/>
      <c r="I530" s="55"/>
      <c r="J530" s="55"/>
      <c r="K530" s="55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</row>
    <row r="531">
      <c r="A531" s="38"/>
      <c r="B531" s="38"/>
      <c r="C531" s="38"/>
      <c r="D531" s="38"/>
      <c r="E531" s="38"/>
      <c r="F531" s="55"/>
      <c r="G531" s="55"/>
      <c r="H531" s="55"/>
      <c r="I531" s="55"/>
      <c r="J531" s="55"/>
      <c r="K531" s="55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</row>
    <row r="532">
      <c r="A532" s="38"/>
      <c r="B532" s="38"/>
      <c r="C532" s="38"/>
      <c r="D532" s="38"/>
      <c r="E532" s="38"/>
      <c r="F532" s="55"/>
      <c r="G532" s="55"/>
      <c r="H532" s="55"/>
      <c r="I532" s="55"/>
      <c r="J532" s="55"/>
      <c r="K532" s="55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</row>
    <row r="533">
      <c r="A533" s="38"/>
      <c r="B533" s="38"/>
      <c r="C533" s="38"/>
      <c r="D533" s="38"/>
      <c r="E533" s="38"/>
      <c r="F533" s="55"/>
      <c r="G533" s="55"/>
      <c r="H533" s="55"/>
      <c r="I533" s="55"/>
      <c r="J533" s="55"/>
      <c r="K533" s="55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</row>
    <row r="534">
      <c r="A534" s="38"/>
      <c r="B534" s="38"/>
      <c r="C534" s="38"/>
      <c r="D534" s="38"/>
      <c r="E534" s="38"/>
      <c r="F534" s="55"/>
      <c r="G534" s="55"/>
      <c r="H534" s="55"/>
      <c r="I534" s="55"/>
      <c r="J534" s="55"/>
      <c r="K534" s="55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</row>
    <row r="535">
      <c r="A535" s="38"/>
      <c r="B535" s="38"/>
      <c r="C535" s="38"/>
      <c r="D535" s="38"/>
      <c r="E535" s="38"/>
      <c r="F535" s="55"/>
      <c r="G535" s="55"/>
      <c r="H535" s="55"/>
      <c r="I535" s="55"/>
      <c r="J535" s="55"/>
      <c r="K535" s="55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</row>
    <row r="536">
      <c r="A536" s="38"/>
      <c r="B536" s="38"/>
      <c r="C536" s="38"/>
      <c r="D536" s="38"/>
      <c r="E536" s="38"/>
      <c r="F536" s="55"/>
      <c r="G536" s="55"/>
      <c r="H536" s="55"/>
      <c r="I536" s="55"/>
      <c r="J536" s="55"/>
      <c r="K536" s="55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</row>
    <row r="537">
      <c r="A537" s="38"/>
      <c r="B537" s="38"/>
      <c r="C537" s="38"/>
      <c r="D537" s="38"/>
      <c r="E537" s="38"/>
      <c r="F537" s="55"/>
      <c r="G537" s="55"/>
      <c r="H537" s="55"/>
      <c r="I537" s="55"/>
      <c r="J537" s="55"/>
      <c r="K537" s="55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</row>
    <row r="538">
      <c r="A538" s="38"/>
      <c r="B538" s="38"/>
      <c r="C538" s="38"/>
      <c r="D538" s="38"/>
      <c r="E538" s="38"/>
      <c r="F538" s="55"/>
      <c r="G538" s="55"/>
      <c r="H538" s="55"/>
      <c r="I538" s="55"/>
      <c r="J538" s="55"/>
      <c r="K538" s="55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</row>
    <row r="539">
      <c r="A539" s="38"/>
      <c r="B539" s="38"/>
      <c r="C539" s="38"/>
      <c r="D539" s="38"/>
      <c r="E539" s="38"/>
      <c r="F539" s="55"/>
      <c r="G539" s="55"/>
      <c r="H539" s="55"/>
      <c r="I539" s="55"/>
      <c r="J539" s="55"/>
      <c r="K539" s="55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</row>
    <row r="540">
      <c r="A540" s="38"/>
      <c r="B540" s="38"/>
      <c r="C540" s="38"/>
      <c r="D540" s="38"/>
      <c r="E540" s="38"/>
      <c r="F540" s="55"/>
      <c r="G540" s="55"/>
      <c r="H540" s="55"/>
      <c r="I540" s="55"/>
      <c r="J540" s="55"/>
      <c r="K540" s="55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</row>
    <row r="541">
      <c r="A541" s="38"/>
      <c r="B541" s="38"/>
      <c r="C541" s="38"/>
      <c r="D541" s="38"/>
      <c r="E541" s="38"/>
      <c r="F541" s="55"/>
      <c r="G541" s="55"/>
      <c r="H541" s="55"/>
      <c r="I541" s="55"/>
      <c r="J541" s="55"/>
      <c r="K541" s="55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</row>
    <row r="542">
      <c r="A542" s="38"/>
      <c r="B542" s="38"/>
      <c r="C542" s="38"/>
      <c r="D542" s="38"/>
      <c r="E542" s="38"/>
      <c r="F542" s="55"/>
      <c r="G542" s="55"/>
      <c r="H542" s="55"/>
      <c r="I542" s="55"/>
      <c r="J542" s="55"/>
      <c r="K542" s="55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</row>
    <row r="543">
      <c r="A543" s="38"/>
      <c r="B543" s="38"/>
      <c r="C543" s="38"/>
      <c r="D543" s="38"/>
      <c r="E543" s="38"/>
      <c r="F543" s="55"/>
      <c r="G543" s="55"/>
      <c r="H543" s="55"/>
      <c r="I543" s="55"/>
      <c r="J543" s="55"/>
      <c r="K543" s="55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</row>
    <row r="544">
      <c r="A544" s="38"/>
      <c r="B544" s="38"/>
      <c r="C544" s="38"/>
      <c r="D544" s="38"/>
      <c r="E544" s="38"/>
      <c r="F544" s="55"/>
      <c r="G544" s="55"/>
      <c r="H544" s="55"/>
      <c r="I544" s="55"/>
      <c r="J544" s="55"/>
      <c r="K544" s="55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</row>
    <row r="545">
      <c r="A545" s="38"/>
      <c r="B545" s="38"/>
      <c r="C545" s="38"/>
      <c r="D545" s="38"/>
      <c r="E545" s="38"/>
      <c r="F545" s="55"/>
      <c r="G545" s="55"/>
      <c r="H545" s="55"/>
      <c r="I545" s="55"/>
      <c r="J545" s="55"/>
      <c r="K545" s="55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</row>
    <row r="546">
      <c r="A546" s="38"/>
      <c r="B546" s="38"/>
      <c r="C546" s="38"/>
      <c r="D546" s="38"/>
      <c r="E546" s="38"/>
      <c r="F546" s="55"/>
      <c r="G546" s="55"/>
      <c r="H546" s="55"/>
      <c r="I546" s="55"/>
      <c r="J546" s="55"/>
      <c r="K546" s="55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</row>
    <row r="547">
      <c r="A547" s="38"/>
      <c r="B547" s="38"/>
      <c r="C547" s="38"/>
      <c r="D547" s="38"/>
      <c r="E547" s="38"/>
      <c r="F547" s="55"/>
      <c r="G547" s="55"/>
      <c r="H547" s="55"/>
      <c r="I547" s="55"/>
      <c r="J547" s="55"/>
      <c r="K547" s="55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</row>
    <row r="548">
      <c r="A548" s="38"/>
      <c r="B548" s="38"/>
      <c r="C548" s="38"/>
      <c r="D548" s="38"/>
      <c r="E548" s="38"/>
      <c r="F548" s="55"/>
      <c r="G548" s="55"/>
      <c r="H548" s="55"/>
      <c r="I548" s="55"/>
      <c r="J548" s="55"/>
      <c r="K548" s="55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</row>
    <row r="549">
      <c r="A549" s="38"/>
      <c r="B549" s="38"/>
      <c r="C549" s="38"/>
      <c r="D549" s="38"/>
      <c r="E549" s="38"/>
      <c r="F549" s="55"/>
      <c r="G549" s="55"/>
      <c r="H549" s="55"/>
      <c r="I549" s="55"/>
      <c r="J549" s="55"/>
      <c r="K549" s="55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</row>
    <row r="550">
      <c r="A550" s="38"/>
      <c r="B550" s="38"/>
      <c r="C550" s="38"/>
      <c r="D550" s="38"/>
      <c r="E550" s="38"/>
      <c r="F550" s="55"/>
      <c r="G550" s="55"/>
      <c r="H550" s="55"/>
      <c r="I550" s="55"/>
      <c r="J550" s="55"/>
      <c r="K550" s="55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</row>
    <row r="551">
      <c r="A551" s="38"/>
      <c r="B551" s="38"/>
      <c r="C551" s="38"/>
      <c r="D551" s="38"/>
      <c r="E551" s="38"/>
      <c r="F551" s="55"/>
      <c r="G551" s="55"/>
      <c r="H551" s="55"/>
      <c r="I551" s="55"/>
      <c r="J551" s="55"/>
      <c r="K551" s="55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</row>
    <row r="552">
      <c r="A552" s="38"/>
      <c r="B552" s="38"/>
      <c r="C552" s="38"/>
      <c r="D552" s="38"/>
      <c r="E552" s="38"/>
      <c r="F552" s="55"/>
      <c r="G552" s="55"/>
      <c r="H552" s="55"/>
      <c r="I552" s="55"/>
      <c r="J552" s="55"/>
      <c r="K552" s="55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</row>
    <row r="553">
      <c r="A553" s="38"/>
      <c r="B553" s="38"/>
      <c r="C553" s="38"/>
      <c r="D553" s="38"/>
      <c r="E553" s="38"/>
      <c r="F553" s="55"/>
      <c r="G553" s="55"/>
      <c r="H553" s="55"/>
      <c r="I553" s="55"/>
      <c r="J553" s="55"/>
      <c r="K553" s="55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</row>
    <row r="554">
      <c r="A554" s="38"/>
      <c r="B554" s="38"/>
      <c r="C554" s="38"/>
      <c r="D554" s="38"/>
      <c r="E554" s="38"/>
      <c r="F554" s="55"/>
      <c r="G554" s="55"/>
      <c r="H554" s="55"/>
      <c r="I554" s="55"/>
      <c r="J554" s="55"/>
      <c r="K554" s="55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</row>
    <row r="555">
      <c r="A555" s="38"/>
      <c r="B555" s="38"/>
      <c r="C555" s="38"/>
      <c r="D555" s="38"/>
      <c r="E555" s="38"/>
      <c r="F555" s="55"/>
      <c r="G555" s="55"/>
      <c r="H555" s="55"/>
      <c r="I555" s="55"/>
      <c r="J555" s="55"/>
      <c r="K555" s="55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</row>
    <row r="556">
      <c r="A556" s="38"/>
      <c r="B556" s="38"/>
      <c r="C556" s="38"/>
      <c r="D556" s="38"/>
      <c r="E556" s="38"/>
      <c r="F556" s="55"/>
      <c r="G556" s="55"/>
      <c r="H556" s="55"/>
      <c r="I556" s="55"/>
      <c r="J556" s="55"/>
      <c r="K556" s="55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</row>
    <row r="557">
      <c r="A557" s="38"/>
      <c r="B557" s="38"/>
      <c r="C557" s="38"/>
      <c r="D557" s="38"/>
      <c r="E557" s="38"/>
      <c r="F557" s="55"/>
      <c r="G557" s="55"/>
      <c r="H557" s="55"/>
      <c r="I557" s="55"/>
      <c r="J557" s="55"/>
      <c r="K557" s="55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</row>
    <row r="558">
      <c r="A558" s="38"/>
      <c r="B558" s="38"/>
      <c r="C558" s="38"/>
      <c r="D558" s="38"/>
      <c r="E558" s="38"/>
      <c r="F558" s="55"/>
      <c r="G558" s="55"/>
      <c r="H558" s="55"/>
      <c r="I558" s="55"/>
      <c r="J558" s="55"/>
      <c r="K558" s="55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</row>
    <row r="559">
      <c r="A559" s="38"/>
      <c r="B559" s="38"/>
      <c r="C559" s="38"/>
      <c r="D559" s="38"/>
      <c r="E559" s="38"/>
      <c r="F559" s="55"/>
      <c r="G559" s="55"/>
      <c r="H559" s="55"/>
      <c r="I559" s="55"/>
      <c r="J559" s="55"/>
      <c r="K559" s="55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</row>
    <row r="560">
      <c r="A560" s="38"/>
      <c r="B560" s="38"/>
      <c r="C560" s="38"/>
      <c r="D560" s="38"/>
      <c r="E560" s="38"/>
      <c r="F560" s="55"/>
      <c r="G560" s="55"/>
      <c r="H560" s="55"/>
      <c r="I560" s="55"/>
      <c r="J560" s="55"/>
      <c r="K560" s="55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</row>
    <row r="561">
      <c r="A561" s="38"/>
      <c r="B561" s="38"/>
      <c r="C561" s="38"/>
      <c r="D561" s="38"/>
      <c r="E561" s="38"/>
      <c r="F561" s="55"/>
      <c r="G561" s="55"/>
      <c r="H561" s="55"/>
      <c r="I561" s="55"/>
      <c r="J561" s="55"/>
      <c r="K561" s="55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</row>
    <row r="562">
      <c r="A562" s="38"/>
      <c r="B562" s="38"/>
      <c r="C562" s="38"/>
      <c r="D562" s="38"/>
      <c r="E562" s="38"/>
      <c r="F562" s="55"/>
      <c r="G562" s="55"/>
      <c r="H562" s="55"/>
      <c r="I562" s="55"/>
      <c r="J562" s="55"/>
      <c r="K562" s="55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</row>
    <row r="563">
      <c r="A563" s="38"/>
      <c r="B563" s="38"/>
      <c r="C563" s="38"/>
      <c r="D563" s="38"/>
      <c r="E563" s="38"/>
      <c r="F563" s="55"/>
      <c r="G563" s="55"/>
      <c r="H563" s="55"/>
      <c r="I563" s="55"/>
      <c r="J563" s="55"/>
      <c r="K563" s="55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</row>
    <row r="564">
      <c r="A564" s="38"/>
      <c r="B564" s="38"/>
      <c r="C564" s="38"/>
      <c r="D564" s="38"/>
      <c r="E564" s="38"/>
      <c r="F564" s="55"/>
      <c r="G564" s="55"/>
      <c r="H564" s="55"/>
      <c r="I564" s="55"/>
      <c r="J564" s="55"/>
      <c r="K564" s="55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</row>
    <row r="565">
      <c r="A565" s="38"/>
      <c r="B565" s="38"/>
      <c r="C565" s="38"/>
      <c r="D565" s="38"/>
      <c r="E565" s="38"/>
      <c r="F565" s="55"/>
      <c r="G565" s="55"/>
      <c r="H565" s="55"/>
      <c r="I565" s="55"/>
      <c r="J565" s="55"/>
      <c r="K565" s="55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</row>
    <row r="566">
      <c r="A566" s="38"/>
      <c r="B566" s="38"/>
      <c r="C566" s="38"/>
      <c r="D566" s="38"/>
      <c r="E566" s="38"/>
      <c r="F566" s="55"/>
      <c r="G566" s="55"/>
      <c r="H566" s="55"/>
      <c r="I566" s="55"/>
      <c r="J566" s="55"/>
      <c r="K566" s="55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</row>
    <row r="567">
      <c r="A567" s="38"/>
      <c r="B567" s="38"/>
      <c r="C567" s="38"/>
      <c r="D567" s="38"/>
      <c r="E567" s="38"/>
      <c r="F567" s="55"/>
      <c r="G567" s="55"/>
      <c r="H567" s="55"/>
      <c r="I567" s="55"/>
      <c r="J567" s="55"/>
      <c r="K567" s="55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</row>
    <row r="568">
      <c r="A568" s="38"/>
      <c r="B568" s="38"/>
      <c r="C568" s="38"/>
      <c r="D568" s="38"/>
      <c r="E568" s="38"/>
      <c r="F568" s="55"/>
      <c r="G568" s="55"/>
      <c r="H568" s="55"/>
      <c r="I568" s="55"/>
      <c r="J568" s="55"/>
      <c r="K568" s="55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</row>
    <row r="569">
      <c r="A569" s="38"/>
      <c r="B569" s="38"/>
      <c r="C569" s="38"/>
      <c r="D569" s="38"/>
      <c r="E569" s="38"/>
      <c r="F569" s="55"/>
      <c r="G569" s="55"/>
      <c r="H569" s="55"/>
      <c r="I569" s="55"/>
      <c r="J569" s="55"/>
      <c r="K569" s="55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</row>
    <row r="570">
      <c r="A570" s="38"/>
      <c r="B570" s="38"/>
      <c r="C570" s="38"/>
      <c r="D570" s="38"/>
      <c r="E570" s="38"/>
      <c r="F570" s="55"/>
      <c r="G570" s="55"/>
      <c r="H570" s="55"/>
      <c r="I570" s="55"/>
      <c r="J570" s="55"/>
      <c r="K570" s="55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</row>
    <row r="571">
      <c r="A571" s="38"/>
      <c r="B571" s="38"/>
      <c r="C571" s="38"/>
      <c r="D571" s="38"/>
      <c r="E571" s="38"/>
      <c r="F571" s="55"/>
      <c r="G571" s="55"/>
      <c r="H571" s="55"/>
      <c r="I571" s="55"/>
      <c r="J571" s="55"/>
      <c r="K571" s="55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</row>
    <row r="572">
      <c r="A572" s="38"/>
      <c r="B572" s="38"/>
      <c r="C572" s="38"/>
      <c r="D572" s="38"/>
      <c r="E572" s="38"/>
      <c r="F572" s="55"/>
      <c r="G572" s="55"/>
      <c r="H572" s="55"/>
      <c r="I572" s="55"/>
      <c r="J572" s="55"/>
      <c r="K572" s="55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</row>
    <row r="573">
      <c r="A573" s="38"/>
      <c r="B573" s="38"/>
      <c r="C573" s="38"/>
      <c r="D573" s="38"/>
      <c r="E573" s="38"/>
      <c r="F573" s="55"/>
      <c r="G573" s="55"/>
      <c r="H573" s="55"/>
      <c r="I573" s="55"/>
      <c r="J573" s="55"/>
      <c r="K573" s="55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</row>
    <row r="574">
      <c r="A574" s="38"/>
      <c r="B574" s="38"/>
      <c r="C574" s="38"/>
      <c r="D574" s="38"/>
      <c r="E574" s="38"/>
      <c r="F574" s="55"/>
      <c r="G574" s="55"/>
      <c r="H574" s="55"/>
      <c r="I574" s="55"/>
      <c r="J574" s="55"/>
      <c r="K574" s="55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</row>
    <row r="575">
      <c r="A575" s="38"/>
      <c r="B575" s="38"/>
      <c r="C575" s="38"/>
      <c r="D575" s="38"/>
      <c r="E575" s="38"/>
      <c r="F575" s="55"/>
      <c r="G575" s="55"/>
      <c r="H575" s="55"/>
      <c r="I575" s="55"/>
      <c r="J575" s="55"/>
      <c r="K575" s="55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</row>
    <row r="576">
      <c r="A576" s="38"/>
      <c r="B576" s="38"/>
      <c r="C576" s="38"/>
      <c r="D576" s="38"/>
      <c r="E576" s="38"/>
      <c r="F576" s="55"/>
      <c r="G576" s="55"/>
      <c r="H576" s="55"/>
      <c r="I576" s="55"/>
      <c r="J576" s="55"/>
      <c r="K576" s="55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</row>
    <row r="577">
      <c r="A577" s="38"/>
      <c r="B577" s="38"/>
      <c r="C577" s="38"/>
      <c r="D577" s="38"/>
      <c r="E577" s="38"/>
      <c r="F577" s="55"/>
      <c r="G577" s="55"/>
      <c r="H577" s="55"/>
      <c r="I577" s="55"/>
      <c r="J577" s="55"/>
      <c r="K577" s="55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</row>
    <row r="578">
      <c r="A578" s="38"/>
      <c r="B578" s="38"/>
      <c r="C578" s="38"/>
      <c r="D578" s="38"/>
      <c r="E578" s="38"/>
      <c r="F578" s="55"/>
      <c r="G578" s="55"/>
      <c r="H578" s="55"/>
      <c r="I578" s="55"/>
      <c r="J578" s="55"/>
      <c r="K578" s="55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</row>
    <row r="579">
      <c r="A579" s="38"/>
      <c r="B579" s="38"/>
      <c r="C579" s="38"/>
      <c r="D579" s="38"/>
      <c r="E579" s="38"/>
      <c r="F579" s="55"/>
      <c r="G579" s="55"/>
      <c r="H579" s="55"/>
      <c r="I579" s="55"/>
      <c r="J579" s="55"/>
      <c r="K579" s="55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</row>
    <row r="580">
      <c r="A580" s="38"/>
      <c r="B580" s="38"/>
      <c r="C580" s="38"/>
      <c r="D580" s="38"/>
      <c r="E580" s="38"/>
      <c r="F580" s="55"/>
      <c r="G580" s="55"/>
      <c r="H580" s="55"/>
      <c r="I580" s="55"/>
      <c r="J580" s="55"/>
      <c r="K580" s="55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</row>
    <row r="581">
      <c r="A581" s="38"/>
      <c r="B581" s="38"/>
      <c r="C581" s="38"/>
      <c r="D581" s="38"/>
      <c r="E581" s="38"/>
      <c r="F581" s="55"/>
      <c r="G581" s="55"/>
      <c r="H581" s="55"/>
      <c r="I581" s="55"/>
      <c r="J581" s="55"/>
      <c r="K581" s="55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</row>
    <row r="582">
      <c r="A582" s="38"/>
      <c r="B582" s="38"/>
      <c r="C582" s="38"/>
      <c r="D582" s="38"/>
      <c r="E582" s="38"/>
      <c r="F582" s="55"/>
      <c r="G582" s="55"/>
      <c r="H582" s="55"/>
      <c r="I582" s="55"/>
      <c r="J582" s="55"/>
      <c r="K582" s="55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</row>
    <row r="583">
      <c r="A583" s="38"/>
      <c r="B583" s="38"/>
      <c r="C583" s="38"/>
      <c r="D583" s="38"/>
      <c r="E583" s="38"/>
      <c r="F583" s="55"/>
      <c r="G583" s="55"/>
      <c r="H583" s="55"/>
      <c r="I583" s="55"/>
      <c r="J583" s="55"/>
      <c r="K583" s="55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</row>
    <row r="584">
      <c r="A584" s="38"/>
      <c r="B584" s="38"/>
      <c r="C584" s="38"/>
      <c r="D584" s="38"/>
      <c r="E584" s="38"/>
      <c r="F584" s="55"/>
      <c r="G584" s="55"/>
      <c r="H584" s="55"/>
      <c r="I584" s="55"/>
      <c r="J584" s="55"/>
      <c r="K584" s="55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</row>
    <row r="585">
      <c r="A585" s="38"/>
      <c r="B585" s="38"/>
      <c r="C585" s="38"/>
      <c r="D585" s="38"/>
      <c r="E585" s="38"/>
      <c r="F585" s="55"/>
      <c r="G585" s="55"/>
      <c r="H585" s="55"/>
      <c r="I585" s="55"/>
      <c r="J585" s="55"/>
      <c r="K585" s="55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</row>
    <row r="586">
      <c r="A586" s="38"/>
      <c r="B586" s="38"/>
      <c r="C586" s="38"/>
      <c r="D586" s="38"/>
      <c r="E586" s="38"/>
      <c r="F586" s="55"/>
      <c r="G586" s="55"/>
      <c r="H586" s="55"/>
      <c r="I586" s="55"/>
      <c r="J586" s="55"/>
      <c r="K586" s="55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</row>
    <row r="587">
      <c r="A587" s="38"/>
      <c r="B587" s="38"/>
      <c r="C587" s="38"/>
      <c r="D587" s="38"/>
      <c r="E587" s="38"/>
      <c r="F587" s="55"/>
      <c r="G587" s="55"/>
      <c r="H587" s="55"/>
      <c r="I587" s="55"/>
      <c r="J587" s="55"/>
      <c r="K587" s="55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</row>
    <row r="588">
      <c r="A588" s="38"/>
      <c r="B588" s="38"/>
      <c r="C588" s="38"/>
      <c r="D588" s="38"/>
      <c r="E588" s="38"/>
      <c r="F588" s="55"/>
      <c r="G588" s="55"/>
      <c r="H588" s="55"/>
      <c r="I588" s="55"/>
      <c r="J588" s="55"/>
      <c r="K588" s="55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</row>
    <row r="589">
      <c r="A589" s="38"/>
      <c r="B589" s="38"/>
      <c r="C589" s="38"/>
      <c r="D589" s="38"/>
      <c r="E589" s="38"/>
      <c r="F589" s="55"/>
      <c r="G589" s="55"/>
      <c r="H589" s="55"/>
      <c r="I589" s="55"/>
      <c r="J589" s="55"/>
      <c r="K589" s="55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</row>
    <row r="590">
      <c r="A590" s="38"/>
      <c r="B590" s="38"/>
      <c r="C590" s="38"/>
      <c r="D590" s="38"/>
      <c r="E590" s="38"/>
      <c r="F590" s="55"/>
      <c r="G590" s="55"/>
      <c r="H590" s="55"/>
      <c r="I590" s="55"/>
      <c r="J590" s="55"/>
      <c r="K590" s="55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</row>
    <row r="591">
      <c r="A591" s="38"/>
      <c r="B591" s="38"/>
      <c r="C591" s="38"/>
      <c r="D591" s="38"/>
      <c r="E591" s="38"/>
      <c r="F591" s="55"/>
      <c r="G591" s="55"/>
      <c r="H591" s="55"/>
      <c r="I591" s="55"/>
      <c r="J591" s="55"/>
      <c r="K591" s="55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</row>
    <row r="592">
      <c r="A592" s="38"/>
      <c r="B592" s="38"/>
      <c r="C592" s="38"/>
      <c r="D592" s="38"/>
      <c r="E592" s="38"/>
      <c r="F592" s="55"/>
      <c r="G592" s="55"/>
      <c r="H592" s="55"/>
      <c r="I592" s="55"/>
      <c r="J592" s="55"/>
      <c r="K592" s="55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</row>
    <row r="593">
      <c r="A593" s="38"/>
      <c r="B593" s="38"/>
      <c r="C593" s="38"/>
      <c r="D593" s="38"/>
      <c r="E593" s="38"/>
      <c r="F593" s="55"/>
      <c r="G593" s="55"/>
      <c r="H593" s="55"/>
      <c r="I593" s="55"/>
      <c r="J593" s="55"/>
      <c r="K593" s="55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</row>
    <row r="594">
      <c r="A594" s="38"/>
      <c r="B594" s="38"/>
      <c r="C594" s="38"/>
      <c r="D594" s="38"/>
      <c r="E594" s="38"/>
      <c r="F594" s="55"/>
      <c r="G594" s="55"/>
      <c r="H594" s="55"/>
      <c r="I594" s="55"/>
      <c r="J594" s="55"/>
      <c r="K594" s="55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</row>
    <row r="595">
      <c r="A595" s="38"/>
      <c r="B595" s="38"/>
      <c r="C595" s="38"/>
      <c r="D595" s="38"/>
      <c r="E595" s="38"/>
      <c r="F595" s="55"/>
      <c r="G595" s="55"/>
      <c r="H595" s="55"/>
      <c r="I595" s="55"/>
      <c r="J595" s="55"/>
      <c r="K595" s="55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</row>
    <row r="596">
      <c r="A596" s="38"/>
      <c r="B596" s="38"/>
      <c r="C596" s="38"/>
      <c r="D596" s="38"/>
      <c r="E596" s="38"/>
      <c r="F596" s="55"/>
      <c r="G596" s="55"/>
      <c r="H596" s="55"/>
      <c r="I596" s="55"/>
      <c r="J596" s="55"/>
      <c r="K596" s="55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</row>
    <row r="597">
      <c r="A597" s="38"/>
      <c r="B597" s="38"/>
      <c r="C597" s="38"/>
      <c r="D597" s="38"/>
      <c r="E597" s="38"/>
      <c r="F597" s="55"/>
      <c r="G597" s="55"/>
      <c r="H597" s="55"/>
      <c r="I597" s="55"/>
      <c r="J597" s="55"/>
      <c r="K597" s="55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</row>
    <row r="598">
      <c r="A598" s="38"/>
      <c r="B598" s="38"/>
      <c r="C598" s="38"/>
      <c r="D598" s="38"/>
      <c r="E598" s="38"/>
      <c r="F598" s="55"/>
      <c r="G598" s="55"/>
      <c r="H598" s="55"/>
      <c r="I598" s="55"/>
      <c r="J598" s="55"/>
      <c r="K598" s="55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</row>
    <row r="599">
      <c r="A599" s="38"/>
      <c r="B599" s="38"/>
      <c r="C599" s="38"/>
      <c r="D599" s="38"/>
      <c r="E599" s="38"/>
      <c r="F599" s="55"/>
      <c r="G599" s="55"/>
      <c r="H599" s="55"/>
      <c r="I599" s="55"/>
      <c r="J599" s="55"/>
      <c r="K599" s="55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</row>
    <row r="600">
      <c r="A600" s="38"/>
      <c r="B600" s="38"/>
      <c r="C600" s="38"/>
      <c r="D600" s="38"/>
      <c r="E600" s="38"/>
      <c r="F600" s="55"/>
      <c r="G600" s="55"/>
      <c r="H600" s="55"/>
      <c r="I600" s="55"/>
      <c r="J600" s="55"/>
      <c r="K600" s="55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</row>
    <row r="601">
      <c r="A601" s="38"/>
      <c r="B601" s="38"/>
      <c r="C601" s="38"/>
      <c r="D601" s="38"/>
      <c r="E601" s="38"/>
      <c r="F601" s="55"/>
      <c r="G601" s="55"/>
      <c r="H601" s="55"/>
      <c r="I601" s="55"/>
      <c r="J601" s="55"/>
      <c r="K601" s="55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</row>
    <row r="602">
      <c r="A602" s="38"/>
      <c r="B602" s="38"/>
      <c r="C602" s="38"/>
      <c r="D602" s="38"/>
      <c r="E602" s="38"/>
      <c r="F602" s="55"/>
      <c r="G602" s="55"/>
      <c r="H602" s="55"/>
      <c r="I602" s="55"/>
      <c r="J602" s="55"/>
      <c r="K602" s="55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</row>
    <row r="603">
      <c r="A603" s="38"/>
      <c r="B603" s="38"/>
      <c r="C603" s="38"/>
      <c r="D603" s="38"/>
      <c r="E603" s="38"/>
      <c r="F603" s="55"/>
      <c r="G603" s="55"/>
      <c r="H603" s="55"/>
      <c r="I603" s="55"/>
      <c r="J603" s="55"/>
      <c r="K603" s="55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</row>
    <row r="604">
      <c r="A604" s="38"/>
      <c r="B604" s="38"/>
      <c r="C604" s="38"/>
      <c r="D604" s="38"/>
      <c r="E604" s="38"/>
      <c r="F604" s="55"/>
      <c r="G604" s="55"/>
      <c r="H604" s="55"/>
      <c r="I604" s="55"/>
      <c r="J604" s="55"/>
      <c r="K604" s="55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</row>
    <row r="605">
      <c r="A605" s="38"/>
      <c r="B605" s="38"/>
      <c r="C605" s="38"/>
      <c r="D605" s="38"/>
      <c r="E605" s="38"/>
      <c r="F605" s="55"/>
      <c r="G605" s="55"/>
      <c r="H605" s="55"/>
      <c r="I605" s="55"/>
      <c r="J605" s="55"/>
      <c r="K605" s="55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</row>
    <row r="606">
      <c r="A606" s="38"/>
      <c r="B606" s="38"/>
      <c r="C606" s="38"/>
      <c r="D606" s="38"/>
      <c r="E606" s="38"/>
      <c r="F606" s="55"/>
      <c r="G606" s="55"/>
      <c r="H606" s="55"/>
      <c r="I606" s="55"/>
      <c r="J606" s="55"/>
      <c r="K606" s="55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</row>
    <row r="607">
      <c r="A607" s="38"/>
      <c r="B607" s="38"/>
      <c r="C607" s="38"/>
      <c r="D607" s="38"/>
      <c r="E607" s="38"/>
      <c r="F607" s="55"/>
      <c r="G607" s="55"/>
      <c r="H607" s="55"/>
      <c r="I607" s="55"/>
      <c r="J607" s="55"/>
      <c r="K607" s="55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</row>
    <row r="608">
      <c r="A608" s="38"/>
      <c r="B608" s="38"/>
      <c r="C608" s="38"/>
      <c r="D608" s="38"/>
      <c r="E608" s="38"/>
      <c r="F608" s="55"/>
      <c r="G608" s="55"/>
      <c r="H608" s="55"/>
      <c r="I608" s="55"/>
      <c r="J608" s="55"/>
      <c r="K608" s="55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</row>
    <row r="609">
      <c r="A609" s="38"/>
      <c r="B609" s="38"/>
      <c r="C609" s="38"/>
      <c r="D609" s="38"/>
      <c r="E609" s="38"/>
      <c r="F609" s="55"/>
      <c r="G609" s="55"/>
      <c r="H609" s="55"/>
      <c r="I609" s="55"/>
      <c r="J609" s="55"/>
      <c r="K609" s="55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</row>
    <row r="610">
      <c r="A610" s="38"/>
      <c r="B610" s="38"/>
      <c r="C610" s="38"/>
      <c r="D610" s="38"/>
      <c r="E610" s="38"/>
      <c r="F610" s="55"/>
      <c r="G610" s="55"/>
      <c r="H610" s="55"/>
      <c r="I610" s="55"/>
      <c r="J610" s="55"/>
      <c r="K610" s="55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</row>
    <row r="611">
      <c r="A611" s="38"/>
      <c r="B611" s="38"/>
      <c r="C611" s="38"/>
      <c r="D611" s="38"/>
      <c r="E611" s="38"/>
      <c r="F611" s="55"/>
      <c r="G611" s="55"/>
      <c r="H611" s="55"/>
      <c r="I611" s="55"/>
      <c r="J611" s="55"/>
      <c r="K611" s="55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</row>
    <row r="612">
      <c r="A612" s="38"/>
      <c r="B612" s="38"/>
      <c r="C612" s="38"/>
      <c r="D612" s="38"/>
      <c r="E612" s="38"/>
      <c r="F612" s="55"/>
      <c r="G612" s="55"/>
      <c r="H612" s="55"/>
      <c r="I612" s="55"/>
      <c r="J612" s="55"/>
      <c r="K612" s="55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</row>
    <row r="613">
      <c r="A613" s="38"/>
      <c r="B613" s="38"/>
      <c r="C613" s="38"/>
      <c r="D613" s="38"/>
      <c r="E613" s="38"/>
      <c r="F613" s="55"/>
      <c r="G613" s="55"/>
      <c r="H613" s="55"/>
      <c r="I613" s="55"/>
      <c r="J613" s="55"/>
      <c r="K613" s="55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</row>
    <row r="614">
      <c r="A614" s="38"/>
      <c r="B614" s="38"/>
      <c r="C614" s="38"/>
      <c r="D614" s="38"/>
      <c r="E614" s="38"/>
      <c r="F614" s="55"/>
      <c r="G614" s="55"/>
      <c r="H614" s="55"/>
      <c r="I614" s="55"/>
      <c r="J614" s="55"/>
      <c r="K614" s="55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</row>
    <row r="615">
      <c r="A615" s="38"/>
      <c r="B615" s="38"/>
      <c r="C615" s="38"/>
      <c r="D615" s="38"/>
      <c r="E615" s="38"/>
      <c r="F615" s="55"/>
      <c r="G615" s="55"/>
      <c r="H615" s="55"/>
      <c r="I615" s="55"/>
      <c r="J615" s="55"/>
      <c r="K615" s="55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</row>
    <row r="616">
      <c r="A616" s="38"/>
      <c r="B616" s="38"/>
      <c r="C616" s="38"/>
      <c r="D616" s="38"/>
      <c r="E616" s="38"/>
      <c r="F616" s="55"/>
      <c r="G616" s="55"/>
      <c r="H616" s="55"/>
      <c r="I616" s="55"/>
      <c r="J616" s="55"/>
      <c r="K616" s="55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</row>
    <row r="617">
      <c r="A617" s="38"/>
      <c r="B617" s="38"/>
      <c r="C617" s="38"/>
      <c r="D617" s="38"/>
      <c r="E617" s="38"/>
      <c r="F617" s="55"/>
      <c r="G617" s="55"/>
      <c r="H617" s="55"/>
      <c r="I617" s="55"/>
      <c r="J617" s="55"/>
      <c r="K617" s="55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</row>
    <row r="618">
      <c r="A618" s="38"/>
      <c r="B618" s="38"/>
      <c r="C618" s="38"/>
      <c r="D618" s="38"/>
      <c r="E618" s="38"/>
      <c r="F618" s="55"/>
      <c r="G618" s="55"/>
      <c r="H618" s="55"/>
      <c r="I618" s="55"/>
      <c r="J618" s="55"/>
      <c r="K618" s="55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</row>
    <row r="619">
      <c r="A619" s="38"/>
      <c r="B619" s="38"/>
      <c r="C619" s="38"/>
      <c r="D619" s="38"/>
      <c r="E619" s="38"/>
      <c r="F619" s="55"/>
      <c r="G619" s="55"/>
      <c r="H619" s="55"/>
      <c r="I619" s="55"/>
      <c r="J619" s="55"/>
      <c r="K619" s="55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</row>
    <row r="620">
      <c r="A620" s="38"/>
      <c r="B620" s="38"/>
      <c r="C620" s="38"/>
      <c r="D620" s="38"/>
      <c r="E620" s="38"/>
      <c r="F620" s="55"/>
      <c r="G620" s="55"/>
      <c r="H620" s="55"/>
      <c r="I620" s="55"/>
      <c r="J620" s="55"/>
      <c r="K620" s="55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</row>
    <row r="621">
      <c r="A621" s="38"/>
      <c r="B621" s="38"/>
      <c r="C621" s="38"/>
      <c r="D621" s="38"/>
      <c r="E621" s="38"/>
      <c r="F621" s="55"/>
      <c r="G621" s="55"/>
      <c r="H621" s="55"/>
      <c r="I621" s="55"/>
      <c r="J621" s="55"/>
      <c r="K621" s="55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</row>
    <row r="622">
      <c r="A622" s="38"/>
      <c r="B622" s="38"/>
      <c r="C622" s="38"/>
      <c r="D622" s="38"/>
      <c r="E622" s="38"/>
      <c r="F622" s="55"/>
      <c r="G622" s="55"/>
      <c r="H622" s="55"/>
      <c r="I622" s="55"/>
      <c r="J622" s="55"/>
      <c r="K622" s="55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</row>
    <row r="623">
      <c r="A623" s="38"/>
      <c r="B623" s="38"/>
      <c r="C623" s="38"/>
      <c r="D623" s="38"/>
      <c r="E623" s="38"/>
      <c r="F623" s="55"/>
      <c r="G623" s="55"/>
      <c r="H623" s="55"/>
      <c r="I623" s="55"/>
      <c r="J623" s="55"/>
      <c r="K623" s="55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</row>
    <row r="624">
      <c r="A624" s="38"/>
      <c r="B624" s="38"/>
      <c r="C624" s="38"/>
      <c r="D624" s="38"/>
      <c r="E624" s="38"/>
      <c r="F624" s="55"/>
      <c r="G624" s="55"/>
      <c r="H624" s="55"/>
      <c r="I624" s="55"/>
      <c r="J624" s="55"/>
      <c r="K624" s="55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</row>
    <row r="625">
      <c r="A625" s="38"/>
      <c r="B625" s="38"/>
      <c r="C625" s="38"/>
      <c r="D625" s="38"/>
      <c r="E625" s="38"/>
      <c r="F625" s="55"/>
      <c r="G625" s="55"/>
      <c r="H625" s="55"/>
      <c r="I625" s="55"/>
      <c r="J625" s="55"/>
      <c r="K625" s="55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</row>
    <row r="626">
      <c r="A626" s="38"/>
      <c r="B626" s="38"/>
      <c r="C626" s="38"/>
      <c r="D626" s="38"/>
      <c r="E626" s="38"/>
      <c r="F626" s="55"/>
      <c r="G626" s="55"/>
      <c r="H626" s="55"/>
      <c r="I626" s="55"/>
      <c r="J626" s="55"/>
      <c r="K626" s="55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</row>
    <row r="627">
      <c r="A627" s="38"/>
      <c r="B627" s="38"/>
      <c r="C627" s="38"/>
      <c r="D627" s="38"/>
      <c r="E627" s="38"/>
      <c r="F627" s="55"/>
      <c r="G627" s="55"/>
      <c r="H627" s="55"/>
      <c r="I627" s="55"/>
      <c r="J627" s="55"/>
      <c r="K627" s="55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</row>
    <row r="628">
      <c r="A628" s="38"/>
      <c r="B628" s="38"/>
      <c r="C628" s="38"/>
      <c r="D628" s="38"/>
      <c r="E628" s="38"/>
      <c r="F628" s="55"/>
      <c r="G628" s="55"/>
      <c r="H628" s="55"/>
      <c r="I628" s="55"/>
      <c r="J628" s="55"/>
      <c r="K628" s="55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</row>
    <row r="629">
      <c r="A629" s="38"/>
      <c r="B629" s="38"/>
      <c r="C629" s="38"/>
      <c r="D629" s="38"/>
      <c r="E629" s="38"/>
      <c r="F629" s="55"/>
      <c r="G629" s="55"/>
      <c r="H629" s="55"/>
      <c r="I629" s="55"/>
      <c r="J629" s="55"/>
      <c r="K629" s="55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</row>
    <row r="630">
      <c r="A630" s="38"/>
      <c r="B630" s="38"/>
      <c r="C630" s="38"/>
      <c r="D630" s="38"/>
      <c r="E630" s="38"/>
      <c r="F630" s="55"/>
      <c r="G630" s="55"/>
      <c r="H630" s="55"/>
      <c r="I630" s="55"/>
      <c r="J630" s="55"/>
      <c r="K630" s="55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</row>
    <row r="631">
      <c r="A631" s="38"/>
      <c r="B631" s="38"/>
      <c r="C631" s="38"/>
      <c r="D631" s="38"/>
      <c r="E631" s="38"/>
      <c r="F631" s="55"/>
      <c r="G631" s="55"/>
      <c r="H631" s="55"/>
      <c r="I631" s="55"/>
      <c r="J631" s="55"/>
      <c r="K631" s="55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</row>
    <row r="632">
      <c r="A632" s="38"/>
      <c r="B632" s="38"/>
      <c r="C632" s="38"/>
      <c r="D632" s="38"/>
      <c r="E632" s="38"/>
      <c r="F632" s="55"/>
      <c r="G632" s="55"/>
      <c r="H632" s="55"/>
      <c r="I632" s="55"/>
      <c r="J632" s="55"/>
      <c r="K632" s="55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</row>
    <row r="633">
      <c r="A633" s="38"/>
      <c r="B633" s="38"/>
      <c r="C633" s="38"/>
      <c r="D633" s="38"/>
      <c r="E633" s="38"/>
      <c r="F633" s="55"/>
      <c r="G633" s="55"/>
      <c r="H633" s="55"/>
      <c r="I633" s="55"/>
      <c r="J633" s="55"/>
      <c r="K633" s="55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</row>
    <row r="634">
      <c r="A634" s="38"/>
      <c r="B634" s="38"/>
      <c r="C634" s="38"/>
      <c r="D634" s="38"/>
      <c r="E634" s="38"/>
      <c r="F634" s="55"/>
      <c r="G634" s="55"/>
      <c r="H634" s="55"/>
      <c r="I634" s="55"/>
      <c r="J634" s="55"/>
      <c r="K634" s="55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</row>
    <row r="635">
      <c r="A635" s="38"/>
      <c r="B635" s="38"/>
      <c r="C635" s="38"/>
      <c r="D635" s="38"/>
      <c r="E635" s="38"/>
      <c r="F635" s="55"/>
      <c r="G635" s="55"/>
      <c r="H635" s="55"/>
      <c r="I635" s="55"/>
      <c r="J635" s="55"/>
      <c r="K635" s="55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</row>
    <row r="636">
      <c r="A636" s="38"/>
      <c r="B636" s="38"/>
      <c r="C636" s="38"/>
      <c r="D636" s="38"/>
      <c r="E636" s="38"/>
      <c r="F636" s="55"/>
      <c r="G636" s="55"/>
      <c r="H636" s="55"/>
      <c r="I636" s="55"/>
      <c r="J636" s="55"/>
      <c r="K636" s="55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</row>
    <row r="637">
      <c r="A637" s="38"/>
      <c r="B637" s="38"/>
      <c r="C637" s="38"/>
      <c r="D637" s="38"/>
      <c r="E637" s="38"/>
      <c r="F637" s="55"/>
      <c r="G637" s="55"/>
      <c r="H637" s="55"/>
      <c r="I637" s="55"/>
      <c r="J637" s="55"/>
      <c r="K637" s="55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</row>
    <row r="638">
      <c r="A638" s="38"/>
      <c r="B638" s="38"/>
      <c r="C638" s="38"/>
      <c r="D638" s="38"/>
      <c r="E638" s="38"/>
      <c r="F638" s="55"/>
      <c r="G638" s="55"/>
      <c r="H638" s="55"/>
      <c r="I638" s="55"/>
      <c r="J638" s="55"/>
      <c r="K638" s="55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</row>
    <row r="639">
      <c r="A639" s="38"/>
      <c r="B639" s="38"/>
      <c r="C639" s="38"/>
      <c r="D639" s="38"/>
      <c r="E639" s="38"/>
      <c r="F639" s="55"/>
      <c r="G639" s="55"/>
      <c r="H639" s="55"/>
      <c r="I639" s="55"/>
      <c r="J639" s="55"/>
      <c r="K639" s="55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</row>
    <row r="640">
      <c r="A640" s="38"/>
      <c r="B640" s="38"/>
      <c r="C640" s="38"/>
      <c r="D640" s="38"/>
      <c r="E640" s="38"/>
      <c r="F640" s="55"/>
      <c r="G640" s="55"/>
      <c r="H640" s="55"/>
      <c r="I640" s="55"/>
      <c r="J640" s="55"/>
      <c r="K640" s="55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</row>
    <row r="641">
      <c r="A641" s="38"/>
      <c r="B641" s="38"/>
      <c r="C641" s="38"/>
      <c r="D641" s="38"/>
      <c r="E641" s="38"/>
      <c r="F641" s="55"/>
      <c r="G641" s="55"/>
      <c r="H641" s="55"/>
      <c r="I641" s="55"/>
      <c r="J641" s="55"/>
      <c r="K641" s="55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</row>
    <row r="642">
      <c r="A642" s="38"/>
      <c r="B642" s="38"/>
      <c r="C642" s="38"/>
      <c r="D642" s="38"/>
      <c r="E642" s="38"/>
      <c r="F642" s="55"/>
      <c r="G642" s="55"/>
      <c r="H642" s="55"/>
      <c r="I642" s="55"/>
      <c r="J642" s="55"/>
      <c r="K642" s="55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</row>
    <row r="643">
      <c r="A643" s="38"/>
      <c r="B643" s="38"/>
      <c r="C643" s="38"/>
      <c r="D643" s="38"/>
      <c r="E643" s="38"/>
      <c r="F643" s="55"/>
      <c r="G643" s="55"/>
      <c r="H643" s="55"/>
      <c r="I643" s="55"/>
      <c r="J643" s="55"/>
      <c r="K643" s="55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</row>
    <row r="644">
      <c r="A644" s="38"/>
      <c r="B644" s="38"/>
      <c r="C644" s="38"/>
      <c r="D644" s="38"/>
      <c r="E644" s="38"/>
      <c r="F644" s="55"/>
      <c r="G644" s="55"/>
      <c r="H644" s="55"/>
      <c r="I644" s="55"/>
      <c r="J644" s="55"/>
      <c r="K644" s="55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</row>
    <row r="645">
      <c r="A645" s="38"/>
      <c r="B645" s="38"/>
      <c r="C645" s="38"/>
      <c r="D645" s="38"/>
      <c r="E645" s="38"/>
      <c r="F645" s="55"/>
      <c r="G645" s="55"/>
      <c r="H645" s="55"/>
      <c r="I645" s="55"/>
      <c r="J645" s="55"/>
      <c r="K645" s="55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</row>
    <row r="646">
      <c r="A646" s="38"/>
      <c r="B646" s="38"/>
      <c r="C646" s="38"/>
      <c r="D646" s="38"/>
      <c r="E646" s="38"/>
      <c r="F646" s="55"/>
      <c r="G646" s="55"/>
      <c r="H646" s="55"/>
      <c r="I646" s="55"/>
      <c r="J646" s="55"/>
      <c r="K646" s="55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</row>
    <row r="647">
      <c r="A647" s="38"/>
      <c r="B647" s="38"/>
      <c r="C647" s="38"/>
      <c r="D647" s="38"/>
      <c r="E647" s="38"/>
      <c r="F647" s="55"/>
      <c r="G647" s="55"/>
      <c r="H647" s="55"/>
      <c r="I647" s="55"/>
      <c r="J647" s="55"/>
      <c r="K647" s="55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</row>
    <row r="648">
      <c r="A648" s="38"/>
      <c r="B648" s="38"/>
      <c r="C648" s="38"/>
      <c r="D648" s="38"/>
      <c r="E648" s="38"/>
      <c r="F648" s="55"/>
      <c r="G648" s="55"/>
      <c r="H648" s="55"/>
      <c r="I648" s="55"/>
      <c r="J648" s="55"/>
      <c r="K648" s="55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</row>
    <row r="649">
      <c r="A649" s="38"/>
      <c r="B649" s="38"/>
      <c r="C649" s="38"/>
      <c r="D649" s="38"/>
      <c r="E649" s="38"/>
      <c r="F649" s="55"/>
      <c r="G649" s="55"/>
      <c r="H649" s="55"/>
      <c r="I649" s="55"/>
      <c r="J649" s="55"/>
      <c r="K649" s="55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</row>
    <row r="650">
      <c r="A650" s="38"/>
      <c r="B650" s="38"/>
      <c r="C650" s="38"/>
      <c r="D650" s="38"/>
      <c r="E650" s="38"/>
      <c r="F650" s="55"/>
      <c r="G650" s="55"/>
      <c r="H650" s="55"/>
      <c r="I650" s="55"/>
      <c r="J650" s="55"/>
      <c r="K650" s="55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</row>
    <row r="651">
      <c r="A651" s="38"/>
      <c r="B651" s="38"/>
      <c r="C651" s="38"/>
      <c r="D651" s="38"/>
      <c r="E651" s="38"/>
      <c r="F651" s="55"/>
      <c r="G651" s="55"/>
      <c r="H651" s="55"/>
      <c r="I651" s="55"/>
      <c r="J651" s="55"/>
      <c r="K651" s="55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</row>
    <row r="652">
      <c r="A652" s="38"/>
      <c r="B652" s="38"/>
      <c r="C652" s="38"/>
      <c r="D652" s="38"/>
      <c r="E652" s="38"/>
      <c r="F652" s="55"/>
      <c r="G652" s="55"/>
      <c r="H652" s="55"/>
      <c r="I652" s="55"/>
      <c r="J652" s="55"/>
      <c r="K652" s="55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</row>
    <row r="653">
      <c r="A653" s="38"/>
      <c r="B653" s="38"/>
      <c r="C653" s="38"/>
      <c r="D653" s="38"/>
      <c r="E653" s="38"/>
      <c r="F653" s="55"/>
      <c r="G653" s="55"/>
      <c r="H653" s="55"/>
      <c r="I653" s="55"/>
      <c r="J653" s="55"/>
      <c r="K653" s="55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</row>
    <row r="654">
      <c r="A654" s="38"/>
      <c r="B654" s="38"/>
      <c r="C654" s="38"/>
      <c r="D654" s="38"/>
      <c r="E654" s="38"/>
      <c r="F654" s="55"/>
      <c r="G654" s="55"/>
      <c r="H654" s="55"/>
      <c r="I654" s="55"/>
      <c r="J654" s="55"/>
      <c r="K654" s="55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</row>
    <row r="655">
      <c r="A655" s="38"/>
      <c r="B655" s="38"/>
      <c r="C655" s="38"/>
      <c r="D655" s="38"/>
      <c r="E655" s="38"/>
      <c r="F655" s="55"/>
      <c r="G655" s="55"/>
      <c r="H655" s="55"/>
      <c r="I655" s="55"/>
      <c r="J655" s="55"/>
      <c r="K655" s="55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</row>
    <row r="656">
      <c r="A656" s="38"/>
      <c r="B656" s="38"/>
      <c r="C656" s="38"/>
      <c r="D656" s="38"/>
      <c r="E656" s="38"/>
      <c r="F656" s="55"/>
      <c r="G656" s="55"/>
      <c r="H656" s="55"/>
      <c r="I656" s="55"/>
      <c r="J656" s="55"/>
      <c r="K656" s="55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</row>
    <row r="657">
      <c r="A657" s="38"/>
      <c r="B657" s="38"/>
      <c r="C657" s="38"/>
      <c r="D657" s="38"/>
      <c r="E657" s="38"/>
      <c r="F657" s="55"/>
      <c r="G657" s="55"/>
      <c r="H657" s="55"/>
      <c r="I657" s="55"/>
      <c r="J657" s="55"/>
      <c r="K657" s="55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</row>
    <row r="658">
      <c r="A658" s="38"/>
      <c r="B658" s="38"/>
      <c r="C658" s="38"/>
      <c r="D658" s="38"/>
      <c r="E658" s="38"/>
      <c r="F658" s="55"/>
      <c r="G658" s="55"/>
      <c r="H658" s="55"/>
      <c r="I658" s="55"/>
      <c r="J658" s="55"/>
      <c r="K658" s="55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</row>
    <row r="659">
      <c r="A659" s="38"/>
      <c r="B659" s="38"/>
      <c r="C659" s="38"/>
      <c r="D659" s="38"/>
      <c r="E659" s="38"/>
      <c r="F659" s="55"/>
      <c r="G659" s="55"/>
      <c r="H659" s="55"/>
      <c r="I659" s="55"/>
      <c r="J659" s="55"/>
      <c r="K659" s="55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</row>
    <row r="660">
      <c r="A660" s="38"/>
      <c r="B660" s="38"/>
      <c r="C660" s="38"/>
      <c r="D660" s="38"/>
      <c r="E660" s="38"/>
      <c r="F660" s="55"/>
      <c r="G660" s="55"/>
      <c r="H660" s="55"/>
      <c r="I660" s="55"/>
      <c r="J660" s="55"/>
      <c r="K660" s="55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</row>
    <row r="661">
      <c r="A661" s="38"/>
      <c r="B661" s="38"/>
      <c r="C661" s="38"/>
      <c r="D661" s="38"/>
      <c r="E661" s="38"/>
      <c r="F661" s="55"/>
      <c r="G661" s="55"/>
      <c r="H661" s="55"/>
      <c r="I661" s="55"/>
      <c r="J661" s="55"/>
      <c r="K661" s="55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</row>
    <row r="662">
      <c r="A662" s="38"/>
      <c r="B662" s="38"/>
      <c r="C662" s="38"/>
      <c r="D662" s="38"/>
      <c r="E662" s="38"/>
      <c r="F662" s="55"/>
      <c r="G662" s="55"/>
      <c r="H662" s="55"/>
      <c r="I662" s="55"/>
      <c r="J662" s="55"/>
      <c r="K662" s="55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</row>
    <row r="663">
      <c r="A663" s="38"/>
      <c r="B663" s="38"/>
      <c r="C663" s="38"/>
      <c r="D663" s="38"/>
      <c r="E663" s="38"/>
      <c r="F663" s="55"/>
      <c r="G663" s="55"/>
      <c r="H663" s="55"/>
      <c r="I663" s="55"/>
      <c r="J663" s="55"/>
      <c r="K663" s="55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</row>
    <row r="664">
      <c r="A664" s="38"/>
      <c r="B664" s="38"/>
      <c r="C664" s="38"/>
      <c r="D664" s="38"/>
      <c r="E664" s="38"/>
      <c r="F664" s="55"/>
      <c r="G664" s="55"/>
      <c r="H664" s="55"/>
      <c r="I664" s="55"/>
      <c r="J664" s="55"/>
      <c r="K664" s="55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</row>
    <row r="665">
      <c r="A665" s="38"/>
      <c r="B665" s="38"/>
      <c r="C665" s="38"/>
      <c r="D665" s="38"/>
      <c r="E665" s="38"/>
      <c r="F665" s="55"/>
      <c r="G665" s="55"/>
      <c r="H665" s="55"/>
      <c r="I665" s="55"/>
      <c r="J665" s="55"/>
      <c r="K665" s="55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</row>
    <row r="666">
      <c r="A666" s="38"/>
      <c r="B666" s="38"/>
      <c r="C666" s="38"/>
      <c r="D666" s="38"/>
      <c r="E666" s="38"/>
      <c r="F666" s="55"/>
      <c r="G666" s="55"/>
      <c r="H666" s="55"/>
      <c r="I666" s="55"/>
      <c r="J666" s="55"/>
      <c r="K666" s="55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</row>
    <row r="667">
      <c r="A667" s="38"/>
      <c r="B667" s="38"/>
      <c r="C667" s="38"/>
      <c r="D667" s="38"/>
      <c r="E667" s="38"/>
      <c r="F667" s="55"/>
      <c r="G667" s="55"/>
      <c r="H667" s="55"/>
      <c r="I667" s="55"/>
      <c r="J667" s="55"/>
      <c r="K667" s="55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</row>
    <row r="668">
      <c r="A668" s="38"/>
      <c r="B668" s="38"/>
      <c r="C668" s="38"/>
      <c r="D668" s="38"/>
      <c r="E668" s="38"/>
      <c r="F668" s="55"/>
      <c r="G668" s="55"/>
      <c r="H668" s="55"/>
      <c r="I668" s="55"/>
      <c r="J668" s="55"/>
      <c r="K668" s="55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</row>
    <row r="669">
      <c r="A669" s="38"/>
      <c r="B669" s="38"/>
      <c r="C669" s="38"/>
      <c r="D669" s="38"/>
      <c r="E669" s="38"/>
      <c r="F669" s="55"/>
      <c r="G669" s="55"/>
      <c r="H669" s="55"/>
      <c r="I669" s="55"/>
      <c r="J669" s="55"/>
      <c r="K669" s="55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</row>
    <row r="670">
      <c r="A670" s="38"/>
      <c r="B670" s="38"/>
      <c r="C670" s="38"/>
      <c r="D670" s="38"/>
      <c r="E670" s="38"/>
      <c r="F670" s="55"/>
      <c r="G670" s="55"/>
      <c r="H670" s="55"/>
      <c r="I670" s="55"/>
      <c r="J670" s="55"/>
      <c r="K670" s="55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</row>
    <row r="671">
      <c r="A671" s="38"/>
      <c r="B671" s="38"/>
      <c r="C671" s="38"/>
      <c r="D671" s="38"/>
      <c r="E671" s="38"/>
      <c r="F671" s="55"/>
      <c r="G671" s="55"/>
      <c r="H671" s="55"/>
      <c r="I671" s="55"/>
      <c r="J671" s="55"/>
      <c r="K671" s="55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</row>
    <row r="672">
      <c r="A672" s="38"/>
      <c r="B672" s="38"/>
      <c r="C672" s="38"/>
      <c r="D672" s="38"/>
      <c r="E672" s="38"/>
      <c r="F672" s="55"/>
      <c r="G672" s="55"/>
      <c r="H672" s="55"/>
      <c r="I672" s="55"/>
      <c r="J672" s="55"/>
      <c r="K672" s="55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</row>
    <row r="673">
      <c r="A673" s="38"/>
      <c r="B673" s="38"/>
      <c r="C673" s="38"/>
      <c r="D673" s="38"/>
      <c r="E673" s="38"/>
      <c r="F673" s="55"/>
      <c r="G673" s="55"/>
      <c r="H673" s="55"/>
      <c r="I673" s="55"/>
      <c r="J673" s="55"/>
      <c r="K673" s="55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</row>
    <row r="674">
      <c r="A674" s="38"/>
      <c r="B674" s="38"/>
      <c r="C674" s="38"/>
      <c r="D674" s="38"/>
      <c r="E674" s="38"/>
      <c r="F674" s="55"/>
      <c r="G674" s="55"/>
      <c r="H674" s="55"/>
      <c r="I674" s="55"/>
      <c r="J674" s="55"/>
      <c r="K674" s="55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</row>
    <row r="675">
      <c r="A675" s="38"/>
      <c r="B675" s="38"/>
      <c r="C675" s="38"/>
      <c r="D675" s="38"/>
      <c r="E675" s="38"/>
      <c r="F675" s="55"/>
      <c r="G675" s="55"/>
      <c r="H675" s="55"/>
      <c r="I675" s="55"/>
      <c r="J675" s="55"/>
      <c r="K675" s="55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</row>
    <row r="676">
      <c r="A676" s="38"/>
      <c r="B676" s="38"/>
      <c r="C676" s="38"/>
      <c r="D676" s="38"/>
      <c r="E676" s="38"/>
      <c r="F676" s="55"/>
      <c r="G676" s="55"/>
      <c r="H676" s="55"/>
      <c r="I676" s="55"/>
      <c r="J676" s="55"/>
      <c r="K676" s="55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</row>
    <row r="677">
      <c r="A677" s="38"/>
      <c r="B677" s="38"/>
      <c r="C677" s="38"/>
      <c r="D677" s="38"/>
      <c r="E677" s="38"/>
      <c r="F677" s="55"/>
      <c r="G677" s="55"/>
      <c r="H677" s="55"/>
      <c r="I677" s="55"/>
      <c r="J677" s="55"/>
      <c r="K677" s="55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</row>
    <row r="678">
      <c r="A678" s="38"/>
      <c r="B678" s="38"/>
      <c r="C678" s="38"/>
      <c r="D678" s="38"/>
      <c r="E678" s="38"/>
      <c r="F678" s="55"/>
      <c r="G678" s="55"/>
      <c r="H678" s="55"/>
      <c r="I678" s="55"/>
      <c r="J678" s="55"/>
      <c r="K678" s="55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</row>
    <row r="679">
      <c r="A679" s="38"/>
      <c r="B679" s="38"/>
      <c r="C679" s="38"/>
      <c r="D679" s="38"/>
      <c r="E679" s="38"/>
      <c r="F679" s="55"/>
      <c r="G679" s="55"/>
      <c r="H679" s="55"/>
      <c r="I679" s="55"/>
      <c r="J679" s="55"/>
      <c r="K679" s="55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</row>
    <row r="680">
      <c r="A680" s="38"/>
      <c r="B680" s="38"/>
      <c r="C680" s="38"/>
      <c r="D680" s="38"/>
      <c r="E680" s="38"/>
      <c r="F680" s="55"/>
      <c r="G680" s="55"/>
      <c r="H680" s="55"/>
      <c r="I680" s="55"/>
      <c r="J680" s="55"/>
      <c r="K680" s="55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</row>
    <row r="681">
      <c r="A681" s="38"/>
      <c r="B681" s="38"/>
      <c r="C681" s="38"/>
      <c r="D681" s="38"/>
      <c r="E681" s="38"/>
      <c r="F681" s="55"/>
      <c r="G681" s="55"/>
      <c r="H681" s="55"/>
      <c r="I681" s="55"/>
      <c r="J681" s="55"/>
      <c r="K681" s="55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</row>
    <row r="682">
      <c r="A682" s="38"/>
      <c r="B682" s="38"/>
      <c r="C682" s="38"/>
      <c r="D682" s="38"/>
      <c r="E682" s="38"/>
      <c r="F682" s="55"/>
      <c r="G682" s="55"/>
      <c r="H682" s="55"/>
      <c r="I682" s="55"/>
      <c r="J682" s="55"/>
      <c r="K682" s="55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</row>
    <row r="683">
      <c r="A683" s="38"/>
      <c r="B683" s="38"/>
      <c r="C683" s="38"/>
      <c r="D683" s="38"/>
      <c r="E683" s="38"/>
      <c r="F683" s="55"/>
      <c r="G683" s="55"/>
      <c r="H683" s="55"/>
      <c r="I683" s="55"/>
      <c r="J683" s="55"/>
      <c r="K683" s="55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</row>
    <row r="684">
      <c r="A684" s="38"/>
      <c r="B684" s="38"/>
      <c r="C684" s="38"/>
      <c r="D684" s="38"/>
      <c r="E684" s="38"/>
      <c r="F684" s="55"/>
      <c r="G684" s="55"/>
      <c r="H684" s="55"/>
      <c r="I684" s="55"/>
      <c r="J684" s="55"/>
      <c r="K684" s="55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</row>
    <row r="685">
      <c r="A685" s="38"/>
      <c r="B685" s="38"/>
      <c r="C685" s="38"/>
      <c r="D685" s="38"/>
      <c r="E685" s="38"/>
      <c r="F685" s="55"/>
      <c r="G685" s="55"/>
      <c r="H685" s="55"/>
      <c r="I685" s="55"/>
      <c r="J685" s="55"/>
      <c r="K685" s="55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</row>
    <row r="686">
      <c r="A686" s="38"/>
      <c r="B686" s="38"/>
      <c r="C686" s="38"/>
      <c r="D686" s="38"/>
      <c r="E686" s="38"/>
      <c r="F686" s="55"/>
      <c r="G686" s="55"/>
      <c r="H686" s="55"/>
      <c r="I686" s="55"/>
      <c r="J686" s="55"/>
      <c r="K686" s="55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</row>
    <row r="687">
      <c r="A687" s="38"/>
      <c r="B687" s="38"/>
      <c r="C687" s="38"/>
      <c r="D687" s="38"/>
      <c r="E687" s="38"/>
      <c r="F687" s="55"/>
      <c r="G687" s="55"/>
      <c r="H687" s="55"/>
      <c r="I687" s="55"/>
      <c r="J687" s="55"/>
      <c r="K687" s="55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</row>
    <row r="688">
      <c r="A688" s="38"/>
      <c r="B688" s="38"/>
      <c r="C688" s="38"/>
      <c r="D688" s="38"/>
      <c r="E688" s="38"/>
      <c r="F688" s="55"/>
      <c r="G688" s="55"/>
      <c r="H688" s="55"/>
      <c r="I688" s="55"/>
      <c r="J688" s="55"/>
      <c r="K688" s="55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</row>
    <row r="689">
      <c r="A689" s="38"/>
      <c r="B689" s="38"/>
      <c r="C689" s="38"/>
      <c r="D689" s="38"/>
      <c r="E689" s="38"/>
      <c r="F689" s="55"/>
      <c r="G689" s="55"/>
      <c r="H689" s="55"/>
      <c r="I689" s="55"/>
      <c r="J689" s="55"/>
      <c r="K689" s="55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</row>
    <row r="690">
      <c r="A690" s="38"/>
      <c r="B690" s="38"/>
      <c r="C690" s="38"/>
      <c r="D690" s="38"/>
      <c r="E690" s="38"/>
      <c r="F690" s="55"/>
      <c r="G690" s="55"/>
      <c r="H690" s="55"/>
      <c r="I690" s="55"/>
      <c r="J690" s="55"/>
      <c r="K690" s="55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</row>
    <row r="691">
      <c r="A691" s="38"/>
      <c r="B691" s="38"/>
      <c r="C691" s="38"/>
      <c r="D691" s="38"/>
      <c r="E691" s="38"/>
      <c r="F691" s="55"/>
      <c r="G691" s="55"/>
      <c r="H691" s="55"/>
      <c r="I691" s="55"/>
      <c r="J691" s="55"/>
      <c r="K691" s="55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</row>
    <row r="692">
      <c r="A692" s="38"/>
      <c r="B692" s="38"/>
      <c r="C692" s="38"/>
      <c r="D692" s="38"/>
      <c r="E692" s="38"/>
      <c r="F692" s="55"/>
      <c r="G692" s="55"/>
      <c r="H692" s="55"/>
      <c r="I692" s="55"/>
      <c r="J692" s="55"/>
      <c r="K692" s="55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</row>
    <row r="693">
      <c r="A693" s="38"/>
      <c r="B693" s="38"/>
      <c r="C693" s="38"/>
      <c r="D693" s="38"/>
      <c r="E693" s="38"/>
      <c r="F693" s="55"/>
      <c r="G693" s="55"/>
      <c r="H693" s="55"/>
      <c r="I693" s="55"/>
      <c r="J693" s="55"/>
      <c r="K693" s="55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</row>
    <row r="694">
      <c r="A694" s="38"/>
      <c r="B694" s="38"/>
      <c r="C694" s="38"/>
      <c r="D694" s="38"/>
      <c r="E694" s="38"/>
      <c r="F694" s="55"/>
      <c r="G694" s="55"/>
      <c r="H694" s="55"/>
      <c r="I694" s="55"/>
      <c r="J694" s="55"/>
      <c r="K694" s="55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</row>
    <row r="695">
      <c r="A695" s="38"/>
      <c r="B695" s="38"/>
      <c r="C695" s="38"/>
      <c r="D695" s="38"/>
      <c r="E695" s="38"/>
      <c r="F695" s="55"/>
      <c r="G695" s="55"/>
      <c r="H695" s="55"/>
      <c r="I695" s="55"/>
      <c r="J695" s="55"/>
      <c r="K695" s="55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</row>
    <row r="696">
      <c r="A696" s="38"/>
      <c r="B696" s="38"/>
      <c r="C696" s="38"/>
      <c r="D696" s="38"/>
      <c r="E696" s="38"/>
      <c r="F696" s="55"/>
      <c r="G696" s="55"/>
      <c r="H696" s="55"/>
      <c r="I696" s="55"/>
      <c r="J696" s="55"/>
      <c r="K696" s="55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</row>
    <row r="697">
      <c r="A697" s="38"/>
      <c r="B697" s="38"/>
      <c r="C697" s="38"/>
      <c r="D697" s="38"/>
      <c r="E697" s="38"/>
      <c r="F697" s="55"/>
      <c r="G697" s="55"/>
      <c r="H697" s="55"/>
      <c r="I697" s="55"/>
      <c r="J697" s="55"/>
      <c r="K697" s="55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</row>
    <row r="698">
      <c r="A698" s="38"/>
      <c r="B698" s="38"/>
      <c r="C698" s="38"/>
      <c r="D698" s="38"/>
      <c r="E698" s="38"/>
      <c r="F698" s="55"/>
      <c r="G698" s="55"/>
      <c r="H698" s="55"/>
      <c r="I698" s="55"/>
      <c r="J698" s="55"/>
      <c r="K698" s="55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</row>
    <row r="699">
      <c r="A699" s="38"/>
      <c r="B699" s="38"/>
      <c r="C699" s="38"/>
      <c r="D699" s="38"/>
      <c r="E699" s="38"/>
      <c r="F699" s="55"/>
      <c r="G699" s="55"/>
      <c r="H699" s="55"/>
      <c r="I699" s="55"/>
      <c r="J699" s="55"/>
      <c r="K699" s="55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</row>
    <row r="700">
      <c r="A700" s="38"/>
      <c r="B700" s="38"/>
      <c r="C700" s="38"/>
      <c r="D700" s="38"/>
      <c r="E700" s="38"/>
      <c r="F700" s="55"/>
      <c r="G700" s="55"/>
      <c r="H700" s="55"/>
      <c r="I700" s="55"/>
      <c r="J700" s="55"/>
      <c r="K700" s="55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</row>
    <row r="701">
      <c r="A701" s="38"/>
      <c r="B701" s="38"/>
      <c r="C701" s="38"/>
      <c r="D701" s="38"/>
      <c r="E701" s="38"/>
      <c r="F701" s="55"/>
      <c r="G701" s="55"/>
      <c r="H701" s="55"/>
      <c r="I701" s="55"/>
      <c r="J701" s="55"/>
      <c r="K701" s="55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</row>
    <row r="702">
      <c r="A702" s="38"/>
      <c r="B702" s="38"/>
      <c r="C702" s="38"/>
      <c r="D702" s="38"/>
      <c r="E702" s="38"/>
      <c r="F702" s="55"/>
      <c r="G702" s="55"/>
      <c r="H702" s="55"/>
      <c r="I702" s="55"/>
      <c r="J702" s="55"/>
      <c r="K702" s="55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</row>
    <row r="703">
      <c r="A703" s="38"/>
      <c r="B703" s="38"/>
      <c r="C703" s="38"/>
      <c r="D703" s="38"/>
      <c r="E703" s="38"/>
      <c r="F703" s="55"/>
      <c r="G703" s="55"/>
      <c r="H703" s="55"/>
      <c r="I703" s="55"/>
      <c r="J703" s="55"/>
      <c r="K703" s="55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</row>
    <row r="704">
      <c r="A704" s="38"/>
      <c r="B704" s="38"/>
      <c r="C704" s="38"/>
      <c r="D704" s="38"/>
      <c r="E704" s="38"/>
      <c r="F704" s="55"/>
      <c r="G704" s="55"/>
      <c r="H704" s="55"/>
      <c r="I704" s="55"/>
      <c r="J704" s="55"/>
      <c r="K704" s="55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</row>
    <row r="705">
      <c r="A705" s="38"/>
      <c r="B705" s="38"/>
      <c r="C705" s="38"/>
      <c r="D705" s="38"/>
      <c r="E705" s="38"/>
      <c r="F705" s="55"/>
      <c r="G705" s="55"/>
      <c r="H705" s="55"/>
      <c r="I705" s="55"/>
      <c r="J705" s="55"/>
      <c r="K705" s="55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</row>
    <row r="706">
      <c r="A706" s="38"/>
      <c r="B706" s="38"/>
      <c r="C706" s="38"/>
      <c r="D706" s="38"/>
      <c r="E706" s="38"/>
      <c r="F706" s="55"/>
      <c r="G706" s="55"/>
      <c r="H706" s="55"/>
      <c r="I706" s="55"/>
      <c r="J706" s="55"/>
      <c r="K706" s="55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</row>
    <row r="707">
      <c r="A707" s="38"/>
      <c r="B707" s="38"/>
      <c r="C707" s="38"/>
      <c r="D707" s="38"/>
      <c r="E707" s="38"/>
      <c r="F707" s="55"/>
      <c r="G707" s="55"/>
      <c r="H707" s="55"/>
      <c r="I707" s="55"/>
      <c r="J707" s="55"/>
      <c r="K707" s="55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</row>
    <row r="708">
      <c r="A708" s="38"/>
      <c r="B708" s="38"/>
      <c r="C708" s="38"/>
      <c r="D708" s="38"/>
      <c r="E708" s="38"/>
      <c r="F708" s="55"/>
      <c r="G708" s="55"/>
      <c r="H708" s="55"/>
      <c r="I708" s="55"/>
      <c r="J708" s="55"/>
      <c r="K708" s="55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</row>
    <row r="709">
      <c r="A709" s="38"/>
      <c r="B709" s="38"/>
      <c r="C709" s="38"/>
      <c r="D709" s="38"/>
      <c r="E709" s="38"/>
      <c r="F709" s="55"/>
      <c r="G709" s="55"/>
      <c r="H709" s="55"/>
      <c r="I709" s="55"/>
      <c r="J709" s="55"/>
      <c r="K709" s="55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</row>
    <row r="710">
      <c r="A710" s="38"/>
      <c r="B710" s="38"/>
      <c r="C710" s="38"/>
      <c r="D710" s="38"/>
      <c r="E710" s="38"/>
      <c r="F710" s="55"/>
      <c r="G710" s="55"/>
      <c r="H710" s="55"/>
      <c r="I710" s="55"/>
      <c r="J710" s="55"/>
      <c r="K710" s="55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</row>
    <row r="711">
      <c r="A711" s="38"/>
      <c r="B711" s="38"/>
      <c r="C711" s="38"/>
      <c r="D711" s="38"/>
      <c r="E711" s="38"/>
      <c r="F711" s="55"/>
      <c r="G711" s="55"/>
      <c r="H711" s="55"/>
      <c r="I711" s="55"/>
      <c r="J711" s="55"/>
      <c r="K711" s="55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</row>
    <row r="712">
      <c r="A712" s="38"/>
      <c r="B712" s="38"/>
      <c r="C712" s="38"/>
      <c r="D712" s="38"/>
      <c r="E712" s="38"/>
      <c r="F712" s="55"/>
      <c r="G712" s="55"/>
      <c r="H712" s="55"/>
      <c r="I712" s="55"/>
      <c r="J712" s="55"/>
      <c r="K712" s="55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</row>
    <row r="713">
      <c r="A713" s="38"/>
      <c r="B713" s="38"/>
      <c r="C713" s="38"/>
      <c r="D713" s="38"/>
      <c r="E713" s="38"/>
      <c r="F713" s="55"/>
      <c r="G713" s="55"/>
      <c r="H713" s="55"/>
      <c r="I713" s="55"/>
      <c r="J713" s="55"/>
      <c r="K713" s="55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</row>
    <row r="714">
      <c r="A714" s="38"/>
      <c r="B714" s="38"/>
      <c r="C714" s="38"/>
      <c r="D714" s="38"/>
      <c r="E714" s="38"/>
      <c r="F714" s="55"/>
      <c r="G714" s="55"/>
      <c r="H714" s="55"/>
      <c r="I714" s="55"/>
      <c r="J714" s="55"/>
      <c r="K714" s="55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</row>
    <row r="715">
      <c r="A715" s="38"/>
      <c r="B715" s="38"/>
      <c r="C715" s="38"/>
      <c r="D715" s="38"/>
      <c r="E715" s="38"/>
      <c r="F715" s="55"/>
      <c r="G715" s="55"/>
      <c r="H715" s="55"/>
      <c r="I715" s="55"/>
      <c r="J715" s="55"/>
      <c r="K715" s="55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</row>
    <row r="716">
      <c r="A716" s="38"/>
      <c r="B716" s="38"/>
      <c r="C716" s="38"/>
      <c r="D716" s="38"/>
      <c r="E716" s="38"/>
      <c r="F716" s="55"/>
      <c r="G716" s="55"/>
      <c r="H716" s="55"/>
      <c r="I716" s="55"/>
      <c r="J716" s="55"/>
      <c r="K716" s="55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</row>
    <row r="717">
      <c r="A717" s="38"/>
      <c r="B717" s="38"/>
      <c r="C717" s="38"/>
      <c r="D717" s="38"/>
      <c r="E717" s="38"/>
      <c r="F717" s="55"/>
      <c r="G717" s="55"/>
      <c r="H717" s="55"/>
      <c r="I717" s="55"/>
      <c r="J717" s="55"/>
      <c r="K717" s="55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</row>
    <row r="718">
      <c r="A718" s="38"/>
      <c r="B718" s="38"/>
      <c r="C718" s="38"/>
      <c r="D718" s="38"/>
      <c r="E718" s="38"/>
      <c r="F718" s="55"/>
      <c r="G718" s="55"/>
      <c r="H718" s="55"/>
      <c r="I718" s="55"/>
      <c r="J718" s="55"/>
      <c r="K718" s="55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</row>
    <row r="719">
      <c r="A719" s="38"/>
      <c r="B719" s="38"/>
      <c r="C719" s="38"/>
      <c r="D719" s="38"/>
      <c r="E719" s="38"/>
      <c r="F719" s="55"/>
      <c r="G719" s="55"/>
      <c r="H719" s="55"/>
      <c r="I719" s="55"/>
      <c r="J719" s="55"/>
      <c r="K719" s="55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</row>
    <row r="720">
      <c r="A720" s="38"/>
      <c r="B720" s="38"/>
      <c r="C720" s="38"/>
      <c r="D720" s="38"/>
      <c r="E720" s="38"/>
      <c r="F720" s="55"/>
      <c r="G720" s="55"/>
      <c r="H720" s="55"/>
      <c r="I720" s="55"/>
      <c r="J720" s="55"/>
      <c r="K720" s="55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</row>
    <row r="721">
      <c r="A721" s="38"/>
      <c r="B721" s="38"/>
      <c r="C721" s="38"/>
      <c r="D721" s="38"/>
      <c r="E721" s="38"/>
      <c r="F721" s="55"/>
      <c r="G721" s="55"/>
      <c r="H721" s="55"/>
      <c r="I721" s="55"/>
      <c r="J721" s="55"/>
      <c r="K721" s="55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</row>
    <row r="722">
      <c r="A722" s="38"/>
      <c r="B722" s="38"/>
      <c r="C722" s="38"/>
      <c r="D722" s="38"/>
      <c r="E722" s="38"/>
      <c r="F722" s="55"/>
      <c r="G722" s="55"/>
      <c r="H722" s="55"/>
      <c r="I722" s="55"/>
      <c r="J722" s="55"/>
      <c r="K722" s="55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</row>
    <row r="723">
      <c r="A723" s="38"/>
      <c r="B723" s="38"/>
      <c r="C723" s="38"/>
      <c r="D723" s="38"/>
      <c r="E723" s="38"/>
      <c r="F723" s="55"/>
      <c r="G723" s="55"/>
      <c r="H723" s="55"/>
      <c r="I723" s="55"/>
      <c r="J723" s="55"/>
      <c r="K723" s="55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</row>
    <row r="724">
      <c r="A724" s="38"/>
      <c r="B724" s="38"/>
      <c r="C724" s="38"/>
      <c r="D724" s="38"/>
      <c r="E724" s="38"/>
      <c r="F724" s="55"/>
      <c r="G724" s="55"/>
      <c r="H724" s="55"/>
      <c r="I724" s="55"/>
      <c r="J724" s="55"/>
      <c r="K724" s="55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</row>
    <row r="725">
      <c r="A725" s="38"/>
      <c r="B725" s="38"/>
      <c r="C725" s="38"/>
      <c r="D725" s="38"/>
      <c r="E725" s="38"/>
      <c r="F725" s="55"/>
      <c r="G725" s="55"/>
      <c r="H725" s="55"/>
      <c r="I725" s="55"/>
      <c r="J725" s="55"/>
      <c r="K725" s="55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</row>
    <row r="726">
      <c r="A726" s="38"/>
      <c r="B726" s="38"/>
      <c r="C726" s="38"/>
      <c r="D726" s="38"/>
      <c r="E726" s="38"/>
      <c r="F726" s="55"/>
      <c r="G726" s="55"/>
      <c r="H726" s="55"/>
      <c r="I726" s="55"/>
      <c r="J726" s="55"/>
      <c r="K726" s="55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</row>
    <row r="727">
      <c r="A727" s="38"/>
      <c r="B727" s="38"/>
      <c r="C727" s="38"/>
      <c r="D727" s="38"/>
      <c r="E727" s="38"/>
      <c r="F727" s="55"/>
      <c r="G727" s="55"/>
      <c r="H727" s="55"/>
      <c r="I727" s="55"/>
      <c r="J727" s="55"/>
      <c r="K727" s="55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</row>
    <row r="728">
      <c r="A728" s="38"/>
      <c r="B728" s="38"/>
      <c r="C728" s="38"/>
      <c r="D728" s="38"/>
      <c r="E728" s="38"/>
      <c r="F728" s="55"/>
      <c r="G728" s="55"/>
      <c r="H728" s="55"/>
      <c r="I728" s="55"/>
      <c r="J728" s="55"/>
      <c r="K728" s="55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</row>
    <row r="729">
      <c r="A729" s="38"/>
      <c r="B729" s="38"/>
      <c r="C729" s="38"/>
      <c r="D729" s="38"/>
      <c r="E729" s="38"/>
      <c r="F729" s="55"/>
      <c r="G729" s="55"/>
      <c r="H729" s="55"/>
      <c r="I729" s="55"/>
      <c r="J729" s="55"/>
      <c r="K729" s="55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</row>
    <row r="730">
      <c r="A730" s="38"/>
      <c r="B730" s="38"/>
      <c r="C730" s="38"/>
      <c r="D730" s="38"/>
      <c r="E730" s="38"/>
      <c r="F730" s="55"/>
      <c r="G730" s="55"/>
      <c r="H730" s="55"/>
      <c r="I730" s="55"/>
      <c r="J730" s="55"/>
      <c r="K730" s="55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</row>
    <row r="731">
      <c r="A731" s="38"/>
      <c r="B731" s="38"/>
      <c r="C731" s="38"/>
      <c r="D731" s="38"/>
      <c r="E731" s="38"/>
      <c r="F731" s="55"/>
      <c r="G731" s="55"/>
      <c r="H731" s="55"/>
      <c r="I731" s="55"/>
      <c r="J731" s="55"/>
      <c r="K731" s="55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</row>
    <row r="732">
      <c r="A732" s="38"/>
      <c r="B732" s="38"/>
      <c r="C732" s="38"/>
      <c r="D732" s="38"/>
      <c r="E732" s="38"/>
      <c r="F732" s="55"/>
      <c r="G732" s="55"/>
      <c r="H732" s="55"/>
      <c r="I732" s="55"/>
      <c r="J732" s="55"/>
      <c r="K732" s="55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</row>
    <row r="733">
      <c r="A733" s="38"/>
      <c r="B733" s="38"/>
      <c r="C733" s="38"/>
      <c r="D733" s="38"/>
      <c r="E733" s="38"/>
      <c r="F733" s="55"/>
      <c r="G733" s="55"/>
      <c r="H733" s="55"/>
      <c r="I733" s="55"/>
      <c r="J733" s="55"/>
      <c r="K733" s="55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</row>
    <row r="734">
      <c r="A734" s="38"/>
      <c r="B734" s="38"/>
      <c r="C734" s="38"/>
      <c r="D734" s="38"/>
      <c r="E734" s="38"/>
      <c r="F734" s="55"/>
      <c r="G734" s="55"/>
      <c r="H734" s="55"/>
      <c r="I734" s="55"/>
      <c r="J734" s="55"/>
      <c r="K734" s="55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</row>
    <row r="735">
      <c r="A735" s="38"/>
      <c r="B735" s="38"/>
      <c r="C735" s="38"/>
      <c r="D735" s="38"/>
      <c r="E735" s="38"/>
      <c r="F735" s="55"/>
      <c r="G735" s="55"/>
      <c r="H735" s="55"/>
      <c r="I735" s="55"/>
      <c r="J735" s="55"/>
      <c r="K735" s="55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</row>
    <row r="736">
      <c r="A736" s="38"/>
      <c r="B736" s="38"/>
      <c r="C736" s="38"/>
      <c r="D736" s="38"/>
      <c r="E736" s="38"/>
      <c r="F736" s="55"/>
      <c r="G736" s="55"/>
      <c r="H736" s="55"/>
      <c r="I736" s="55"/>
      <c r="J736" s="55"/>
      <c r="K736" s="55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</row>
    <row r="737">
      <c r="A737" s="38"/>
      <c r="B737" s="38"/>
      <c r="C737" s="38"/>
      <c r="D737" s="38"/>
      <c r="E737" s="38"/>
      <c r="F737" s="55"/>
      <c r="G737" s="55"/>
      <c r="H737" s="55"/>
      <c r="I737" s="55"/>
      <c r="J737" s="55"/>
      <c r="K737" s="55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</row>
    <row r="738">
      <c r="A738" s="38"/>
      <c r="B738" s="38"/>
      <c r="C738" s="38"/>
      <c r="D738" s="38"/>
      <c r="E738" s="38"/>
      <c r="F738" s="55"/>
      <c r="G738" s="55"/>
      <c r="H738" s="55"/>
      <c r="I738" s="55"/>
      <c r="J738" s="55"/>
      <c r="K738" s="55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</row>
    <row r="739">
      <c r="A739" s="38"/>
      <c r="B739" s="38"/>
      <c r="C739" s="38"/>
      <c r="D739" s="38"/>
      <c r="E739" s="38"/>
      <c r="F739" s="55"/>
      <c r="G739" s="55"/>
      <c r="H739" s="55"/>
      <c r="I739" s="55"/>
      <c r="J739" s="55"/>
      <c r="K739" s="55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</row>
    <row r="740">
      <c r="A740" s="38"/>
      <c r="B740" s="38"/>
      <c r="C740" s="38"/>
      <c r="D740" s="38"/>
      <c r="E740" s="38"/>
      <c r="F740" s="55"/>
      <c r="G740" s="55"/>
      <c r="H740" s="55"/>
      <c r="I740" s="55"/>
      <c r="J740" s="55"/>
      <c r="K740" s="55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</row>
    <row r="741">
      <c r="A741" s="38"/>
      <c r="B741" s="38"/>
      <c r="C741" s="38"/>
      <c r="D741" s="38"/>
      <c r="E741" s="38"/>
      <c r="F741" s="55"/>
      <c r="G741" s="55"/>
      <c r="H741" s="55"/>
      <c r="I741" s="55"/>
      <c r="J741" s="55"/>
      <c r="K741" s="55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</row>
    <row r="742">
      <c r="A742" s="38"/>
      <c r="B742" s="38"/>
      <c r="C742" s="38"/>
      <c r="D742" s="38"/>
      <c r="E742" s="38"/>
      <c r="F742" s="55"/>
      <c r="G742" s="55"/>
      <c r="H742" s="55"/>
      <c r="I742" s="55"/>
      <c r="J742" s="55"/>
      <c r="K742" s="55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</row>
    <row r="743">
      <c r="A743" s="38"/>
      <c r="B743" s="38"/>
      <c r="C743" s="38"/>
      <c r="D743" s="38"/>
      <c r="E743" s="38"/>
      <c r="F743" s="55"/>
      <c r="G743" s="55"/>
      <c r="H743" s="55"/>
      <c r="I743" s="55"/>
      <c r="J743" s="55"/>
      <c r="K743" s="55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</row>
    <row r="744">
      <c r="A744" s="38"/>
      <c r="B744" s="38"/>
      <c r="C744" s="38"/>
      <c r="D744" s="38"/>
      <c r="E744" s="38"/>
      <c r="F744" s="55"/>
      <c r="G744" s="55"/>
      <c r="H744" s="55"/>
      <c r="I744" s="55"/>
      <c r="J744" s="55"/>
      <c r="K744" s="55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</row>
    <row r="745">
      <c r="A745" s="38"/>
      <c r="B745" s="38"/>
      <c r="C745" s="38"/>
      <c r="D745" s="38"/>
      <c r="E745" s="38"/>
      <c r="F745" s="55"/>
      <c r="G745" s="55"/>
      <c r="H745" s="55"/>
      <c r="I745" s="55"/>
      <c r="J745" s="55"/>
      <c r="K745" s="55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</row>
    <row r="746">
      <c r="A746" s="38"/>
      <c r="B746" s="38"/>
      <c r="C746" s="38"/>
      <c r="D746" s="38"/>
      <c r="E746" s="38"/>
      <c r="F746" s="55"/>
      <c r="G746" s="55"/>
      <c r="H746" s="55"/>
      <c r="I746" s="55"/>
      <c r="J746" s="55"/>
      <c r="K746" s="55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</row>
    <row r="747">
      <c r="A747" s="38"/>
      <c r="B747" s="38"/>
      <c r="C747" s="38"/>
      <c r="D747" s="38"/>
      <c r="E747" s="38"/>
      <c r="F747" s="55"/>
      <c r="G747" s="55"/>
      <c r="H747" s="55"/>
      <c r="I747" s="55"/>
      <c r="J747" s="55"/>
      <c r="K747" s="55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</row>
    <row r="748">
      <c r="A748" s="38"/>
      <c r="B748" s="38"/>
      <c r="C748" s="38"/>
      <c r="D748" s="38"/>
      <c r="E748" s="38"/>
      <c r="F748" s="55"/>
      <c r="G748" s="55"/>
      <c r="H748" s="55"/>
      <c r="I748" s="55"/>
      <c r="J748" s="55"/>
      <c r="K748" s="55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</row>
    <row r="749">
      <c r="A749" s="38"/>
      <c r="B749" s="38"/>
      <c r="C749" s="38"/>
      <c r="D749" s="38"/>
      <c r="E749" s="38"/>
      <c r="F749" s="55"/>
      <c r="G749" s="55"/>
      <c r="H749" s="55"/>
      <c r="I749" s="55"/>
      <c r="J749" s="55"/>
      <c r="K749" s="55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</row>
    <row r="750">
      <c r="A750" s="38"/>
      <c r="B750" s="38"/>
      <c r="C750" s="38"/>
      <c r="D750" s="38"/>
      <c r="E750" s="38"/>
      <c r="F750" s="55"/>
      <c r="G750" s="55"/>
      <c r="H750" s="55"/>
      <c r="I750" s="55"/>
      <c r="J750" s="55"/>
      <c r="K750" s="55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</row>
    <row r="751">
      <c r="A751" s="38"/>
      <c r="B751" s="38"/>
      <c r="C751" s="38"/>
      <c r="D751" s="38"/>
      <c r="E751" s="38"/>
      <c r="F751" s="55"/>
      <c r="G751" s="55"/>
      <c r="H751" s="55"/>
      <c r="I751" s="55"/>
      <c r="J751" s="55"/>
      <c r="K751" s="55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</row>
    <row r="752">
      <c r="A752" s="38"/>
      <c r="B752" s="38"/>
      <c r="C752" s="38"/>
      <c r="D752" s="38"/>
      <c r="E752" s="38"/>
      <c r="F752" s="55"/>
      <c r="G752" s="55"/>
      <c r="H752" s="55"/>
      <c r="I752" s="55"/>
      <c r="J752" s="55"/>
      <c r="K752" s="55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</row>
    <row r="753">
      <c r="A753" s="38"/>
      <c r="B753" s="38"/>
      <c r="C753" s="38"/>
      <c r="D753" s="38"/>
      <c r="E753" s="38"/>
      <c r="F753" s="55"/>
      <c r="G753" s="55"/>
      <c r="H753" s="55"/>
      <c r="I753" s="55"/>
      <c r="J753" s="55"/>
      <c r="K753" s="55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</row>
    <row r="754">
      <c r="A754" s="38"/>
      <c r="B754" s="38"/>
      <c r="C754" s="38"/>
      <c r="D754" s="38"/>
      <c r="E754" s="38"/>
      <c r="F754" s="55"/>
      <c r="G754" s="55"/>
      <c r="H754" s="55"/>
      <c r="I754" s="55"/>
      <c r="J754" s="55"/>
      <c r="K754" s="55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</row>
    <row r="755">
      <c r="A755" s="38"/>
      <c r="B755" s="38"/>
      <c r="C755" s="38"/>
      <c r="D755" s="38"/>
      <c r="E755" s="38"/>
      <c r="F755" s="55"/>
      <c r="G755" s="55"/>
      <c r="H755" s="55"/>
      <c r="I755" s="55"/>
      <c r="J755" s="55"/>
      <c r="K755" s="55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</row>
    <row r="756">
      <c r="A756" s="38"/>
      <c r="B756" s="38"/>
      <c r="C756" s="38"/>
      <c r="D756" s="38"/>
      <c r="E756" s="38"/>
      <c r="F756" s="55"/>
      <c r="G756" s="55"/>
      <c r="H756" s="55"/>
      <c r="I756" s="55"/>
      <c r="J756" s="55"/>
      <c r="K756" s="55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</row>
    <row r="757">
      <c r="A757" s="38"/>
      <c r="B757" s="38"/>
      <c r="C757" s="38"/>
      <c r="D757" s="38"/>
      <c r="E757" s="38"/>
      <c r="F757" s="55"/>
      <c r="G757" s="55"/>
      <c r="H757" s="55"/>
      <c r="I757" s="55"/>
      <c r="J757" s="55"/>
      <c r="K757" s="55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</row>
    <row r="758">
      <c r="A758" s="38"/>
      <c r="B758" s="38"/>
      <c r="C758" s="38"/>
      <c r="D758" s="38"/>
      <c r="E758" s="38"/>
      <c r="F758" s="55"/>
      <c r="G758" s="55"/>
      <c r="H758" s="55"/>
      <c r="I758" s="55"/>
      <c r="J758" s="55"/>
      <c r="K758" s="55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</row>
    <row r="759">
      <c r="A759" s="38"/>
      <c r="B759" s="38"/>
      <c r="C759" s="38"/>
      <c r="D759" s="38"/>
      <c r="E759" s="38"/>
      <c r="F759" s="55"/>
      <c r="G759" s="55"/>
      <c r="H759" s="55"/>
      <c r="I759" s="55"/>
      <c r="J759" s="55"/>
      <c r="K759" s="55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</row>
    <row r="760">
      <c r="A760" s="38"/>
      <c r="B760" s="38"/>
      <c r="C760" s="38"/>
      <c r="D760" s="38"/>
      <c r="E760" s="38"/>
      <c r="F760" s="55"/>
      <c r="G760" s="55"/>
      <c r="H760" s="55"/>
      <c r="I760" s="55"/>
      <c r="J760" s="55"/>
      <c r="K760" s="55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</row>
    <row r="761">
      <c r="A761" s="38"/>
      <c r="B761" s="38"/>
      <c r="C761" s="38"/>
      <c r="D761" s="38"/>
      <c r="E761" s="38"/>
      <c r="F761" s="55"/>
      <c r="G761" s="55"/>
      <c r="H761" s="55"/>
      <c r="I761" s="55"/>
      <c r="J761" s="55"/>
      <c r="K761" s="55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</row>
    <row r="762">
      <c r="A762" s="38"/>
      <c r="B762" s="38"/>
      <c r="C762" s="38"/>
      <c r="D762" s="38"/>
      <c r="E762" s="38"/>
      <c r="F762" s="55"/>
      <c r="G762" s="55"/>
      <c r="H762" s="55"/>
      <c r="I762" s="55"/>
      <c r="J762" s="55"/>
      <c r="K762" s="55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</row>
    <row r="763">
      <c r="A763" s="38"/>
      <c r="B763" s="38"/>
      <c r="C763" s="38"/>
      <c r="D763" s="38"/>
      <c r="E763" s="38"/>
      <c r="F763" s="55"/>
      <c r="G763" s="55"/>
      <c r="H763" s="55"/>
      <c r="I763" s="55"/>
      <c r="J763" s="55"/>
      <c r="K763" s="55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</row>
    <row r="764">
      <c r="A764" s="38"/>
      <c r="B764" s="38"/>
      <c r="C764" s="38"/>
      <c r="D764" s="38"/>
      <c r="E764" s="38"/>
      <c r="F764" s="55"/>
      <c r="G764" s="55"/>
      <c r="H764" s="55"/>
      <c r="I764" s="55"/>
      <c r="J764" s="55"/>
      <c r="K764" s="55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</row>
    <row r="765">
      <c r="A765" s="38"/>
      <c r="B765" s="38"/>
      <c r="C765" s="38"/>
      <c r="D765" s="38"/>
      <c r="E765" s="38"/>
      <c r="F765" s="55"/>
      <c r="G765" s="55"/>
      <c r="H765" s="55"/>
      <c r="I765" s="55"/>
      <c r="J765" s="55"/>
      <c r="K765" s="55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</row>
    <row r="766">
      <c r="A766" s="38"/>
      <c r="B766" s="38"/>
      <c r="C766" s="38"/>
      <c r="D766" s="38"/>
      <c r="E766" s="38"/>
      <c r="F766" s="55"/>
      <c r="G766" s="55"/>
      <c r="H766" s="55"/>
      <c r="I766" s="55"/>
      <c r="J766" s="55"/>
      <c r="K766" s="55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</row>
    <row r="767">
      <c r="A767" s="38"/>
      <c r="B767" s="38"/>
      <c r="C767" s="38"/>
      <c r="D767" s="38"/>
      <c r="E767" s="38"/>
      <c r="F767" s="55"/>
      <c r="G767" s="55"/>
      <c r="H767" s="55"/>
      <c r="I767" s="55"/>
      <c r="J767" s="55"/>
      <c r="K767" s="55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</row>
    <row r="768">
      <c r="A768" s="38"/>
      <c r="B768" s="38"/>
      <c r="C768" s="38"/>
      <c r="D768" s="38"/>
      <c r="E768" s="38"/>
      <c r="F768" s="55"/>
      <c r="G768" s="55"/>
      <c r="H768" s="55"/>
      <c r="I768" s="55"/>
      <c r="J768" s="55"/>
      <c r="K768" s="55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</row>
    <row r="769">
      <c r="A769" s="38"/>
      <c r="B769" s="38"/>
      <c r="C769" s="38"/>
      <c r="D769" s="38"/>
      <c r="E769" s="38"/>
      <c r="F769" s="55"/>
      <c r="G769" s="55"/>
      <c r="H769" s="55"/>
      <c r="I769" s="55"/>
      <c r="J769" s="55"/>
      <c r="K769" s="55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</row>
    <row r="770">
      <c r="A770" s="38"/>
      <c r="B770" s="38"/>
      <c r="C770" s="38"/>
      <c r="D770" s="38"/>
      <c r="E770" s="38"/>
      <c r="F770" s="55"/>
      <c r="G770" s="55"/>
      <c r="H770" s="55"/>
      <c r="I770" s="55"/>
      <c r="J770" s="55"/>
      <c r="K770" s="55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</row>
    <row r="771">
      <c r="A771" s="38"/>
      <c r="B771" s="38"/>
      <c r="C771" s="38"/>
      <c r="D771" s="38"/>
      <c r="E771" s="38"/>
      <c r="F771" s="55"/>
      <c r="G771" s="55"/>
      <c r="H771" s="55"/>
      <c r="I771" s="55"/>
      <c r="J771" s="55"/>
      <c r="K771" s="55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</row>
    <row r="772">
      <c r="A772" s="38"/>
      <c r="B772" s="38"/>
      <c r="C772" s="38"/>
      <c r="D772" s="38"/>
      <c r="E772" s="38"/>
      <c r="F772" s="55"/>
      <c r="G772" s="55"/>
      <c r="H772" s="55"/>
      <c r="I772" s="55"/>
      <c r="J772" s="55"/>
      <c r="K772" s="55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</row>
    <row r="773">
      <c r="A773" s="38"/>
      <c r="B773" s="38"/>
      <c r="C773" s="38"/>
      <c r="D773" s="38"/>
      <c r="E773" s="38"/>
      <c r="F773" s="55"/>
      <c r="G773" s="55"/>
      <c r="H773" s="55"/>
      <c r="I773" s="55"/>
      <c r="J773" s="55"/>
      <c r="K773" s="55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</row>
    <row r="774">
      <c r="A774" s="38"/>
      <c r="B774" s="38"/>
      <c r="C774" s="38"/>
      <c r="D774" s="38"/>
      <c r="E774" s="38"/>
      <c r="F774" s="55"/>
      <c r="G774" s="55"/>
      <c r="H774" s="55"/>
      <c r="I774" s="55"/>
      <c r="J774" s="55"/>
      <c r="K774" s="55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</row>
    <row r="775">
      <c r="A775" s="38"/>
      <c r="B775" s="38"/>
      <c r="C775" s="38"/>
      <c r="D775" s="38"/>
      <c r="E775" s="38"/>
      <c r="F775" s="55"/>
      <c r="G775" s="55"/>
      <c r="H775" s="55"/>
      <c r="I775" s="55"/>
      <c r="J775" s="55"/>
      <c r="K775" s="55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</row>
    <row r="776">
      <c r="A776" s="38"/>
      <c r="B776" s="38"/>
      <c r="C776" s="38"/>
      <c r="D776" s="38"/>
      <c r="E776" s="38"/>
      <c r="F776" s="55"/>
      <c r="G776" s="55"/>
      <c r="H776" s="55"/>
      <c r="I776" s="55"/>
      <c r="J776" s="55"/>
      <c r="K776" s="55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</row>
    <row r="777">
      <c r="A777" s="38"/>
      <c r="B777" s="38"/>
      <c r="C777" s="38"/>
      <c r="D777" s="38"/>
      <c r="E777" s="38"/>
      <c r="F777" s="55"/>
      <c r="G777" s="55"/>
      <c r="H777" s="55"/>
      <c r="I777" s="55"/>
      <c r="J777" s="55"/>
      <c r="K777" s="55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</row>
    <row r="778">
      <c r="A778" s="38"/>
      <c r="B778" s="38"/>
      <c r="C778" s="38"/>
      <c r="D778" s="38"/>
      <c r="E778" s="38"/>
      <c r="F778" s="55"/>
      <c r="G778" s="55"/>
      <c r="H778" s="55"/>
      <c r="I778" s="55"/>
      <c r="J778" s="55"/>
      <c r="K778" s="55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</row>
    <row r="779">
      <c r="A779" s="38"/>
      <c r="B779" s="38"/>
      <c r="C779" s="38"/>
      <c r="D779" s="38"/>
      <c r="E779" s="38"/>
      <c r="F779" s="55"/>
      <c r="G779" s="55"/>
      <c r="H779" s="55"/>
      <c r="I779" s="55"/>
      <c r="J779" s="55"/>
      <c r="K779" s="55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</row>
    <row r="780">
      <c r="A780" s="38"/>
      <c r="B780" s="38"/>
      <c r="C780" s="38"/>
      <c r="D780" s="38"/>
      <c r="E780" s="38"/>
      <c r="F780" s="55"/>
      <c r="G780" s="55"/>
      <c r="H780" s="55"/>
      <c r="I780" s="55"/>
      <c r="J780" s="55"/>
      <c r="K780" s="55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</row>
    <row r="781">
      <c r="A781" s="38"/>
      <c r="B781" s="38"/>
      <c r="C781" s="38"/>
      <c r="D781" s="38"/>
      <c r="E781" s="38"/>
      <c r="F781" s="55"/>
      <c r="G781" s="55"/>
      <c r="H781" s="55"/>
      <c r="I781" s="55"/>
      <c r="J781" s="55"/>
      <c r="K781" s="55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</row>
    <row r="782">
      <c r="A782" s="38"/>
      <c r="B782" s="38"/>
      <c r="C782" s="38"/>
      <c r="D782" s="38"/>
      <c r="E782" s="38"/>
      <c r="F782" s="55"/>
      <c r="G782" s="55"/>
      <c r="H782" s="55"/>
      <c r="I782" s="55"/>
      <c r="J782" s="55"/>
      <c r="K782" s="55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</row>
    <row r="783">
      <c r="A783" s="38"/>
      <c r="B783" s="38"/>
      <c r="C783" s="38"/>
      <c r="D783" s="38"/>
      <c r="E783" s="38"/>
      <c r="F783" s="55"/>
      <c r="G783" s="55"/>
      <c r="H783" s="55"/>
      <c r="I783" s="55"/>
      <c r="J783" s="55"/>
      <c r="K783" s="55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</row>
    <row r="784">
      <c r="A784" s="38"/>
      <c r="B784" s="38"/>
      <c r="C784" s="38"/>
      <c r="D784" s="38"/>
      <c r="E784" s="38"/>
      <c r="F784" s="55"/>
      <c r="G784" s="55"/>
      <c r="H784" s="55"/>
      <c r="I784" s="55"/>
      <c r="J784" s="55"/>
      <c r="K784" s="55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</row>
    <row r="785">
      <c r="A785" s="38"/>
      <c r="B785" s="38"/>
      <c r="C785" s="38"/>
      <c r="D785" s="38"/>
      <c r="E785" s="38"/>
      <c r="F785" s="55"/>
      <c r="G785" s="55"/>
      <c r="H785" s="55"/>
      <c r="I785" s="55"/>
      <c r="J785" s="55"/>
      <c r="K785" s="55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</row>
    <row r="786">
      <c r="A786" s="38"/>
      <c r="B786" s="38"/>
      <c r="C786" s="38"/>
      <c r="D786" s="38"/>
      <c r="E786" s="38"/>
      <c r="F786" s="55"/>
      <c r="G786" s="55"/>
      <c r="H786" s="55"/>
      <c r="I786" s="55"/>
      <c r="J786" s="55"/>
      <c r="K786" s="55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</row>
    <row r="787">
      <c r="A787" s="38"/>
      <c r="B787" s="38"/>
      <c r="C787" s="38"/>
      <c r="D787" s="38"/>
      <c r="E787" s="38"/>
      <c r="F787" s="55"/>
      <c r="G787" s="55"/>
      <c r="H787" s="55"/>
      <c r="I787" s="55"/>
      <c r="J787" s="55"/>
      <c r="K787" s="55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</row>
    <row r="788">
      <c r="A788" s="38"/>
      <c r="B788" s="38"/>
      <c r="C788" s="38"/>
      <c r="D788" s="38"/>
      <c r="E788" s="38"/>
      <c r="F788" s="55"/>
      <c r="G788" s="55"/>
      <c r="H788" s="55"/>
      <c r="I788" s="55"/>
      <c r="J788" s="55"/>
      <c r="K788" s="55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</row>
    <row r="789">
      <c r="A789" s="38"/>
      <c r="B789" s="38"/>
      <c r="C789" s="38"/>
      <c r="D789" s="38"/>
      <c r="E789" s="38"/>
      <c r="F789" s="55"/>
      <c r="G789" s="55"/>
      <c r="H789" s="55"/>
      <c r="I789" s="55"/>
      <c r="J789" s="55"/>
      <c r="K789" s="55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</row>
    <row r="790">
      <c r="A790" s="38"/>
      <c r="B790" s="38"/>
      <c r="C790" s="38"/>
      <c r="D790" s="38"/>
      <c r="E790" s="38"/>
      <c r="F790" s="55"/>
      <c r="G790" s="55"/>
      <c r="H790" s="55"/>
      <c r="I790" s="55"/>
      <c r="J790" s="55"/>
      <c r="K790" s="55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</row>
    <row r="791">
      <c r="A791" s="38"/>
      <c r="B791" s="38"/>
      <c r="C791" s="38"/>
      <c r="D791" s="38"/>
      <c r="E791" s="38"/>
      <c r="F791" s="55"/>
      <c r="G791" s="55"/>
      <c r="H791" s="55"/>
      <c r="I791" s="55"/>
      <c r="J791" s="55"/>
      <c r="K791" s="55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</row>
    <row r="792">
      <c r="A792" s="38"/>
      <c r="B792" s="38"/>
      <c r="C792" s="38"/>
      <c r="D792" s="38"/>
      <c r="E792" s="38"/>
      <c r="F792" s="55"/>
      <c r="G792" s="55"/>
      <c r="H792" s="55"/>
      <c r="I792" s="55"/>
      <c r="J792" s="55"/>
      <c r="K792" s="55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</row>
    <row r="793">
      <c r="A793" s="38"/>
      <c r="B793" s="38"/>
      <c r="C793" s="38"/>
      <c r="D793" s="38"/>
      <c r="E793" s="38"/>
      <c r="F793" s="55"/>
      <c r="G793" s="55"/>
      <c r="H793" s="55"/>
      <c r="I793" s="55"/>
      <c r="J793" s="55"/>
      <c r="K793" s="55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</row>
    <row r="794">
      <c r="A794" s="38"/>
      <c r="B794" s="38"/>
      <c r="C794" s="38"/>
      <c r="D794" s="38"/>
      <c r="E794" s="38"/>
      <c r="F794" s="55"/>
      <c r="G794" s="55"/>
      <c r="H794" s="55"/>
      <c r="I794" s="55"/>
      <c r="J794" s="55"/>
      <c r="K794" s="55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</row>
    <row r="795">
      <c r="A795" s="38"/>
      <c r="B795" s="38"/>
      <c r="C795" s="38"/>
      <c r="D795" s="38"/>
      <c r="E795" s="38"/>
      <c r="F795" s="55"/>
      <c r="G795" s="55"/>
      <c r="H795" s="55"/>
      <c r="I795" s="55"/>
      <c r="J795" s="55"/>
      <c r="K795" s="55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</row>
    <row r="796">
      <c r="A796" s="38"/>
      <c r="B796" s="38"/>
      <c r="C796" s="38"/>
      <c r="D796" s="38"/>
      <c r="E796" s="38"/>
      <c r="F796" s="55"/>
      <c r="G796" s="55"/>
      <c r="H796" s="55"/>
      <c r="I796" s="55"/>
      <c r="J796" s="55"/>
      <c r="K796" s="55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</row>
    <row r="797">
      <c r="A797" s="38"/>
      <c r="B797" s="38"/>
      <c r="C797" s="38"/>
      <c r="D797" s="38"/>
      <c r="E797" s="38"/>
      <c r="F797" s="55"/>
      <c r="G797" s="55"/>
      <c r="H797" s="55"/>
      <c r="I797" s="55"/>
      <c r="J797" s="55"/>
      <c r="K797" s="55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</row>
    <row r="798">
      <c r="A798" s="38"/>
      <c r="B798" s="38"/>
      <c r="C798" s="38"/>
      <c r="D798" s="38"/>
      <c r="E798" s="38"/>
      <c r="F798" s="55"/>
      <c r="G798" s="55"/>
      <c r="H798" s="55"/>
      <c r="I798" s="55"/>
      <c r="J798" s="55"/>
      <c r="K798" s="55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</row>
    <row r="799">
      <c r="A799" s="38"/>
      <c r="B799" s="38"/>
      <c r="C799" s="38"/>
      <c r="D799" s="38"/>
      <c r="E799" s="38"/>
      <c r="F799" s="55"/>
      <c r="G799" s="55"/>
      <c r="H799" s="55"/>
      <c r="I799" s="55"/>
      <c r="J799" s="55"/>
      <c r="K799" s="55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</row>
    <row r="800">
      <c r="A800" s="38"/>
      <c r="B800" s="38"/>
      <c r="C800" s="38"/>
      <c r="D800" s="38"/>
      <c r="E800" s="38"/>
      <c r="F800" s="55"/>
      <c r="G800" s="55"/>
      <c r="H800" s="55"/>
      <c r="I800" s="55"/>
      <c r="J800" s="55"/>
      <c r="K800" s="55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</row>
    <row r="801">
      <c r="A801" s="38"/>
      <c r="B801" s="38"/>
      <c r="C801" s="38"/>
      <c r="D801" s="38"/>
      <c r="E801" s="38"/>
      <c r="F801" s="55"/>
      <c r="G801" s="55"/>
      <c r="H801" s="55"/>
      <c r="I801" s="55"/>
      <c r="J801" s="55"/>
      <c r="K801" s="55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</row>
    <row r="802">
      <c r="A802" s="38"/>
      <c r="B802" s="38"/>
      <c r="C802" s="38"/>
      <c r="D802" s="38"/>
      <c r="E802" s="38"/>
      <c r="F802" s="55"/>
      <c r="G802" s="55"/>
      <c r="H802" s="55"/>
      <c r="I802" s="55"/>
      <c r="J802" s="55"/>
      <c r="K802" s="55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</row>
    <row r="803">
      <c r="A803" s="38"/>
      <c r="B803" s="38"/>
      <c r="C803" s="38"/>
      <c r="D803" s="38"/>
      <c r="E803" s="38"/>
      <c r="F803" s="55"/>
      <c r="G803" s="55"/>
      <c r="H803" s="55"/>
      <c r="I803" s="55"/>
      <c r="J803" s="55"/>
      <c r="K803" s="55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</row>
    <row r="804">
      <c r="A804" s="38"/>
      <c r="B804" s="38"/>
      <c r="C804" s="38"/>
      <c r="D804" s="38"/>
      <c r="E804" s="38"/>
      <c r="F804" s="55"/>
      <c r="G804" s="55"/>
      <c r="H804" s="55"/>
      <c r="I804" s="55"/>
      <c r="J804" s="55"/>
      <c r="K804" s="55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</row>
    <row r="805">
      <c r="A805" s="38"/>
      <c r="B805" s="38"/>
      <c r="C805" s="38"/>
      <c r="D805" s="38"/>
      <c r="E805" s="38"/>
      <c r="F805" s="55"/>
      <c r="G805" s="55"/>
      <c r="H805" s="55"/>
      <c r="I805" s="55"/>
      <c r="J805" s="55"/>
      <c r="K805" s="55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</row>
    <row r="806">
      <c r="A806" s="38"/>
      <c r="B806" s="38"/>
      <c r="C806" s="38"/>
      <c r="D806" s="38"/>
      <c r="E806" s="38"/>
      <c r="F806" s="55"/>
      <c r="G806" s="55"/>
      <c r="H806" s="55"/>
      <c r="I806" s="55"/>
      <c r="J806" s="55"/>
      <c r="K806" s="55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</row>
    <row r="807">
      <c r="A807" s="38"/>
      <c r="B807" s="38"/>
      <c r="C807" s="38"/>
      <c r="D807" s="38"/>
      <c r="E807" s="38"/>
      <c r="F807" s="55"/>
      <c r="G807" s="55"/>
      <c r="H807" s="55"/>
      <c r="I807" s="55"/>
      <c r="J807" s="55"/>
      <c r="K807" s="55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</row>
    <row r="808">
      <c r="A808" s="38"/>
      <c r="B808" s="38"/>
      <c r="C808" s="38"/>
      <c r="D808" s="38"/>
      <c r="E808" s="38"/>
      <c r="F808" s="55"/>
      <c r="G808" s="55"/>
      <c r="H808" s="55"/>
      <c r="I808" s="55"/>
      <c r="J808" s="55"/>
      <c r="K808" s="55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</row>
    <row r="809">
      <c r="A809" s="38"/>
      <c r="B809" s="38"/>
      <c r="C809" s="38"/>
      <c r="D809" s="38"/>
      <c r="E809" s="38"/>
      <c r="F809" s="55"/>
      <c r="G809" s="55"/>
      <c r="H809" s="55"/>
      <c r="I809" s="55"/>
      <c r="J809" s="55"/>
      <c r="K809" s="55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</row>
    <row r="810">
      <c r="A810" s="38"/>
      <c r="B810" s="38"/>
      <c r="C810" s="38"/>
      <c r="D810" s="38"/>
      <c r="E810" s="38"/>
      <c r="F810" s="55"/>
      <c r="G810" s="55"/>
      <c r="H810" s="55"/>
      <c r="I810" s="55"/>
      <c r="J810" s="55"/>
      <c r="K810" s="55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</row>
    <row r="811">
      <c r="A811" s="38"/>
      <c r="B811" s="38"/>
      <c r="C811" s="38"/>
      <c r="D811" s="38"/>
      <c r="E811" s="38"/>
      <c r="F811" s="55"/>
      <c r="G811" s="55"/>
      <c r="H811" s="55"/>
      <c r="I811" s="55"/>
      <c r="J811" s="55"/>
      <c r="K811" s="55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</row>
    <row r="812">
      <c r="A812" s="38"/>
      <c r="B812" s="38"/>
      <c r="C812" s="38"/>
      <c r="D812" s="38"/>
      <c r="E812" s="38"/>
      <c r="F812" s="55"/>
      <c r="G812" s="55"/>
      <c r="H812" s="55"/>
      <c r="I812" s="55"/>
      <c r="J812" s="55"/>
      <c r="K812" s="55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</row>
    <row r="813">
      <c r="A813" s="38"/>
      <c r="B813" s="38"/>
      <c r="C813" s="38"/>
      <c r="D813" s="38"/>
      <c r="E813" s="38"/>
      <c r="F813" s="55"/>
      <c r="G813" s="55"/>
      <c r="H813" s="55"/>
      <c r="I813" s="55"/>
      <c r="J813" s="55"/>
      <c r="K813" s="55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</row>
    <row r="814">
      <c r="A814" s="38"/>
      <c r="B814" s="38"/>
      <c r="C814" s="38"/>
      <c r="D814" s="38"/>
      <c r="E814" s="38"/>
      <c r="F814" s="55"/>
      <c r="G814" s="55"/>
      <c r="H814" s="55"/>
      <c r="I814" s="55"/>
      <c r="J814" s="55"/>
      <c r="K814" s="55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</row>
    <row r="815">
      <c r="A815" s="38"/>
      <c r="B815" s="38"/>
      <c r="C815" s="38"/>
      <c r="D815" s="38"/>
      <c r="E815" s="38"/>
      <c r="F815" s="55"/>
      <c r="G815" s="55"/>
      <c r="H815" s="55"/>
      <c r="I815" s="55"/>
      <c r="J815" s="55"/>
      <c r="K815" s="55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</row>
    <row r="816">
      <c r="A816" s="38"/>
      <c r="B816" s="38"/>
      <c r="C816" s="38"/>
      <c r="D816" s="38"/>
      <c r="E816" s="38"/>
      <c r="F816" s="55"/>
      <c r="G816" s="55"/>
      <c r="H816" s="55"/>
      <c r="I816" s="55"/>
      <c r="J816" s="55"/>
      <c r="K816" s="55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</row>
    <row r="817">
      <c r="A817" s="38"/>
      <c r="B817" s="38"/>
      <c r="C817" s="38"/>
      <c r="D817" s="38"/>
      <c r="E817" s="38"/>
      <c r="F817" s="55"/>
      <c r="G817" s="55"/>
      <c r="H817" s="55"/>
      <c r="I817" s="55"/>
      <c r="J817" s="55"/>
      <c r="K817" s="55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</row>
    <row r="818">
      <c r="A818" s="38"/>
      <c r="B818" s="38"/>
      <c r="C818" s="38"/>
      <c r="D818" s="38"/>
      <c r="E818" s="38"/>
      <c r="F818" s="55"/>
      <c r="G818" s="55"/>
      <c r="H818" s="55"/>
      <c r="I818" s="55"/>
      <c r="J818" s="55"/>
      <c r="K818" s="55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</row>
    <row r="819">
      <c r="A819" s="38"/>
      <c r="B819" s="38"/>
      <c r="C819" s="38"/>
      <c r="D819" s="38"/>
      <c r="E819" s="38"/>
      <c r="F819" s="55"/>
      <c r="G819" s="55"/>
      <c r="H819" s="55"/>
      <c r="I819" s="55"/>
      <c r="J819" s="55"/>
      <c r="K819" s="55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</row>
    <row r="820">
      <c r="A820" s="38"/>
      <c r="B820" s="38"/>
      <c r="C820" s="38"/>
      <c r="D820" s="38"/>
      <c r="E820" s="38"/>
      <c r="F820" s="55"/>
      <c r="G820" s="55"/>
      <c r="H820" s="55"/>
      <c r="I820" s="55"/>
      <c r="J820" s="55"/>
      <c r="K820" s="55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</row>
    <row r="821">
      <c r="A821" s="38"/>
      <c r="B821" s="38"/>
      <c r="C821" s="38"/>
      <c r="D821" s="38"/>
      <c r="E821" s="38"/>
      <c r="F821" s="55"/>
      <c r="G821" s="55"/>
      <c r="H821" s="55"/>
      <c r="I821" s="55"/>
      <c r="J821" s="55"/>
      <c r="K821" s="55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</row>
    <row r="822">
      <c r="A822" s="38"/>
      <c r="B822" s="38"/>
      <c r="C822" s="38"/>
      <c r="D822" s="38"/>
      <c r="E822" s="38"/>
      <c r="F822" s="55"/>
      <c r="G822" s="55"/>
      <c r="H822" s="55"/>
      <c r="I822" s="55"/>
      <c r="J822" s="55"/>
      <c r="K822" s="55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</row>
    <row r="823">
      <c r="A823" s="38"/>
      <c r="B823" s="38"/>
      <c r="C823" s="38"/>
      <c r="D823" s="38"/>
      <c r="E823" s="38"/>
      <c r="F823" s="55"/>
      <c r="G823" s="55"/>
      <c r="H823" s="55"/>
      <c r="I823" s="55"/>
      <c r="J823" s="55"/>
      <c r="K823" s="55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</row>
    <row r="824">
      <c r="A824" s="38"/>
      <c r="B824" s="38"/>
      <c r="C824" s="38"/>
      <c r="D824" s="38"/>
      <c r="E824" s="38"/>
      <c r="F824" s="55"/>
      <c r="G824" s="55"/>
      <c r="H824" s="55"/>
      <c r="I824" s="55"/>
      <c r="J824" s="55"/>
      <c r="K824" s="55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</row>
    <row r="825">
      <c r="A825" s="38"/>
      <c r="B825" s="38"/>
      <c r="C825" s="38"/>
      <c r="D825" s="38"/>
      <c r="E825" s="38"/>
      <c r="F825" s="55"/>
      <c r="G825" s="55"/>
      <c r="H825" s="55"/>
      <c r="I825" s="55"/>
      <c r="J825" s="55"/>
      <c r="K825" s="55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</row>
    <row r="826">
      <c r="A826" s="38"/>
      <c r="B826" s="38"/>
      <c r="C826" s="38"/>
      <c r="D826" s="38"/>
      <c r="E826" s="38"/>
      <c r="F826" s="55"/>
      <c r="G826" s="55"/>
      <c r="H826" s="55"/>
      <c r="I826" s="55"/>
      <c r="J826" s="55"/>
      <c r="K826" s="55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</row>
    <row r="827">
      <c r="A827" s="38"/>
      <c r="B827" s="38"/>
      <c r="C827" s="38"/>
      <c r="D827" s="38"/>
      <c r="E827" s="38"/>
      <c r="F827" s="55"/>
      <c r="G827" s="55"/>
      <c r="H827" s="55"/>
      <c r="I827" s="55"/>
      <c r="J827" s="55"/>
      <c r="K827" s="55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</row>
    <row r="828">
      <c r="A828" s="38"/>
      <c r="B828" s="38"/>
      <c r="C828" s="38"/>
      <c r="D828" s="38"/>
      <c r="E828" s="38"/>
      <c r="F828" s="55"/>
      <c r="G828" s="55"/>
      <c r="H828" s="55"/>
      <c r="I828" s="55"/>
      <c r="J828" s="55"/>
      <c r="K828" s="55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</row>
    <row r="829">
      <c r="A829" s="38"/>
      <c r="B829" s="38"/>
      <c r="C829" s="38"/>
      <c r="D829" s="38"/>
      <c r="E829" s="38"/>
      <c r="F829" s="55"/>
      <c r="G829" s="55"/>
      <c r="H829" s="55"/>
      <c r="I829" s="55"/>
      <c r="J829" s="55"/>
      <c r="K829" s="55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</row>
    <row r="830">
      <c r="A830" s="38"/>
      <c r="B830" s="38"/>
      <c r="C830" s="38"/>
      <c r="D830" s="38"/>
      <c r="E830" s="38"/>
      <c r="F830" s="55"/>
      <c r="G830" s="55"/>
      <c r="H830" s="55"/>
      <c r="I830" s="55"/>
      <c r="J830" s="55"/>
      <c r="K830" s="55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</row>
    <row r="831">
      <c r="A831" s="38"/>
      <c r="B831" s="38"/>
      <c r="C831" s="38"/>
      <c r="D831" s="38"/>
      <c r="E831" s="38"/>
      <c r="F831" s="55"/>
      <c r="G831" s="55"/>
      <c r="H831" s="55"/>
      <c r="I831" s="55"/>
      <c r="J831" s="55"/>
      <c r="K831" s="55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</row>
    <row r="832">
      <c r="A832" s="38"/>
      <c r="B832" s="38"/>
      <c r="C832" s="38"/>
      <c r="D832" s="38"/>
      <c r="E832" s="38"/>
      <c r="F832" s="55"/>
      <c r="G832" s="55"/>
      <c r="H832" s="55"/>
      <c r="I832" s="55"/>
      <c r="J832" s="55"/>
      <c r="K832" s="55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</row>
    <row r="833">
      <c r="A833" s="38"/>
      <c r="B833" s="38"/>
      <c r="C833" s="38"/>
      <c r="D833" s="38"/>
      <c r="E833" s="38"/>
      <c r="F833" s="55"/>
      <c r="G833" s="55"/>
      <c r="H833" s="55"/>
      <c r="I833" s="55"/>
      <c r="J833" s="55"/>
      <c r="K833" s="55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</row>
    <row r="834">
      <c r="A834" s="38"/>
      <c r="B834" s="38"/>
      <c r="C834" s="38"/>
      <c r="D834" s="38"/>
      <c r="E834" s="38"/>
      <c r="F834" s="55"/>
      <c r="G834" s="55"/>
      <c r="H834" s="55"/>
      <c r="I834" s="55"/>
      <c r="J834" s="55"/>
      <c r="K834" s="55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</row>
    <row r="835">
      <c r="A835" s="38"/>
      <c r="B835" s="38"/>
      <c r="C835" s="38"/>
      <c r="D835" s="38"/>
      <c r="E835" s="38"/>
      <c r="F835" s="55"/>
      <c r="G835" s="55"/>
      <c r="H835" s="55"/>
      <c r="I835" s="55"/>
      <c r="J835" s="55"/>
      <c r="K835" s="55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</row>
    <row r="836">
      <c r="A836" s="38"/>
      <c r="B836" s="38"/>
      <c r="C836" s="38"/>
      <c r="D836" s="38"/>
      <c r="E836" s="38"/>
      <c r="F836" s="55"/>
      <c r="G836" s="55"/>
      <c r="H836" s="55"/>
      <c r="I836" s="55"/>
      <c r="J836" s="55"/>
      <c r="K836" s="55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</row>
    <row r="837">
      <c r="A837" s="38"/>
      <c r="B837" s="38"/>
      <c r="C837" s="38"/>
      <c r="D837" s="38"/>
      <c r="E837" s="38"/>
      <c r="F837" s="55"/>
      <c r="G837" s="55"/>
      <c r="H837" s="55"/>
      <c r="I837" s="55"/>
      <c r="J837" s="55"/>
      <c r="K837" s="55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</row>
    <row r="838">
      <c r="A838" s="38"/>
      <c r="B838" s="38"/>
      <c r="C838" s="38"/>
      <c r="D838" s="38"/>
      <c r="E838" s="38"/>
      <c r="F838" s="55"/>
      <c r="G838" s="55"/>
      <c r="H838" s="55"/>
      <c r="I838" s="55"/>
      <c r="J838" s="55"/>
      <c r="K838" s="55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</row>
    <row r="839">
      <c r="A839" s="38"/>
      <c r="B839" s="38"/>
      <c r="C839" s="38"/>
      <c r="D839" s="38"/>
      <c r="E839" s="38"/>
      <c r="F839" s="55"/>
      <c r="G839" s="55"/>
      <c r="H839" s="55"/>
      <c r="I839" s="55"/>
      <c r="J839" s="55"/>
      <c r="K839" s="55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</row>
    <row r="840">
      <c r="A840" s="38"/>
      <c r="B840" s="38"/>
      <c r="C840" s="38"/>
      <c r="D840" s="38"/>
      <c r="E840" s="38"/>
      <c r="F840" s="55"/>
      <c r="G840" s="55"/>
      <c r="H840" s="55"/>
      <c r="I840" s="55"/>
      <c r="J840" s="55"/>
      <c r="K840" s="55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</row>
    <row r="841">
      <c r="A841" s="38"/>
      <c r="B841" s="38"/>
      <c r="C841" s="38"/>
      <c r="D841" s="38"/>
      <c r="E841" s="38"/>
      <c r="F841" s="55"/>
      <c r="G841" s="55"/>
      <c r="H841" s="55"/>
      <c r="I841" s="55"/>
      <c r="J841" s="55"/>
      <c r="K841" s="55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</row>
    <row r="842">
      <c r="A842" s="38"/>
      <c r="B842" s="38"/>
      <c r="C842" s="38"/>
      <c r="D842" s="38"/>
      <c r="E842" s="38"/>
      <c r="F842" s="55"/>
      <c r="G842" s="55"/>
      <c r="H842" s="55"/>
      <c r="I842" s="55"/>
      <c r="J842" s="55"/>
      <c r="K842" s="55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</row>
    <row r="843">
      <c r="A843" s="38"/>
      <c r="B843" s="38"/>
      <c r="C843" s="38"/>
      <c r="D843" s="38"/>
      <c r="E843" s="38"/>
      <c r="F843" s="55"/>
      <c r="G843" s="55"/>
      <c r="H843" s="55"/>
      <c r="I843" s="55"/>
      <c r="J843" s="55"/>
      <c r="K843" s="55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</row>
    <row r="844">
      <c r="A844" s="38"/>
      <c r="B844" s="38"/>
      <c r="C844" s="38"/>
      <c r="D844" s="38"/>
      <c r="E844" s="38"/>
      <c r="F844" s="55"/>
      <c r="G844" s="55"/>
      <c r="H844" s="55"/>
      <c r="I844" s="55"/>
      <c r="J844" s="55"/>
      <c r="K844" s="55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</row>
    <row r="845">
      <c r="A845" s="38"/>
      <c r="B845" s="38"/>
      <c r="C845" s="38"/>
      <c r="D845" s="38"/>
      <c r="E845" s="38"/>
      <c r="F845" s="55"/>
      <c r="G845" s="55"/>
      <c r="H845" s="55"/>
      <c r="I845" s="55"/>
      <c r="J845" s="55"/>
      <c r="K845" s="55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</row>
    <row r="846">
      <c r="A846" s="38"/>
      <c r="B846" s="38"/>
      <c r="C846" s="38"/>
      <c r="D846" s="38"/>
      <c r="E846" s="38"/>
      <c r="F846" s="55"/>
      <c r="G846" s="55"/>
      <c r="H846" s="55"/>
      <c r="I846" s="55"/>
      <c r="J846" s="55"/>
      <c r="K846" s="55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</row>
    <row r="847">
      <c r="A847" s="38"/>
      <c r="B847" s="38"/>
      <c r="C847" s="38"/>
      <c r="D847" s="38"/>
      <c r="E847" s="38"/>
      <c r="F847" s="55"/>
      <c r="G847" s="55"/>
      <c r="H847" s="55"/>
      <c r="I847" s="55"/>
      <c r="J847" s="55"/>
      <c r="K847" s="55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</row>
    <row r="848">
      <c r="A848" s="38"/>
      <c r="B848" s="38"/>
      <c r="C848" s="38"/>
      <c r="D848" s="38"/>
      <c r="E848" s="38"/>
      <c r="F848" s="55"/>
      <c r="G848" s="55"/>
      <c r="H848" s="55"/>
      <c r="I848" s="55"/>
      <c r="J848" s="55"/>
      <c r="K848" s="55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</row>
    <row r="849">
      <c r="A849" s="38"/>
      <c r="B849" s="38"/>
      <c r="C849" s="38"/>
      <c r="D849" s="38"/>
      <c r="E849" s="38"/>
      <c r="F849" s="55"/>
      <c r="G849" s="55"/>
      <c r="H849" s="55"/>
      <c r="I849" s="55"/>
      <c r="J849" s="55"/>
      <c r="K849" s="55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</row>
    <row r="850">
      <c r="A850" s="38"/>
      <c r="B850" s="38"/>
      <c r="C850" s="38"/>
      <c r="D850" s="38"/>
      <c r="E850" s="38"/>
      <c r="F850" s="55"/>
      <c r="G850" s="55"/>
      <c r="H850" s="55"/>
      <c r="I850" s="55"/>
      <c r="J850" s="55"/>
      <c r="K850" s="55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</row>
    <row r="851">
      <c r="A851" s="38"/>
      <c r="B851" s="38"/>
      <c r="C851" s="38"/>
      <c r="D851" s="38"/>
      <c r="E851" s="38"/>
      <c r="F851" s="55"/>
      <c r="G851" s="55"/>
      <c r="H851" s="55"/>
      <c r="I851" s="55"/>
      <c r="J851" s="55"/>
      <c r="K851" s="55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</row>
    <row r="852">
      <c r="A852" s="38"/>
      <c r="B852" s="38"/>
      <c r="C852" s="38"/>
      <c r="D852" s="38"/>
      <c r="E852" s="38"/>
      <c r="F852" s="55"/>
      <c r="G852" s="55"/>
      <c r="H852" s="55"/>
      <c r="I852" s="55"/>
      <c r="J852" s="55"/>
      <c r="K852" s="55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</row>
    <row r="853">
      <c r="A853" s="38"/>
      <c r="B853" s="38"/>
      <c r="C853" s="38"/>
      <c r="D853" s="38"/>
      <c r="E853" s="38"/>
      <c r="F853" s="55"/>
      <c r="G853" s="55"/>
      <c r="H853" s="55"/>
      <c r="I853" s="55"/>
      <c r="J853" s="55"/>
      <c r="K853" s="55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</row>
    <row r="854">
      <c r="A854" s="38"/>
      <c r="B854" s="38"/>
      <c r="C854" s="38"/>
      <c r="D854" s="38"/>
      <c r="E854" s="38"/>
      <c r="F854" s="55"/>
      <c r="G854" s="55"/>
      <c r="H854" s="55"/>
      <c r="I854" s="55"/>
      <c r="J854" s="55"/>
      <c r="K854" s="55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</row>
    <row r="855">
      <c r="A855" s="38"/>
      <c r="B855" s="38"/>
      <c r="C855" s="38"/>
      <c r="D855" s="38"/>
      <c r="E855" s="38"/>
      <c r="F855" s="55"/>
      <c r="G855" s="55"/>
      <c r="H855" s="55"/>
      <c r="I855" s="55"/>
      <c r="J855" s="55"/>
      <c r="K855" s="55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</row>
    <row r="856">
      <c r="A856" s="38"/>
      <c r="B856" s="38"/>
      <c r="C856" s="38"/>
      <c r="D856" s="38"/>
      <c r="E856" s="38"/>
      <c r="F856" s="55"/>
      <c r="G856" s="55"/>
      <c r="H856" s="55"/>
      <c r="I856" s="55"/>
      <c r="J856" s="55"/>
      <c r="K856" s="55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</row>
    <row r="857">
      <c r="A857" s="38"/>
      <c r="B857" s="38"/>
      <c r="C857" s="38"/>
      <c r="D857" s="38"/>
      <c r="E857" s="38"/>
      <c r="F857" s="55"/>
      <c r="G857" s="55"/>
      <c r="H857" s="55"/>
      <c r="I857" s="55"/>
      <c r="J857" s="55"/>
      <c r="K857" s="55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</row>
    <row r="858">
      <c r="A858" s="38"/>
      <c r="B858" s="38"/>
      <c r="C858" s="38"/>
      <c r="D858" s="38"/>
      <c r="E858" s="38"/>
      <c r="F858" s="55"/>
      <c r="G858" s="55"/>
      <c r="H858" s="55"/>
      <c r="I858" s="55"/>
      <c r="J858" s="55"/>
      <c r="K858" s="55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</row>
    <row r="859">
      <c r="A859" s="38"/>
      <c r="B859" s="38"/>
      <c r="C859" s="38"/>
      <c r="D859" s="38"/>
      <c r="E859" s="38"/>
      <c r="F859" s="55"/>
      <c r="G859" s="55"/>
      <c r="H859" s="55"/>
      <c r="I859" s="55"/>
      <c r="J859" s="55"/>
      <c r="K859" s="55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</row>
    <row r="860">
      <c r="A860" s="38"/>
      <c r="B860" s="38"/>
      <c r="C860" s="38"/>
      <c r="D860" s="38"/>
      <c r="E860" s="38"/>
      <c r="F860" s="55"/>
      <c r="G860" s="55"/>
      <c r="H860" s="55"/>
      <c r="I860" s="55"/>
      <c r="J860" s="55"/>
      <c r="K860" s="55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</row>
    <row r="861">
      <c r="A861" s="38"/>
      <c r="B861" s="38"/>
      <c r="C861" s="38"/>
      <c r="D861" s="38"/>
      <c r="E861" s="38"/>
      <c r="F861" s="55"/>
      <c r="G861" s="55"/>
      <c r="H861" s="55"/>
      <c r="I861" s="55"/>
      <c r="J861" s="55"/>
      <c r="K861" s="55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</row>
    <row r="862">
      <c r="A862" s="38"/>
      <c r="B862" s="38"/>
      <c r="C862" s="38"/>
      <c r="D862" s="38"/>
      <c r="E862" s="38"/>
      <c r="F862" s="55"/>
      <c r="G862" s="55"/>
      <c r="H862" s="55"/>
      <c r="I862" s="55"/>
      <c r="J862" s="55"/>
      <c r="K862" s="55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</row>
    <row r="863">
      <c r="A863" s="38"/>
      <c r="B863" s="38"/>
      <c r="C863" s="38"/>
      <c r="D863" s="38"/>
      <c r="E863" s="38"/>
      <c r="F863" s="55"/>
      <c r="G863" s="55"/>
      <c r="H863" s="55"/>
      <c r="I863" s="55"/>
      <c r="J863" s="55"/>
      <c r="K863" s="55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</row>
    <row r="864">
      <c r="A864" s="38"/>
      <c r="B864" s="38"/>
      <c r="C864" s="38"/>
      <c r="D864" s="38"/>
      <c r="E864" s="38"/>
      <c r="F864" s="55"/>
      <c r="G864" s="55"/>
      <c r="H864" s="55"/>
      <c r="I864" s="55"/>
      <c r="J864" s="55"/>
      <c r="K864" s="55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</row>
    <row r="865">
      <c r="A865" s="38"/>
      <c r="B865" s="38"/>
      <c r="C865" s="38"/>
      <c r="D865" s="38"/>
      <c r="E865" s="38"/>
      <c r="F865" s="55"/>
      <c r="G865" s="55"/>
      <c r="H865" s="55"/>
      <c r="I865" s="55"/>
      <c r="J865" s="55"/>
      <c r="K865" s="55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</row>
    <row r="866">
      <c r="A866" s="38"/>
      <c r="B866" s="38"/>
      <c r="C866" s="38"/>
      <c r="D866" s="38"/>
      <c r="E866" s="38"/>
      <c r="F866" s="55"/>
      <c r="G866" s="55"/>
      <c r="H866" s="55"/>
      <c r="I866" s="55"/>
      <c r="J866" s="55"/>
      <c r="K866" s="55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</row>
    <row r="867">
      <c r="A867" s="38"/>
      <c r="B867" s="38"/>
      <c r="C867" s="38"/>
      <c r="D867" s="38"/>
      <c r="E867" s="38"/>
      <c r="F867" s="55"/>
      <c r="G867" s="55"/>
      <c r="H867" s="55"/>
      <c r="I867" s="55"/>
      <c r="J867" s="55"/>
      <c r="K867" s="55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</row>
    <row r="868">
      <c r="A868" s="38"/>
      <c r="B868" s="38"/>
      <c r="C868" s="38"/>
      <c r="D868" s="38"/>
      <c r="E868" s="38"/>
      <c r="F868" s="55"/>
      <c r="G868" s="55"/>
      <c r="H868" s="55"/>
      <c r="I868" s="55"/>
      <c r="J868" s="55"/>
      <c r="K868" s="55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</row>
    <row r="869">
      <c r="A869" s="38"/>
      <c r="B869" s="38"/>
      <c r="C869" s="38"/>
      <c r="D869" s="38"/>
      <c r="E869" s="38"/>
      <c r="F869" s="55"/>
      <c r="G869" s="55"/>
      <c r="H869" s="55"/>
      <c r="I869" s="55"/>
      <c r="J869" s="55"/>
      <c r="K869" s="55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</row>
    <row r="870">
      <c r="A870" s="38"/>
      <c r="B870" s="38"/>
      <c r="C870" s="38"/>
      <c r="D870" s="38"/>
      <c r="E870" s="38"/>
      <c r="F870" s="55"/>
      <c r="G870" s="55"/>
      <c r="H870" s="55"/>
      <c r="I870" s="55"/>
      <c r="J870" s="55"/>
      <c r="K870" s="55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</row>
    <row r="871">
      <c r="A871" s="38"/>
      <c r="B871" s="38"/>
      <c r="C871" s="38"/>
      <c r="D871" s="38"/>
      <c r="E871" s="38"/>
      <c r="F871" s="55"/>
      <c r="G871" s="55"/>
      <c r="H871" s="55"/>
      <c r="I871" s="55"/>
      <c r="J871" s="55"/>
      <c r="K871" s="55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</row>
    <row r="872">
      <c r="A872" s="38"/>
      <c r="B872" s="38"/>
      <c r="C872" s="38"/>
      <c r="D872" s="38"/>
      <c r="E872" s="38"/>
      <c r="F872" s="55"/>
      <c r="G872" s="55"/>
      <c r="H872" s="55"/>
      <c r="I872" s="55"/>
      <c r="J872" s="55"/>
      <c r="K872" s="55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</row>
    <row r="873">
      <c r="A873" s="38"/>
      <c r="B873" s="38"/>
      <c r="C873" s="38"/>
      <c r="D873" s="38"/>
      <c r="E873" s="38"/>
      <c r="F873" s="55"/>
      <c r="G873" s="55"/>
      <c r="H873" s="55"/>
      <c r="I873" s="55"/>
      <c r="J873" s="55"/>
      <c r="K873" s="55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</row>
    <row r="874">
      <c r="A874" s="38"/>
      <c r="B874" s="38"/>
      <c r="C874" s="38"/>
      <c r="D874" s="38"/>
      <c r="E874" s="38"/>
      <c r="F874" s="55"/>
      <c r="G874" s="55"/>
      <c r="H874" s="55"/>
      <c r="I874" s="55"/>
      <c r="J874" s="55"/>
      <c r="K874" s="55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</row>
    <row r="875">
      <c r="A875" s="38"/>
      <c r="B875" s="38"/>
      <c r="C875" s="38"/>
      <c r="D875" s="38"/>
      <c r="E875" s="38"/>
      <c r="F875" s="55"/>
      <c r="G875" s="55"/>
      <c r="H875" s="55"/>
      <c r="I875" s="55"/>
      <c r="J875" s="55"/>
      <c r="K875" s="55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</row>
    <row r="876">
      <c r="A876" s="38"/>
      <c r="B876" s="38"/>
      <c r="C876" s="38"/>
      <c r="D876" s="38"/>
      <c r="E876" s="38"/>
      <c r="F876" s="55"/>
      <c r="G876" s="55"/>
      <c r="H876" s="55"/>
      <c r="I876" s="55"/>
      <c r="J876" s="55"/>
      <c r="K876" s="55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</row>
    <row r="877">
      <c r="A877" s="38"/>
      <c r="B877" s="38"/>
      <c r="C877" s="38"/>
      <c r="D877" s="38"/>
      <c r="E877" s="38"/>
      <c r="F877" s="55"/>
      <c r="G877" s="55"/>
      <c r="H877" s="55"/>
      <c r="I877" s="55"/>
      <c r="J877" s="55"/>
      <c r="K877" s="55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</row>
    <row r="878">
      <c r="A878" s="38"/>
      <c r="B878" s="38"/>
      <c r="C878" s="38"/>
      <c r="D878" s="38"/>
      <c r="E878" s="38"/>
      <c r="F878" s="55"/>
      <c r="G878" s="55"/>
      <c r="H878" s="55"/>
      <c r="I878" s="55"/>
      <c r="J878" s="55"/>
      <c r="K878" s="55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</row>
    <row r="879">
      <c r="A879" s="38"/>
      <c r="B879" s="38"/>
      <c r="C879" s="38"/>
      <c r="D879" s="38"/>
      <c r="E879" s="38"/>
      <c r="F879" s="55"/>
      <c r="G879" s="55"/>
      <c r="H879" s="55"/>
      <c r="I879" s="55"/>
      <c r="J879" s="55"/>
      <c r="K879" s="55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</row>
    <row r="880">
      <c r="A880" s="38"/>
      <c r="B880" s="38"/>
      <c r="C880" s="38"/>
      <c r="D880" s="38"/>
      <c r="E880" s="38"/>
      <c r="F880" s="55"/>
      <c r="G880" s="55"/>
      <c r="H880" s="55"/>
      <c r="I880" s="55"/>
      <c r="J880" s="55"/>
      <c r="K880" s="55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</row>
    <row r="881">
      <c r="A881" s="38"/>
      <c r="B881" s="38"/>
      <c r="C881" s="38"/>
      <c r="D881" s="38"/>
      <c r="E881" s="38"/>
      <c r="F881" s="55"/>
      <c r="G881" s="55"/>
      <c r="H881" s="55"/>
      <c r="I881" s="55"/>
      <c r="J881" s="55"/>
      <c r="K881" s="55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</row>
    <row r="882">
      <c r="A882" s="38"/>
      <c r="B882" s="38"/>
      <c r="C882" s="38"/>
      <c r="D882" s="38"/>
      <c r="E882" s="38"/>
      <c r="F882" s="55"/>
      <c r="G882" s="55"/>
      <c r="H882" s="55"/>
      <c r="I882" s="55"/>
      <c r="J882" s="55"/>
      <c r="K882" s="55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</row>
    <row r="883">
      <c r="A883" s="38"/>
      <c r="B883" s="38"/>
      <c r="C883" s="38"/>
      <c r="D883" s="38"/>
      <c r="E883" s="38"/>
      <c r="F883" s="55"/>
      <c r="G883" s="55"/>
      <c r="H883" s="55"/>
      <c r="I883" s="55"/>
      <c r="J883" s="55"/>
      <c r="K883" s="55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</row>
    <row r="884">
      <c r="A884" s="38"/>
      <c r="B884" s="38"/>
      <c r="C884" s="38"/>
      <c r="D884" s="38"/>
      <c r="E884" s="38"/>
      <c r="F884" s="55"/>
      <c r="G884" s="55"/>
      <c r="H884" s="55"/>
      <c r="I884" s="55"/>
      <c r="J884" s="55"/>
      <c r="K884" s="55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</row>
    <row r="885">
      <c r="A885" s="38"/>
      <c r="B885" s="38"/>
      <c r="C885" s="38"/>
      <c r="D885" s="38"/>
      <c r="E885" s="38"/>
      <c r="F885" s="55"/>
      <c r="G885" s="55"/>
      <c r="H885" s="55"/>
      <c r="I885" s="55"/>
      <c r="J885" s="55"/>
      <c r="K885" s="55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</row>
    <row r="886">
      <c r="A886" s="38"/>
      <c r="B886" s="38"/>
      <c r="C886" s="38"/>
      <c r="D886" s="38"/>
      <c r="E886" s="38"/>
      <c r="F886" s="55"/>
      <c r="G886" s="55"/>
      <c r="H886" s="55"/>
      <c r="I886" s="55"/>
      <c r="J886" s="55"/>
      <c r="K886" s="55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</row>
    <row r="887">
      <c r="A887" s="38"/>
      <c r="B887" s="38"/>
      <c r="C887" s="38"/>
      <c r="D887" s="38"/>
      <c r="E887" s="38"/>
      <c r="F887" s="55"/>
      <c r="G887" s="55"/>
      <c r="H887" s="55"/>
      <c r="I887" s="55"/>
      <c r="J887" s="55"/>
      <c r="K887" s="55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</row>
    <row r="888">
      <c r="A888" s="38"/>
      <c r="B888" s="38"/>
      <c r="C888" s="38"/>
      <c r="D888" s="38"/>
      <c r="E888" s="38"/>
      <c r="F888" s="55"/>
      <c r="G888" s="55"/>
      <c r="H888" s="55"/>
      <c r="I888" s="55"/>
      <c r="J888" s="55"/>
      <c r="K888" s="55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</row>
    <row r="889">
      <c r="A889" s="38"/>
      <c r="B889" s="38"/>
      <c r="C889" s="38"/>
      <c r="D889" s="38"/>
      <c r="E889" s="38"/>
      <c r="F889" s="55"/>
      <c r="G889" s="55"/>
      <c r="H889" s="55"/>
      <c r="I889" s="55"/>
      <c r="J889" s="55"/>
      <c r="K889" s="55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</row>
    <row r="890">
      <c r="A890" s="38"/>
      <c r="B890" s="38"/>
      <c r="C890" s="38"/>
      <c r="D890" s="38"/>
      <c r="E890" s="38"/>
      <c r="F890" s="55"/>
      <c r="G890" s="55"/>
      <c r="H890" s="55"/>
      <c r="I890" s="55"/>
      <c r="J890" s="55"/>
      <c r="K890" s="55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</row>
    <row r="891">
      <c r="A891" s="38"/>
      <c r="B891" s="38"/>
      <c r="C891" s="38"/>
      <c r="D891" s="38"/>
      <c r="E891" s="38"/>
      <c r="F891" s="55"/>
      <c r="G891" s="55"/>
      <c r="H891" s="55"/>
      <c r="I891" s="55"/>
      <c r="J891" s="55"/>
      <c r="K891" s="55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</row>
    <row r="892">
      <c r="A892" s="38"/>
      <c r="B892" s="38"/>
      <c r="C892" s="38"/>
      <c r="D892" s="38"/>
      <c r="E892" s="38"/>
      <c r="F892" s="55"/>
      <c r="G892" s="55"/>
      <c r="H892" s="55"/>
      <c r="I892" s="55"/>
      <c r="J892" s="55"/>
      <c r="K892" s="55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</row>
    <row r="893">
      <c r="A893" s="38"/>
      <c r="B893" s="38"/>
      <c r="C893" s="38"/>
      <c r="D893" s="38"/>
      <c r="E893" s="38"/>
      <c r="F893" s="55"/>
      <c r="G893" s="55"/>
      <c r="H893" s="55"/>
      <c r="I893" s="55"/>
      <c r="J893" s="55"/>
      <c r="K893" s="55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</row>
    <row r="894">
      <c r="A894" s="38"/>
      <c r="B894" s="38"/>
      <c r="C894" s="38"/>
      <c r="D894" s="38"/>
      <c r="E894" s="38"/>
      <c r="F894" s="55"/>
      <c r="G894" s="55"/>
      <c r="H894" s="55"/>
      <c r="I894" s="55"/>
      <c r="J894" s="55"/>
      <c r="K894" s="55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</row>
    <row r="895">
      <c r="A895" s="38"/>
      <c r="B895" s="38"/>
      <c r="C895" s="38"/>
      <c r="D895" s="38"/>
      <c r="E895" s="38"/>
      <c r="F895" s="55"/>
      <c r="G895" s="55"/>
      <c r="H895" s="55"/>
      <c r="I895" s="55"/>
      <c r="J895" s="55"/>
      <c r="K895" s="55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</row>
    <row r="896">
      <c r="A896" s="38"/>
      <c r="B896" s="38"/>
      <c r="C896" s="38"/>
      <c r="D896" s="38"/>
      <c r="E896" s="38"/>
      <c r="F896" s="55"/>
      <c r="G896" s="55"/>
      <c r="H896" s="55"/>
      <c r="I896" s="55"/>
      <c r="J896" s="55"/>
      <c r="K896" s="55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</row>
    <row r="897">
      <c r="A897" s="38"/>
      <c r="B897" s="38"/>
      <c r="C897" s="38"/>
      <c r="D897" s="38"/>
      <c r="E897" s="38"/>
      <c r="F897" s="55"/>
      <c r="G897" s="55"/>
      <c r="H897" s="55"/>
      <c r="I897" s="55"/>
      <c r="J897" s="55"/>
      <c r="K897" s="55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</row>
    <row r="898">
      <c r="A898" s="38"/>
      <c r="B898" s="38"/>
      <c r="C898" s="38"/>
      <c r="D898" s="38"/>
      <c r="E898" s="38"/>
      <c r="F898" s="55"/>
      <c r="G898" s="55"/>
      <c r="H898" s="55"/>
      <c r="I898" s="55"/>
      <c r="J898" s="55"/>
      <c r="K898" s="55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</row>
    <row r="899">
      <c r="A899" s="38"/>
      <c r="B899" s="38"/>
      <c r="C899" s="38"/>
      <c r="D899" s="38"/>
      <c r="E899" s="38"/>
      <c r="F899" s="55"/>
      <c r="G899" s="55"/>
      <c r="H899" s="55"/>
      <c r="I899" s="55"/>
      <c r="J899" s="55"/>
      <c r="K899" s="55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</row>
    <row r="900">
      <c r="A900" s="38"/>
      <c r="B900" s="38"/>
      <c r="C900" s="38"/>
      <c r="D900" s="38"/>
      <c r="E900" s="38"/>
      <c r="F900" s="55"/>
      <c r="G900" s="55"/>
      <c r="H900" s="55"/>
      <c r="I900" s="55"/>
      <c r="J900" s="55"/>
      <c r="K900" s="55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</row>
    <row r="901">
      <c r="A901" s="38"/>
      <c r="B901" s="38"/>
      <c r="C901" s="38"/>
      <c r="D901" s="38"/>
      <c r="E901" s="38"/>
      <c r="F901" s="55"/>
      <c r="G901" s="55"/>
      <c r="H901" s="55"/>
      <c r="I901" s="55"/>
      <c r="J901" s="55"/>
      <c r="K901" s="55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</row>
    <row r="902">
      <c r="A902" s="38"/>
      <c r="B902" s="38"/>
      <c r="C902" s="38"/>
      <c r="D902" s="38"/>
      <c r="E902" s="38"/>
      <c r="F902" s="55"/>
      <c r="G902" s="55"/>
      <c r="H902" s="55"/>
      <c r="I902" s="55"/>
      <c r="J902" s="55"/>
      <c r="K902" s="55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</row>
    <row r="903">
      <c r="A903" s="38"/>
      <c r="B903" s="38"/>
      <c r="C903" s="38"/>
      <c r="D903" s="38"/>
      <c r="E903" s="38"/>
      <c r="F903" s="55"/>
      <c r="G903" s="55"/>
      <c r="H903" s="55"/>
      <c r="I903" s="55"/>
      <c r="J903" s="55"/>
      <c r="K903" s="55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</row>
    <row r="904">
      <c r="A904" s="38"/>
      <c r="B904" s="38"/>
      <c r="C904" s="38"/>
      <c r="D904" s="38"/>
      <c r="E904" s="38"/>
      <c r="F904" s="55"/>
      <c r="G904" s="55"/>
      <c r="H904" s="55"/>
      <c r="I904" s="55"/>
      <c r="J904" s="55"/>
      <c r="K904" s="55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</row>
    <row r="905">
      <c r="A905" s="38"/>
      <c r="B905" s="38"/>
      <c r="C905" s="38"/>
      <c r="D905" s="38"/>
      <c r="E905" s="38"/>
      <c r="F905" s="55"/>
      <c r="G905" s="55"/>
      <c r="H905" s="55"/>
      <c r="I905" s="55"/>
      <c r="J905" s="55"/>
      <c r="K905" s="55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</row>
    <row r="906">
      <c r="A906" s="38"/>
      <c r="B906" s="38"/>
      <c r="C906" s="38"/>
      <c r="D906" s="38"/>
      <c r="E906" s="38"/>
      <c r="F906" s="55"/>
      <c r="G906" s="55"/>
      <c r="H906" s="55"/>
      <c r="I906" s="55"/>
      <c r="J906" s="55"/>
      <c r="K906" s="55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</row>
    <row r="907">
      <c r="A907" s="38"/>
      <c r="B907" s="38"/>
      <c r="C907" s="38"/>
      <c r="D907" s="38"/>
      <c r="E907" s="38"/>
      <c r="F907" s="55"/>
      <c r="G907" s="55"/>
      <c r="H907" s="55"/>
      <c r="I907" s="55"/>
      <c r="J907" s="55"/>
      <c r="K907" s="55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</row>
    <row r="908">
      <c r="A908" s="38"/>
      <c r="B908" s="38"/>
      <c r="C908" s="38"/>
      <c r="D908" s="38"/>
      <c r="E908" s="38"/>
      <c r="F908" s="55"/>
      <c r="G908" s="55"/>
      <c r="H908" s="55"/>
      <c r="I908" s="55"/>
      <c r="J908" s="55"/>
      <c r="K908" s="55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</row>
    <row r="909">
      <c r="A909" s="38"/>
      <c r="B909" s="38"/>
      <c r="C909" s="38"/>
      <c r="D909" s="38"/>
      <c r="E909" s="38"/>
      <c r="F909" s="55"/>
      <c r="G909" s="55"/>
      <c r="H909" s="55"/>
      <c r="I909" s="55"/>
      <c r="J909" s="55"/>
      <c r="K909" s="55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</row>
    <row r="910">
      <c r="A910" s="38"/>
      <c r="B910" s="38"/>
      <c r="C910" s="38"/>
      <c r="D910" s="38"/>
      <c r="E910" s="38"/>
      <c r="F910" s="55"/>
      <c r="G910" s="55"/>
      <c r="H910" s="55"/>
      <c r="I910" s="55"/>
      <c r="J910" s="55"/>
      <c r="K910" s="55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</row>
    <row r="911">
      <c r="A911" s="38"/>
      <c r="B911" s="38"/>
      <c r="C911" s="38"/>
      <c r="D911" s="38"/>
      <c r="E911" s="38"/>
      <c r="F911" s="55"/>
      <c r="G911" s="55"/>
      <c r="H911" s="55"/>
      <c r="I911" s="55"/>
      <c r="J911" s="55"/>
      <c r="K911" s="55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</row>
    <row r="912">
      <c r="A912" s="38"/>
      <c r="B912" s="38"/>
      <c r="C912" s="38"/>
      <c r="D912" s="38"/>
      <c r="E912" s="38"/>
      <c r="F912" s="55"/>
      <c r="G912" s="55"/>
      <c r="H912" s="55"/>
      <c r="I912" s="55"/>
      <c r="J912" s="55"/>
      <c r="K912" s="55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</row>
    <row r="913">
      <c r="A913" s="38"/>
      <c r="B913" s="38"/>
      <c r="C913" s="38"/>
      <c r="D913" s="38"/>
      <c r="E913" s="38"/>
      <c r="F913" s="55"/>
      <c r="G913" s="55"/>
      <c r="H913" s="55"/>
      <c r="I913" s="55"/>
      <c r="J913" s="55"/>
      <c r="K913" s="55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</row>
    <row r="914">
      <c r="A914" s="38"/>
      <c r="B914" s="38"/>
      <c r="C914" s="38"/>
      <c r="D914" s="38"/>
      <c r="E914" s="38"/>
      <c r="F914" s="55"/>
      <c r="G914" s="55"/>
      <c r="H914" s="55"/>
      <c r="I914" s="55"/>
      <c r="J914" s="55"/>
      <c r="K914" s="55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</row>
    <row r="915">
      <c r="A915" s="38"/>
      <c r="B915" s="38"/>
      <c r="C915" s="38"/>
      <c r="D915" s="38"/>
      <c r="E915" s="38"/>
      <c r="F915" s="55"/>
      <c r="G915" s="55"/>
      <c r="H915" s="55"/>
      <c r="I915" s="55"/>
      <c r="J915" s="55"/>
      <c r="K915" s="55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</row>
    <row r="916">
      <c r="A916" s="38"/>
      <c r="B916" s="38"/>
      <c r="C916" s="38"/>
      <c r="D916" s="38"/>
      <c r="E916" s="38"/>
      <c r="F916" s="55"/>
      <c r="G916" s="55"/>
      <c r="H916" s="55"/>
      <c r="I916" s="55"/>
      <c r="J916" s="55"/>
      <c r="K916" s="55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</row>
    <row r="917">
      <c r="A917" s="38"/>
      <c r="B917" s="38"/>
      <c r="C917" s="38"/>
      <c r="D917" s="38"/>
      <c r="E917" s="38"/>
      <c r="F917" s="55"/>
      <c r="G917" s="55"/>
      <c r="H917" s="55"/>
      <c r="I917" s="55"/>
      <c r="J917" s="55"/>
      <c r="K917" s="55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</row>
    <row r="918">
      <c r="A918" s="38"/>
      <c r="B918" s="38"/>
      <c r="C918" s="38"/>
      <c r="D918" s="38"/>
      <c r="E918" s="38"/>
      <c r="F918" s="55"/>
      <c r="G918" s="55"/>
      <c r="H918" s="55"/>
      <c r="I918" s="55"/>
      <c r="J918" s="55"/>
      <c r="K918" s="55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</row>
    <row r="919">
      <c r="A919" s="38"/>
      <c r="B919" s="38"/>
      <c r="C919" s="38"/>
      <c r="D919" s="38"/>
      <c r="E919" s="38"/>
      <c r="F919" s="55"/>
      <c r="G919" s="55"/>
      <c r="H919" s="55"/>
      <c r="I919" s="55"/>
      <c r="J919" s="55"/>
      <c r="K919" s="55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</row>
    <row r="920">
      <c r="A920" s="38"/>
      <c r="B920" s="38"/>
      <c r="C920" s="38"/>
      <c r="D920" s="38"/>
      <c r="E920" s="38"/>
      <c r="F920" s="55"/>
      <c r="G920" s="55"/>
      <c r="H920" s="55"/>
      <c r="I920" s="55"/>
      <c r="J920" s="55"/>
      <c r="K920" s="55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</row>
    <row r="921">
      <c r="A921" s="38"/>
      <c r="B921" s="38"/>
      <c r="C921" s="38"/>
      <c r="D921" s="38"/>
      <c r="E921" s="38"/>
      <c r="F921" s="55"/>
      <c r="G921" s="55"/>
      <c r="H921" s="55"/>
      <c r="I921" s="55"/>
      <c r="J921" s="55"/>
      <c r="K921" s="55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</row>
    <row r="922">
      <c r="A922" s="38"/>
      <c r="B922" s="38"/>
      <c r="C922" s="38"/>
      <c r="D922" s="38"/>
      <c r="E922" s="38"/>
      <c r="F922" s="55"/>
      <c r="G922" s="55"/>
      <c r="H922" s="55"/>
      <c r="I922" s="55"/>
      <c r="J922" s="55"/>
      <c r="K922" s="55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</row>
    <row r="923">
      <c r="A923" s="38"/>
      <c r="B923" s="38"/>
      <c r="C923" s="38"/>
      <c r="D923" s="38"/>
      <c r="E923" s="38"/>
      <c r="F923" s="55"/>
      <c r="G923" s="55"/>
      <c r="H923" s="55"/>
      <c r="I923" s="55"/>
      <c r="J923" s="55"/>
      <c r="K923" s="55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</row>
    <row r="924">
      <c r="A924" s="38"/>
      <c r="B924" s="38"/>
      <c r="C924" s="38"/>
      <c r="D924" s="38"/>
      <c r="E924" s="38"/>
      <c r="F924" s="55"/>
      <c r="G924" s="55"/>
      <c r="H924" s="55"/>
      <c r="I924" s="55"/>
      <c r="J924" s="55"/>
      <c r="K924" s="55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</row>
    <row r="925">
      <c r="A925" s="38"/>
      <c r="B925" s="38"/>
      <c r="C925" s="38"/>
      <c r="D925" s="38"/>
      <c r="E925" s="38"/>
      <c r="F925" s="55"/>
      <c r="G925" s="55"/>
      <c r="H925" s="55"/>
      <c r="I925" s="55"/>
      <c r="J925" s="55"/>
      <c r="K925" s="55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</row>
    <row r="926">
      <c r="A926" s="38"/>
      <c r="B926" s="38"/>
      <c r="C926" s="38"/>
      <c r="D926" s="38"/>
      <c r="E926" s="38"/>
      <c r="F926" s="55"/>
      <c r="G926" s="55"/>
      <c r="H926" s="55"/>
      <c r="I926" s="55"/>
      <c r="J926" s="55"/>
      <c r="K926" s="55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</row>
    <row r="927">
      <c r="A927" s="38"/>
      <c r="B927" s="38"/>
      <c r="C927" s="38"/>
      <c r="D927" s="38"/>
      <c r="E927" s="38"/>
      <c r="F927" s="55"/>
      <c r="G927" s="55"/>
      <c r="H927" s="55"/>
      <c r="I927" s="55"/>
      <c r="J927" s="55"/>
      <c r="K927" s="55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</row>
    <row r="928">
      <c r="A928" s="38"/>
      <c r="B928" s="38"/>
      <c r="C928" s="38"/>
      <c r="D928" s="38"/>
      <c r="E928" s="38"/>
      <c r="F928" s="55"/>
      <c r="G928" s="55"/>
      <c r="H928" s="55"/>
      <c r="I928" s="55"/>
      <c r="J928" s="55"/>
      <c r="K928" s="55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</row>
    <row r="929">
      <c r="A929" s="38"/>
      <c r="B929" s="38"/>
      <c r="C929" s="38"/>
      <c r="D929" s="38"/>
      <c r="E929" s="38"/>
      <c r="F929" s="55"/>
      <c r="G929" s="55"/>
      <c r="H929" s="55"/>
      <c r="I929" s="55"/>
      <c r="J929" s="55"/>
      <c r="K929" s="55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</row>
    <row r="930">
      <c r="A930" s="38"/>
      <c r="B930" s="38"/>
      <c r="C930" s="38"/>
      <c r="D930" s="38"/>
      <c r="E930" s="38"/>
      <c r="F930" s="55"/>
      <c r="G930" s="55"/>
      <c r="H930" s="55"/>
      <c r="I930" s="55"/>
      <c r="J930" s="55"/>
      <c r="K930" s="55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</row>
    <row r="931">
      <c r="A931" s="38"/>
      <c r="B931" s="38"/>
      <c r="C931" s="38"/>
      <c r="D931" s="38"/>
      <c r="E931" s="38"/>
      <c r="F931" s="55"/>
      <c r="G931" s="55"/>
      <c r="H931" s="55"/>
      <c r="I931" s="55"/>
      <c r="J931" s="55"/>
      <c r="K931" s="55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</row>
    <row r="932">
      <c r="A932" s="38"/>
      <c r="B932" s="38"/>
      <c r="C932" s="38"/>
      <c r="D932" s="38"/>
      <c r="E932" s="38"/>
      <c r="F932" s="55"/>
      <c r="G932" s="55"/>
      <c r="H932" s="55"/>
      <c r="I932" s="55"/>
      <c r="J932" s="55"/>
      <c r="K932" s="55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</row>
    <row r="933">
      <c r="A933" s="38"/>
      <c r="B933" s="38"/>
      <c r="C933" s="38"/>
      <c r="D933" s="38"/>
      <c r="E933" s="38"/>
      <c r="F933" s="55"/>
      <c r="G933" s="55"/>
      <c r="H933" s="55"/>
      <c r="I933" s="55"/>
      <c r="J933" s="55"/>
      <c r="K933" s="55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</row>
    <row r="934">
      <c r="A934" s="38"/>
      <c r="B934" s="38"/>
      <c r="C934" s="38"/>
      <c r="D934" s="38"/>
      <c r="E934" s="38"/>
      <c r="F934" s="55"/>
      <c r="G934" s="55"/>
      <c r="H934" s="55"/>
      <c r="I934" s="55"/>
      <c r="J934" s="55"/>
      <c r="K934" s="55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</row>
    <row r="935">
      <c r="A935" s="38"/>
      <c r="B935" s="38"/>
      <c r="C935" s="38"/>
      <c r="D935" s="38"/>
      <c r="E935" s="38"/>
      <c r="F935" s="55"/>
      <c r="G935" s="55"/>
      <c r="H935" s="55"/>
      <c r="I935" s="55"/>
      <c r="J935" s="55"/>
      <c r="K935" s="55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</row>
    <row r="936">
      <c r="A936" s="38"/>
      <c r="B936" s="38"/>
      <c r="C936" s="38"/>
      <c r="D936" s="38"/>
      <c r="E936" s="38"/>
      <c r="F936" s="55"/>
      <c r="G936" s="55"/>
      <c r="H936" s="55"/>
      <c r="I936" s="55"/>
      <c r="J936" s="55"/>
      <c r="K936" s="55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</row>
    <row r="937">
      <c r="A937" s="38"/>
      <c r="B937" s="38"/>
      <c r="C937" s="38"/>
      <c r="D937" s="38"/>
      <c r="E937" s="38"/>
      <c r="F937" s="55"/>
      <c r="G937" s="55"/>
      <c r="H937" s="55"/>
      <c r="I937" s="55"/>
      <c r="J937" s="55"/>
      <c r="K937" s="55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</row>
    <row r="938">
      <c r="A938" s="38"/>
      <c r="B938" s="38"/>
      <c r="C938" s="38"/>
      <c r="D938" s="38"/>
      <c r="E938" s="38"/>
      <c r="F938" s="55"/>
      <c r="G938" s="55"/>
      <c r="H938" s="55"/>
      <c r="I938" s="55"/>
      <c r="J938" s="55"/>
      <c r="K938" s="55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</row>
    <row r="939">
      <c r="A939" s="38"/>
      <c r="B939" s="38"/>
      <c r="C939" s="38"/>
      <c r="D939" s="38"/>
      <c r="E939" s="38"/>
      <c r="F939" s="55"/>
      <c r="G939" s="55"/>
      <c r="H939" s="55"/>
      <c r="I939" s="55"/>
      <c r="J939" s="55"/>
      <c r="K939" s="55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</row>
    <row r="940">
      <c r="A940" s="38"/>
      <c r="B940" s="38"/>
      <c r="C940" s="38"/>
      <c r="D940" s="38"/>
      <c r="E940" s="38"/>
      <c r="F940" s="55"/>
      <c r="G940" s="55"/>
      <c r="H940" s="55"/>
      <c r="I940" s="55"/>
      <c r="J940" s="55"/>
      <c r="K940" s="55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</row>
    <row r="941">
      <c r="A941" s="38"/>
      <c r="B941" s="38"/>
      <c r="C941" s="38"/>
      <c r="D941" s="38"/>
      <c r="E941" s="38"/>
      <c r="F941" s="55"/>
      <c r="G941" s="55"/>
      <c r="H941" s="55"/>
      <c r="I941" s="55"/>
      <c r="J941" s="55"/>
      <c r="K941" s="55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</row>
    <row r="942">
      <c r="A942" s="38"/>
      <c r="B942" s="38"/>
      <c r="C942" s="38"/>
      <c r="D942" s="38"/>
      <c r="E942" s="38"/>
      <c r="F942" s="55"/>
      <c r="G942" s="55"/>
      <c r="H942" s="55"/>
      <c r="I942" s="55"/>
      <c r="J942" s="55"/>
      <c r="K942" s="55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</row>
    <row r="943">
      <c r="A943" s="38"/>
      <c r="B943" s="38"/>
      <c r="C943" s="38"/>
      <c r="D943" s="38"/>
      <c r="E943" s="38"/>
      <c r="F943" s="55"/>
      <c r="G943" s="55"/>
      <c r="H943" s="55"/>
      <c r="I943" s="55"/>
      <c r="J943" s="55"/>
      <c r="K943" s="55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</row>
    <row r="944">
      <c r="A944" s="38"/>
      <c r="B944" s="38"/>
      <c r="C944" s="38"/>
      <c r="D944" s="38"/>
      <c r="E944" s="38"/>
      <c r="F944" s="55"/>
      <c r="G944" s="55"/>
      <c r="H944" s="55"/>
      <c r="I944" s="55"/>
      <c r="J944" s="55"/>
      <c r="K944" s="55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</row>
    <row r="945">
      <c r="A945" s="38"/>
      <c r="B945" s="38"/>
      <c r="C945" s="38"/>
      <c r="D945" s="38"/>
      <c r="E945" s="38"/>
      <c r="F945" s="55"/>
      <c r="G945" s="55"/>
      <c r="H945" s="55"/>
      <c r="I945" s="55"/>
      <c r="J945" s="55"/>
      <c r="K945" s="55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</row>
    <row r="946">
      <c r="A946" s="38"/>
      <c r="B946" s="38"/>
      <c r="C946" s="38"/>
      <c r="D946" s="38"/>
      <c r="E946" s="38"/>
      <c r="F946" s="55"/>
      <c r="G946" s="55"/>
      <c r="H946" s="55"/>
      <c r="I946" s="55"/>
      <c r="J946" s="55"/>
      <c r="K946" s="55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</row>
    <row r="947">
      <c r="A947" s="38"/>
      <c r="B947" s="38"/>
      <c r="C947" s="38"/>
      <c r="D947" s="38"/>
      <c r="E947" s="38"/>
      <c r="F947" s="55"/>
      <c r="G947" s="55"/>
      <c r="H947" s="55"/>
      <c r="I947" s="55"/>
      <c r="J947" s="55"/>
      <c r="K947" s="55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</row>
    <row r="948">
      <c r="A948" s="38"/>
      <c r="B948" s="38"/>
      <c r="C948" s="38"/>
      <c r="D948" s="38"/>
      <c r="E948" s="38"/>
      <c r="F948" s="55"/>
      <c r="G948" s="55"/>
      <c r="H948" s="55"/>
      <c r="I948" s="55"/>
      <c r="J948" s="55"/>
      <c r="K948" s="55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</row>
    <row r="949">
      <c r="A949" s="38"/>
      <c r="B949" s="38"/>
      <c r="C949" s="38"/>
      <c r="D949" s="38"/>
      <c r="E949" s="38"/>
      <c r="F949" s="55"/>
      <c r="G949" s="55"/>
      <c r="H949" s="55"/>
      <c r="I949" s="55"/>
      <c r="J949" s="55"/>
      <c r="K949" s="55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</row>
    <row r="950">
      <c r="A950" s="38"/>
      <c r="B950" s="38"/>
      <c r="C950" s="38"/>
      <c r="D950" s="38"/>
      <c r="E950" s="38"/>
      <c r="F950" s="55"/>
      <c r="G950" s="55"/>
      <c r="H950" s="55"/>
      <c r="I950" s="55"/>
      <c r="J950" s="55"/>
      <c r="K950" s="55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</row>
    <row r="951">
      <c r="A951" s="38"/>
      <c r="B951" s="38"/>
      <c r="C951" s="38"/>
      <c r="D951" s="38"/>
      <c r="E951" s="38"/>
      <c r="F951" s="55"/>
      <c r="G951" s="55"/>
      <c r="H951" s="55"/>
      <c r="I951" s="55"/>
      <c r="J951" s="55"/>
      <c r="K951" s="55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</row>
    <row r="952">
      <c r="A952" s="38"/>
      <c r="B952" s="38"/>
      <c r="C952" s="38"/>
      <c r="D952" s="38"/>
      <c r="E952" s="38"/>
      <c r="F952" s="55"/>
      <c r="G952" s="55"/>
      <c r="H952" s="55"/>
      <c r="I952" s="55"/>
      <c r="J952" s="55"/>
      <c r="K952" s="55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</row>
    <row r="953">
      <c r="A953" s="38"/>
      <c r="B953" s="38"/>
      <c r="C953" s="38"/>
      <c r="D953" s="38"/>
      <c r="E953" s="38"/>
      <c r="F953" s="55"/>
      <c r="G953" s="55"/>
      <c r="H953" s="55"/>
      <c r="I953" s="55"/>
      <c r="J953" s="55"/>
      <c r="K953" s="55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</row>
    <row r="954">
      <c r="A954" s="38"/>
      <c r="B954" s="38"/>
      <c r="C954" s="38"/>
      <c r="D954" s="38"/>
      <c r="E954" s="38"/>
      <c r="F954" s="55"/>
      <c r="G954" s="55"/>
      <c r="H954" s="55"/>
      <c r="I954" s="55"/>
      <c r="J954" s="55"/>
      <c r="K954" s="55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</row>
    <row r="955">
      <c r="A955" s="38"/>
      <c r="B955" s="38"/>
      <c r="C955" s="38"/>
      <c r="D955" s="38"/>
      <c r="E955" s="38"/>
      <c r="F955" s="55"/>
      <c r="G955" s="55"/>
      <c r="H955" s="55"/>
      <c r="I955" s="55"/>
      <c r="J955" s="55"/>
      <c r="K955" s="55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</row>
    <row r="956">
      <c r="A956" s="38"/>
      <c r="B956" s="38"/>
      <c r="C956" s="38"/>
      <c r="D956" s="38"/>
      <c r="E956" s="38"/>
      <c r="F956" s="55"/>
      <c r="G956" s="55"/>
      <c r="H956" s="55"/>
      <c r="I956" s="55"/>
      <c r="J956" s="55"/>
      <c r="K956" s="55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</row>
    <row r="957">
      <c r="A957" s="38"/>
      <c r="B957" s="38"/>
      <c r="C957" s="38"/>
      <c r="D957" s="38"/>
      <c r="E957" s="38"/>
      <c r="F957" s="55"/>
      <c r="G957" s="55"/>
      <c r="H957" s="55"/>
      <c r="I957" s="55"/>
      <c r="J957" s="55"/>
      <c r="K957" s="55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</row>
    <row r="958">
      <c r="A958" s="38"/>
      <c r="B958" s="38"/>
      <c r="C958" s="38"/>
      <c r="D958" s="38"/>
      <c r="E958" s="38"/>
      <c r="F958" s="55"/>
      <c r="G958" s="55"/>
      <c r="H958" s="55"/>
      <c r="I958" s="55"/>
      <c r="J958" s="55"/>
      <c r="K958" s="55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</row>
    <row r="959">
      <c r="A959" s="38"/>
      <c r="B959" s="38"/>
      <c r="C959" s="38"/>
      <c r="D959" s="38"/>
      <c r="E959" s="38"/>
      <c r="F959" s="55"/>
      <c r="G959" s="55"/>
      <c r="H959" s="55"/>
      <c r="I959" s="55"/>
      <c r="J959" s="55"/>
      <c r="K959" s="55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</row>
    <row r="960">
      <c r="A960" s="38"/>
      <c r="B960" s="38"/>
      <c r="C960" s="38"/>
      <c r="D960" s="38"/>
      <c r="E960" s="38"/>
      <c r="F960" s="55"/>
      <c r="G960" s="55"/>
      <c r="H960" s="55"/>
      <c r="I960" s="55"/>
      <c r="J960" s="55"/>
      <c r="K960" s="55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</row>
    <row r="961">
      <c r="A961" s="38"/>
      <c r="B961" s="38"/>
      <c r="C961" s="38"/>
      <c r="D961" s="38"/>
      <c r="E961" s="38"/>
      <c r="F961" s="55"/>
      <c r="G961" s="55"/>
      <c r="H961" s="55"/>
      <c r="I961" s="55"/>
      <c r="J961" s="55"/>
      <c r="K961" s="55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</row>
    <row r="962">
      <c r="A962" s="38"/>
      <c r="B962" s="38"/>
      <c r="C962" s="38"/>
      <c r="D962" s="38"/>
      <c r="E962" s="38"/>
      <c r="F962" s="55"/>
      <c r="G962" s="55"/>
      <c r="H962" s="55"/>
      <c r="I962" s="55"/>
      <c r="J962" s="55"/>
      <c r="K962" s="55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</row>
    <row r="963">
      <c r="A963" s="38"/>
      <c r="B963" s="38"/>
      <c r="C963" s="38"/>
      <c r="D963" s="38"/>
      <c r="E963" s="38"/>
      <c r="F963" s="55"/>
      <c r="G963" s="55"/>
      <c r="H963" s="55"/>
      <c r="I963" s="55"/>
      <c r="J963" s="55"/>
      <c r="K963" s="55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</row>
    <row r="964">
      <c r="A964" s="38"/>
      <c r="B964" s="38"/>
      <c r="C964" s="38"/>
      <c r="D964" s="38"/>
      <c r="E964" s="38"/>
      <c r="F964" s="55"/>
      <c r="G964" s="55"/>
      <c r="H964" s="55"/>
      <c r="I964" s="55"/>
      <c r="J964" s="55"/>
      <c r="K964" s="55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</row>
    <row r="965">
      <c r="A965" s="38"/>
      <c r="B965" s="38"/>
      <c r="C965" s="38"/>
      <c r="D965" s="38"/>
      <c r="E965" s="38"/>
      <c r="F965" s="55"/>
      <c r="G965" s="55"/>
      <c r="H965" s="55"/>
      <c r="I965" s="55"/>
      <c r="J965" s="55"/>
      <c r="K965" s="55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</row>
    <row r="966">
      <c r="A966" s="38"/>
      <c r="B966" s="38"/>
      <c r="C966" s="38"/>
      <c r="D966" s="38"/>
      <c r="E966" s="38"/>
      <c r="F966" s="55"/>
      <c r="G966" s="55"/>
      <c r="H966" s="55"/>
      <c r="I966" s="55"/>
      <c r="J966" s="55"/>
      <c r="K966" s="55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</row>
    <row r="967">
      <c r="A967" s="38"/>
      <c r="B967" s="38"/>
      <c r="C967" s="38"/>
      <c r="D967" s="38"/>
      <c r="E967" s="38"/>
      <c r="F967" s="55"/>
      <c r="G967" s="55"/>
      <c r="H967" s="55"/>
      <c r="I967" s="55"/>
      <c r="J967" s="55"/>
      <c r="K967" s="55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</row>
    <row r="968">
      <c r="A968" s="38"/>
      <c r="B968" s="38"/>
      <c r="C968" s="38"/>
      <c r="D968" s="38"/>
      <c r="E968" s="38"/>
      <c r="F968" s="55"/>
      <c r="G968" s="55"/>
      <c r="H968" s="55"/>
      <c r="I968" s="55"/>
      <c r="J968" s="55"/>
      <c r="K968" s="55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</row>
    <row r="969">
      <c r="A969" s="38"/>
      <c r="B969" s="38"/>
      <c r="C969" s="38"/>
      <c r="D969" s="38"/>
      <c r="E969" s="38"/>
      <c r="F969" s="55"/>
      <c r="G969" s="55"/>
      <c r="H969" s="55"/>
      <c r="I969" s="55"/>
      <c r="J969" s="55"/>
      <c r="K969" s="55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</row>
    <row r="970">
      <c r="A970" s="38"/>
      <c r="B970" s="38"/>
      <c r="C970" s="38"/>
      <c r="D970" s="38"/>
      <c r="E970" s="38"/>
      <c r="F970" s="55"/>
      <c r="G970" s="55"/>
      <c r="H970" s="55"/>
      <c r="I970" s="55"/>
      <c r="J970" s="55"/>
      <c r="K970" s="55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</row>
    <row r="971">
      <c r="A971" s="38"/>
      <c r="B971" s="38"/>
      <c r="C971" s="38"/>
      <c r="D971" s="38"/>
      <c r="E971" s="38"/>
      <c r="F971" s="55"/>
      <c r="G971" s="55"/>
      <c r="H971" s="55"/>
      <c r="I971" s="55"/>
      <c r="J971" s="55"/>
      <c r="K971" s="55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</row>
    <row r="972">
      <c r="A972" s="38"/>
      <c r="B972" s="38"/>
      <c r="C972" s="38"/>
      <c r="D972" s="38"/>
      <c r="E972" s="38"/>
      <c r="F972" s="55"/>
      <c r="G972" s="55"/>
      <c r="H972" s="55"/>
      <c r="I972" s="55"/>
      <c r="J972" s="55"/>
      <c r="K972" s="55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</row>
    <row r="973">
      <c r="A973" s="38"/>
      <c r="B973" s="38"/>
      <c r="C973" s="38"/>
      <c r="D973" s="38"/>
      <c r="E973" s="38"/>
      <c r="F973" s="55"/>
      <c r="G973" s="55"/>
      <c r="H973" s="55"/>
      <c r="I973" s="55"/>
      <c r="J973" s="55"/>
      <c r="K973" s="55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</row>
    <row r="974">
      <c r="A974" s="38"/>
      <c r="B974" s="38"/>
      <c r="C974" s="38"/>
      <c r="D974" s="38"/>
      <c r="E974" s="38"/>
      <c r="F974" s="55"/>
      <c r="G974" s="55"/>
      <c r="H974" s="55"/>
      <c r="I974" s="55"/>
      <c r="J974" s="55"/>
      <c r="K974" s="55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</row>
    <row r="975">
      <c r="A975" s="38"/>
      <c r="B975" s="38"/>
      <c r="C975" s="38"/>
      <c r="D975" s="38"/>
      <c r="E975" s="38"/>
      <c r="F975" s="55"/>
      <c r="G975" s="55"/>
      <c r="H975" s="55"/>
      <c r="I975" s="55"/>
      <c r="J975" s="55"/>
      <c r="K975" s="55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</row>
    <row r="976">
      <c r="A976" s="38"/>
      <c r="B976" s="38"/>
      <c r="C976" s="38"/>
      <c r="D976" s="38"/>
      <c r="E976" s="38"/>
      <c r="F976" s="55"/>
      <c r="G976" s="55"/>
      <c r="H976" s="55"/>
      <c r="I976" s="55"/>
      <c r="J976" s="55"/>
      <c r="K976" s="55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</row>
    <row r="977">
      <c r="A977" s="38"/>
      <c r="B977" s="38"/>
      <c r="C977" s="38"/>
      <c r="D977" s="38"/>
      <c r="E977" s="38"/>
      <c r="F977" s="55"/>
      <c r="G977" s="55"/>
      <c r="H977" s="55"/>
      <c r="I977" s="55"/>
      <c r="J977" s="55"/>
      <c r="K977" s="55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</row>
    <row r="978">
      <c r="A978" s="38"/>
      <c r="B978" s="38"/>
      <c r="C978" s="38"/>
      <c r="D978" s="38"/>
      <c r="E978" s="38"/>
      <c r="F978" s="55"/>
      <c r="G978" s="55"/>
      <c r="H978" s="55"/>
      <c r="I978" s="55"/>
      <c r="J978" s="55"/>
      <c r="K978" s="55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</row>
    <row r="979">
      <c r="A979" s="38"/>
      <c r="B979" s="38"/>
      <c r="C979" s="38"/>
      <c r="D979" s="38"/>
      <c r="E979" s="38"/>
      <c r="F979" s="55"/>
      <c r="G979" s="55"/>
      <c r="H979" s="55"/>
      <c r="I979" s="55"/>
      <c r="J979" s="55"/>
      <c r="K979" s="55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</row>
    <row r="980">
      <c r="A980" s="38"/>
      <c r="B980" s="38"/>
      <c r="C980" s="38"/>
      <c r="D980" s="38"/>
      <c r="E980" s="38"/>
      <c r="F980" s="55"/>
      <c r="G980" s="55"/>
      <c r="H980" s="55"/>
      <c r="I980" s="55"/>
      <c r="J980" s="55"/>
      <c r="K980" s="55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</row>
    <row r="981">
      <c r="A981" s="38"/>
      <c r="B981" s="38"/>
      <c r="C981" s="38"/>
      <c r="D981" s="38"/>
      <c r="E981" s="38"/>
      <c r="F981" s="55"/>
      <c r="G981" s="55"/>
      <c r="H981" s="55"/>
      <c r="I981" s="55"/>
      <c r="J981" s="55"/>
      <c r="K981" s="55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</row>
    <row r="982">
      <c r="A982" s="38"/>
      <c r="B982" s="38"/>
      <c r="C982" s="38"/>
      <c r="D982" s="38"/>
      <c r="E982" s="38"/>
      <c r="F982" s="55"/>
      <c r="G982" s="55"/>
      <c r="H982" s="55"/>
      <c r="I982" s="55"/>
      <c r="J982" s="55"/>
      <c r="K982" s="55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</row>
    <row r="983">
      <c r="A983" s="38"/>
      <c r="B983" s="38"/>
      <c r="C983" s="38"/>
      <c r="D983" s="38"/>
      <c r="E983" s="38"/>
      <c r="F983" s="55"/>
      <c r="G983" s="55"/>
      <c r="H983" s="55"/>
      <c r="I983" s="55"/>
      <c r="J983" s="55"/>
      <c r="K983" s="55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</row>
    <row r="984">
      <c r="A984" s="38"/>
      <c r="B984" s="38"/>
      <c r="C984" s="38"/>
      <c r="D984" s="38"/>
      <c r="E984" s="38"/>
      <c r="F984" s="55"/>
      <c r="G984" s="55"/>
      <c r="H984" s="55"/>
      <c r="I984" s="55"/>
      <c r="J984" s="55"/>
      <c r="K984" s="55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</row>
    <row r="985">
      <c r="A985" s="38"/>
      <c r="B985" s="38"/>
      <c r="C985" s="38"/>
      <c r="D985" s="38"/>
      <c r="E985" s="38"/>
      <c r="F985" s="55"/>
      <c r="G985" s="55"/>
      <c r="H985" s="55"/>
      <c r="I985" s="55"/>
      <c r="J985" s="55"/>
      <c r="K985" s="55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</row>
    <row r="986">
      <c r="A986" s="38"/>
      <c r="B986" s="38"/>
      <c r="C986" s="38"/>
      <c r="D986" s="38"/>
      <c r="E986" s="38"/>
      <c r="F986" s="55"/>
      <c r="G986" s="55"/>
      <c r="H986" s="55"/>
      <c r="I986" s="55"/>
      <c r="J986" s="55"/>
      <c r="K986" s="55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</row>
    <row r="987">
      <c r="A987" s="38"/>
      <c r="B987" s="38"/>
      <c r="C987" s="38"/>
      <c r="D987" s="38"/>
      <c r="E987" s="38"/>
      <c r="F987" s="55"/>
      <c r="G987" s="55"/>
      <c r="H987" s="55"/>
      <c r="I987" s="55"/>
      <c r="J987" s="55"/>
      <c r="K987" s="55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</row>
    <row r="988">
      <c r="A988" s="38"/>
      <c r="B988" s="38"/>
      <c r="C988" s="38"/>
      <c r="D988" s="38"/>
      <c r="E988" s="38"/>
      <c r="F988" s="55"/>
      <c r="G988" s="55"/>
      <c r="H988" s="55"/>
      <c r="I988" s="55"/>
      <c r="J988" s="55"/>
      <c r="K988" s="55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</row>
    <row r="989">
      <c r="A989" s="38"/>
      <c r="B989" s="38"/>
      <c r="C989" s="38"/>
      <c r="D989" s="38"/>
      <c r="E989" s="38"/>
      <c r="F989" s="55"/>
      <c r="G989" s="55"/>
      <c r="H989" s="55"/>
      <c r="I989" s="55"/>
      <c r="J989" s="55"/>
      <c r="K989" s="55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</row>
    <row r="990">
      <c r="A990" s="38"/>
      <c r="B990" s="38"/>
      <c r="C990" s="38"/>
      <c r="D990" s="38"/>
      <c r="E990" s="38"/>
      <c r="F990" s="55"/>
      <c r="G990" s="55"/>
      <c r="H990" s="55"/>
      <c r="I990" s="55"/>
      <c r="J990" s="55"/>
      <c r="K990" s="55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</row>
    <row r="991">
      <c r="A991" s="38"/>
      <c r="B991" s="38"/>
      <c r="C991" s="38"/>
      <c r="D991" s="38"/>
      <c r="E991" s="38"/>
      <c r="F991" s="55"/>
      <c r="G991" s="55"/>
      <c r="H991" s="55"/>
      <c r="I991" s="55"/>
      <c r="J991" s="55"/>
      <c r="K991" s="55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</row>
    <row r="992">
      <c r="A992" s="38"/>
      <c r="B992" s="38"/>
      <c r="C992" s="38"/>
      <c r="D992" s="38"/>
      <c r="E992" s="38"/>
      <c r="F992" s="55"/>
      <c r="G992" s="55"/>
      <c r="H992" s="55"/>
      <c r="I992" s="55"/>
      <c r="J992" s="55"/>
      <c r="K992" s="55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</row>
    <row r="993">
      <c r="A993" s="38"/>
      <c r="B993" s="38"/>
      <c r="C993" s="38"/>
      <c r="D993" s="38"/>
      <c r="E993" s="38"/>
      <c r="F993" s="55"/>
      <c r="G993" s="55"/>
      <c r="H993" s="55"/>
      <c r="I993" s="55"/>
      <c r="J993" s="55"/>
      <c r="K993" s="55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</row>
    <row r="994">
      <c r="A994" s="38"/>
      <c r="B994" s="38"/>
      <c r="C994" s="38"/>
      <c r="D994" s="38"/>
      <c r="E994" s="38"/>
      <c r="F994" s="55"/>
      <c r="G994" s="55"/>
      <c r="H994" s="55"/>
      <c r="I994" s="55"/>
      <c r="J994" s="55"/>
      <c r="K994" s="55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</row>
    <row r="995">
      <c r="A995" s="38"/>
      <c r="B995" s="38"/>
      <c r="C995" s="38"/>
      <c r="D995" s="38"/>
      <c r="E995" s="38"/>
      <c r="F995" s="55"/>
      <c r="G995" s="55"/>
      <c r="H995" s="55"/>
      <c r="I995" s="55"/>
      <c r="J995" s="55"/>
      <c r="K995" s="55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</row>
    <row r="996">
      <c r="A996" s="38"/>
      <c r="B996" s="38"/>
      <c r="C996" s="38"/>
      <c r="D996" s="38"/>
      <c r="E996" s="38"/>
      <c r="F996" s="55"/>
      <c r="G996" s="55"/>
      <c r="H996" s="55"/>
      <c r="I996" s="55"/>
      <c r="J996" s="55"/>
      <c r="K996" s="55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</row>
    <row r="997">
      <c r="A997" s="38"/>
      <c r="B997" s="38"/>
      <c r="C997" s="38"/>
      <c r="D997" s="38"/>
      <c r="E997" s="38"/>
      <c r="F997" s="55"/>
      <c r="G997" s="55"/>
      <c r="H997" s="55"/>
      <c r="I997" s="55"/>
      <c r="J997" s="55"/>
      <c r="K997" s="55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</row>
    <row r="998">
      <c r="A998" s="38"/>
      <c r="B998" s="38"/>
      <c r="C998" s="38"/>
      <c r="D998" s="38"/>
      <c r="E998" s="38"/>
      <c r="F998" s="55"/>
      <c r="G998" s="55"/>
      <c r="H998" s="55"/>
      <c r="I998" s="55"/>
      <c r="J998" s="55"/>
      <c r="K998" s="55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</row>
    <row r="999">
      <c r="A999" s="38"/>
      <c r="B999" s="38"/>
      <c r="C999" s="38"/>
      <c r="D999" s="38"/>
      <c r="E999" s="38"/>
      <c r="F999" s="55"/>
      <c r="G999" s="55"/>
      <c r="H999" s="55"/>
      <c r="I999" s="55"/>
      <c r="J999" s="55"/>
      <c r="K999" s="55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</row>
    <row r="1000">
      <c r="A1000" s="38"/>
      <c r="B1000" s="38"/>
      <c r="C1000" s="38"/>
      <c r="D1000" s="38"/>
      <c r="E1000" s="38"/>
      <c r="F1000" s="55"/>
      <c r="G1000" s="55"/>
      <c r="H1000" s="55"/>
      <c r="I1000" s="55"/>
      <c r="J1000" s="55"/>
      <c r="K1000" s="55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</row>
    <row r="1001">
      <c r="A1001" s="38"/>
      <c r="B1001" s="38"/>
      <c r="C1001" s="38"/>
      <c r="D1001" s="38"/>
      <c r="E1001" s="38"/>
      <c r="F1001" s="55"/>
      <c r="G1001" s="55"/>
      <c r="H1001" s="55"/>
      <c r="I1001" s="55"/>
      <c r="J1001" s="55"/>
      <c r="K1001" s="55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</row>
    <row r="1002">
      <c r="A1002" s="38"/>
      <c r="B1002" s="38"/>
      <c r="C1002" s="38"/>
      <c r="D1002" s="38"/>
      <c r="E1002" s="38"/>
      <c r="F1002" s="55"/>
      <c r="G1002" s="55"/>
      <c r="H1002" s="55"/>
      <c r="I1002" s="55"/>
      <c r="J1002" s="55"/>
      <c r="K1002" s="55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</row>
    <row r="1003">
      <c r="A1003" s="38"/>
      <c r="B1003" s="38"/>
      <c r="C1003" s="38"/>
      <c r="D1003" s="38"/>
      <c r="E1003" s="38"/>
      <c r="F1003" s="55"/>
      <c r="G1003" s="55"/>
      <c r="H1003" s="55"/>
      <c r="I1003" s="55"/>
      <c r="J1003" s="55"/>
      <c r="K1003" s="55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</row>
    <row r="1004">
      <c r="A1004" s="38"/>
      <c r="B1004" s="38"/>
      <c r="C1004" s="38"/>
      <c r="D1004" s="38"/>
      <c r="E1004" s="38"/>
      <c r="F1004" s="55"/>
      <c r="G1004" s="55"/>
      <c r="H1004" s="55"/>
      <c r="I1004" s="55"/>
      <c r="J1004" s="55"/>
      <c r="K1004" s="55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</row>
    <row r="1005">
      <c r="A1005" s="38"/>
      <c r="B1005" s="38"/>
      <c r="C1005" s="38"/>
      <c r="D1005" s="38"/>
      <c r="E1005" s="38"/>
      <c r="F1005" s="55"/>
      <c r="G1005" s="55"/>
      <c r="H1005" s="55"/>
      <c r="I1005" s="55"/>
      <c r="J1005" s="55"/>
      <c r="K1005" s="55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</row>
    <row r="1006">
      <c r="A1006" s="38"/>
      <c r="B1006" s="38"/>
      <c r="C1006" s="38"/>
      <c r="D1006" s="38"/>
      <c r="E1006" s="38"/>
      <c r="F1006" s="55"/>
      <c r="G1006" s="55"/>
      <c r="H1006" s="55"/>
      <c r="I1006" s="55"/>
      <c r="J1006" s="55"/>
      <c r="K1006" s="55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</row>
    <row r="1007">
      <c r="A1007" s="38"/>
      <c r="B1007" s="38"/>
      <c r="C1007" s="38"/>
      <c r="D1007" s="38"/>
      <c r="E1007" s="38"/>
      <c r="F1007" s="55"/>
      <c r="G1007" s="55"/>
      <c r="H1007" s="55"/>
      <c r="I1007" s="55"/>
      <c r="J1007" s="55"/>
      <c r="K1007" s="55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</row>
    <row r="1008">
      <c r="A1008" s="38"/>
      <c r="B1008" s="38"/>
      <c r="C1008" s="38"/>
      <c r="D1008" s="38"/>
      <c r="E1008" s="38"/>
      <c r="F1008" s="55"/>
      <c r="G1008" s="55"/>
      <c r="H1008" s="55"/>
      <c r="I1008" s="55"/>
      <c r="J1008" s="55"/>
      <c r="K1008" s="55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</row>
    <row r="1009">
      <c r="A1009" s="38"/>
      <c r="B1009" s="38"/>
      <c r="C1009" s="38"/>
      <c r="D1009" s="38"/>
      <c r="E1009" s="38"/>
      <c r="F1009" s="55"/>
      <c r="G1009" s="55"/>
      <c r="H1009" s="55"/>
      <c r="I1009" s="55"/>
      <c r="J1009" s="55"/>
      <c r="K1009" s="55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</row>
    <row r="1010">
      <c r="A1010" s="38"/>
      <c r="B1010" s="38"/>
      <c r="C1010" s="38"/>
      <c r="D1010" s="38"/>
      <c r="E1010" s="38"/>
      <c r="F1010" s="55"/>
      <c r="G1010" s="55"/>
      <c r="H1010" s="55"/>
      <c r="I1010" s="55"/>
      <c r="J1010" s="55"/>
      <c r="K1010" s="55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</row>
    <row r="1011">
      <c r="A1011" s="38"/>
      <c r="B1011" s="38"/>
      <c r="C1011" s="38"/>
      <c r="D1011" s="38"/>
      <c r="E1011" s="38"/>
      <c r="F1011" s="55"/>
      <c r="G1011" s="55"/>
      <c r="H1011" s="55"/>
      <c r="I1011" s="55"/>
      <c r="J1011" s="55"/>
      <c r="K1011" s="55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</row>
    <row r="1012">
      <c r="A1012" s="38"/>
      <c r="B1012" s="38"/>
      <c r="C1012" s="38"/>
      <c r="D1012" s="38"/>
      <c r="E1012" s="38"/>
      <c r="F1012" s="55"/>
      <c r="G1012" s="55"/>
      <c r="H1012" s="55"/>
      <c r="I1012" s="55"/>
      <c r="J1012" s="55"/>
      <c r="K1012" s="55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</row>
    <row r="1013">
      <c r="A1013" s="38"/>
      <c r="B1013" s="38"/>
      <c r="C1013" s="38"/>
      <c r="D1013" s="38"/>
      <c r="E1013" s="38"/>
      <c r="F1013" s="55"/>
      <c r="G1013" s="55"/>
      <c r="H1013" s="55"/>
      <c r="I1013" s="55"/>
      <c r="J1013" s="55"/>
      <c r="K1013" s="55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</row>
    <row r="1014">
      <c r="A1014" s="38"/>
      <c r="B1014" s="38"/>
      <c r="C1014" s="38"/>
      <c r="D1014" s="38"/>
      <c r="E1014" s="38"/>
      <c r="F1014" s="55"/>
      <c r="G1014" s="55"/>
      <c r="H1014" s="55"/>
      <c r="I1014" s="55"/>
      <c r="J1014" s="55"/>
      <c r="K1014" s="55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</row>
    <row r="1015">
      <c r="A1015" s="38"/>
      <c r="B1015" s="38"/>
      <c r="C1015" s="38"/>
      <c r="D1015" s="38"/>
      <c r="E1015" s="38"/>
      <c r="F1015" s="55"/>
      <c r="G1015" s="55"/>
      <c r="H1015" s="55"/>
      <c r="I1015" s="55"/>
      <c r="J1015" s="55"/>
      <c r="K1015" s="55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</row>
    <row r="1016">
      <c r="A1016" s="38"/>
      <c r="B1016" s="38"/>
      <c r="C1016" s="38"/>
      <c r="D1016" s="38"/>
      <c r="E1016" s="38"/>
      <c r="F1016" s="55"/>
      <c r="G1016" s="55"/>
      <c r="H1016" s="55"/>
      <c r="I1016" s="55"/>
      <c r="J1016" s="55"/>
      <c r="K1016" s="55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</row>
    <row r="1017">
      <c r="A1017" s="38"/>
      <c r="B1017" s="38"/>
      <c r="C1017" s="38"/>
      <c r="D1017" s="38"/>
      <c r="E1017" s="38"/>
      <c r="F1017" s="55"/>
      <c r="G1017" s="55"/>
      <c r="H1017" s="55"/>
      <c r="I1017" s="55"/>
      <c r="J1017" s="55"/>
      <c r="K1017" s="55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</row>
    <row r="1018">
      <c r="A1018" s="38"/>
      <c r="B1018" s="38"/>
      <c r="C1018" s="38"/>
      <c r="D1018" s="38"/>
      <c r="E1018" s="38"/>
      <c r="F1018" s="55"/>
      <c r="G1018" s="55"/>
      <c r="H1018" s="55"/>
      <c r="I1018" s="55"/>
      <c r="J1018" s="55"/>
      <c r="K1018" s="55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</row>
    <row r="1019">
      <c r="A1019" s="38"/>
      <c r="B1019" s="38"/>
      <c r="C1019" s="38"/>
      <c r="D1019" s="38"/>
      <c r="E1019" s="38"/>
      <c r="F1019" s="55"/>
      <c r="G1019" s="55"/>
      <c r="H1019" s="55"/>
      <c r="I1019" s="55"/>
      <c r="J1019" s="55"/>
      <c r="K1019" s="55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</row>
    <row r="1020">
      <c r="A1020" s="38"/>
      <c r="B1020" s="38"/>
      <c r="C1020" s="38"/>
      <c r="D1020" s="38"/>
      <c r="E1020" s="38"/>
      <c r="F1020" s="55"/>
      <c r="G1020" s="55"/>
      <c r="H1020" s="55"/>
      <c r="I1020" s="55"/>
      <c r="J1020" s="55"/>
      <c r="K1020" s="55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</row>
    <row r="1021">
      <c r="A1021" s="38"/>
      <c r="B1021" s="38"/>
      <c r="C1021" s="38"/>
      <c r="D1021" s="38"/>
      <c r="E1021" s="38"/>
      <c r="F1021" s="55"/>
      <c r="G1021" s="55"/>
      <c r="H1021" s="55"/>
      <c r="I1021" s="55"/>
      <c r="J1021" s="55"/>
      <c r="K1021" s="55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</row>
    <row r="1022">
      <c r="A1022" s="38"/>
      <c r="B1022" s="38"/>
      <c r="C1022" s="38"/>
      <c r="D1022" s="38"/>
      <c r="E1022" s="38"/>
      <c r="F1022" s="55"/>
      <c r="G1022" s="55"/>
      <c r="H1022" s="55"/>
      <c r="I1022" s="55"/>
      <c r="J1022" s="55"/>
      <c r="K1022" s="55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</row>
    <row r="1023">
      <c r="A1023" s="38"/>
      <c r="B1023" s="38"/>
      <c r="C1023" s="38"/>
      <c r="D1023" s="38"/>
      <c r="E1023" s="38"/>
      <c r="F1023" s="55"/>
      <c r="G1023" s="55"/>
      <c r="H1023" s="55"/>
      <c r="I1023" s="55"/>
      <c r="J1023" s="55"/>
      <c r="K1023" s="55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</row>
    <row r="1024">
      <c r="A1024" s="38"/>
      <c r="B1024" s="38"/>
      <c r="C1024" s="38"/>
      <c r="D1024" s="38"/>
      <c r="E1024" s="38"/>
      <c r="F1024" s="55"/>
      <c r="G1024" s="55"/>
      <c r="H1024" s="55"/>
      <c r="I1024" s="55"/>
      <c r="J1024" s="55"/>
      <c r="K1024" s="55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</row>
    <row r="1025">
      <c r="A1025" s="38"/>
      <c r="B1025" s="38"/>
      <c r="C1025" s="38"/>
      <c r="D1025" s="38"/>
      <c r="E1025" s="38"/>
      <c r="F1025" s="55"/>
      <c r="G1025" s="55"/>
      <c r="H1025" s="55"/>
      <c r="I1025" s="55"/>
      <c r="J1025" s="55"/>
      <c r="K1025" s="55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</row>
    <row r="1026">
      <c r="A1026" s="38"/>
      <c r="B1026" s="38"/>
      <c r="C1026" s="38"/>
      <c r="D1026" s="38"/>
      <c r="E1026" s="38"/>
      <c r="F1026" s="55"/>
      <c r="G1026" s="55"/>
      <c r="H1026" s="55"/>
      <c r="I1026" s="55"/>
      <c r="J1026" s="55"/>
      <c r="K1026" s="55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</row>
    <row r="1027">
      <c r="A1027" s="38"/>
      <c r="B1027" s="38"/>
      <c r="C1027" s="38"/>
      <c r="D1027" s="38"/>
      <c r="E1027" s="38"/>
      <c r="F1027" s="55"/>
      <c r="G1027" s="55"/>
      <c r="H1027" s="55"/>
      <c r="I1027" s="55"/>
      <c r="J1027" s="55"/>
      <c r="K1027" s="55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</row>
    <row r="1028">
      <c r="A1028" s="38"/>
      <c r="B1028" s="38"/>
      <c r="C1028" s="38"/>
      <c r="D1028" s="38"/>
      <c r="E1028" s="38"/>
      <c r="F1028" s="55"/>
      <c r="G1028" s="55"/>
      <c r="H1028" s="55"/>
      <c r="I1028" s="55"/>
      <c r="J1028" s="55"/>
      <c r="K1028" s="55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</row>
    <row r="1029">
      <c r="A1029" s="38"/>
      <c r="B1029" s="38"/>
      <c r="C1029" s="38"/>
      <c r="D1029" s="38"/>
      <c r="E1029" s="38"/>
      <c r="F1029" s="55"/>
      <c r="G1029" s="55"/>
      <c r="H1029" s="55"/>
      <c r="I1029" s="55"/>
      <c r="J1029" s="55"/>
      <c r="K1029" s="55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75"/>
    <col customWidth="1" min="3" max="3" width="30.75"/>
    <col customWidth="1" min="4" max="4" width="32.13"/>
  </cols>
  <sheetData>
    <row r="1">
      <c r="A1" s="20"/>
      <c r="B1" s="20"/>
      <c r="C1" s="20"/>
      <c r="D1" s="20"/>
      <c r="E1" s="21"/>
      <c r="F1" s="63">
        <v>45658.0</v>
      </c>
      <c r="G1" s="63">
        <v>45689.0</v>
      </c>
      <c r="H1" s="63">
        <v>45717.0</v>
      </c>
      <c r="I1" s="63">
        <v>45748.0</v>
      </c>
      <c r="J1" s="63">
        <v>45778.0</v>
      </c>
      <c r="K1" s="63">
        <v>45809.0</v>
      </c>
      <c r="L1" s="64">
        <v>45839.0</v>
      </c>
      <c r="M1" s="64">
        <v>45870.0</v>
      </c>
      <c r="N1" s="64">
        <v>45901.0</v>
      </c>
      <c r="O1" s="64">
        <v>45931.0</v>
      </c>
      <c r="P1" s="64">
        <v>45962.0</v>
      </c>
      <c r="Q1" s="64">
        <v>45992.0</v>
      </c>
      <c r="R1" s="65" t="s">
        <v>10</v>
      </c>
      <c r="S1" s="65" t="s">
        <v>10</v>
      </c>
      <c r="T1" s="64">
        <v>46023.0</v>
      </c>
      <c r="U1" s="64">
        <v>46054.0</v>
      </c>
      <c r="V1" s="64">
        <v>46082.0</v>
      </c>
      <c r="W1" s="64">
        <v>46113.0</v>
      </c>
      <c r="X1" s="64">
        <v>46143.0</v>
      </c>
      <c r="Y1" s="64">
        <v>46174.0</v>
      </c>
      <c r="Z1" s="64">
        <v>46204.0</v>
      </c>
      <c r="AA1" s="64">
        <v>46235.0</v>
      </c>
      <c r="AB1" s="64">
        <v>46266.0</v>
      </c>
      <c r="AC1" s="64">
        <v>46296.0</v>
      </c>
      <c r="AD1" s="64">
        <v>46327.0</v>
      </c>
      <c r="AE1" s="64">
        <v>46357.0</v>
      </c>
      <c r="AF1" s="65" t="s">
        <v>11</v>
      </c>
      <c r="AG1" s="65" t="s">
        <v>11</v>
      </c>
    </row>
    <row r="2">
      <c r="A2" s="27" t="s">
        <v>12</v>
      </c>
      <c r="B2" s="27" t="s">
        <v>13</v>
      </c>
      <c r="C2" s="27" t="s">
        <v>14</v>
      </c>
      <c r="D2" s="27" t="s">
        <v>15</v>
      </c>
      <c r="E2" s="27" t="s">
        <v>16</v>
      </c>
      <c r="F2" s="66" t="s">
        <v>17</v>
      </c>
      <c r="G2" s="66" t="s">
        <v>17</v>
      </c>
      <c r="H2" s="66" t="s">
        <v>17</v>
      </c>
      <c r="I2" s="66" t="s">
        <v>17</v>
      </c>
      <c r="J2" s="66" t="s">
        <v>17</v>
      </c>
      <c r="K2" s="66" t="s">
        <v>17</v>
      </c>
      <c r="L2" s="66" t="s">
        <v>17</v>
      </c>
      <c r="M2" s="66" t="s">
        <v>17</v>
      </c>
      <c r="N2" s="66" t="s">
        <v>17</v>
      </c>
      <c r="O2" s="67" t="s">
        <v>20</v>
      </c>
      <c r="P2" s="68" t="s">
        <v>20</v>
      </c>
      <c r="Q2" s="68" t="s">
        <v>20</v>
      </c>
      <c r="R2" s="65" t="s">
        <v>18</v>
      </c>
      <c r="S2" s="65" t="s">
        <v>19</v>
      </c>
      <c r="T2" s="68" t="s">
        <v>20</v>
      </c>
      <c r="U2" s="68" t="s">
        <v>20</v>
      </c>
      <c r="V2" s="68" t="s">
        <v>20</v>
      </c>
      <c r="W2" s="68" t="s">
        <v>20</v>
      </c>
      <c r="X2" s="68" t="s">
        <v>20</v>
      </c>
      <c r="Y2" s="68" t="s">
        <v>20</v>
      </c>
      <c r="Z2" s="68" t="s">
        <v>20</v>
      </c>
      <c r="AA2" s="68" t="s">
        <v>20</v>
      </c>
      <c r="AB2" s="68" t="s">
        <v>20</v>
      </c>
      <c r="AC2" s="68" t="s">
        <v>20</v>
      </c>
      <c r="AD2" s="68" t="s">
        <v>20</v>
      </c>
      <c r="AE2" s="68" t="s">
        <v>20</v>
      </c>
      <c r="AF2" s="65" t="s">
        <v>18</v>
      </c>
      <c r="AG2" s="65" t="s">
        <v>19</v>
      </c>
    </row>
    <row r="3">
      <c r="A3" s="33" t="s">
        <v>21</v>
      </c>
      <c r="B3" s="33" t="s">
        <v>22</v>
      </c>
      <c r="C3" s="33" t="s">
        <v>21</v>
      </c>
      <c r="D3" s="33"/>
      <c r="E3" s="33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70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70"/>
    </row>
    <row r="4">
      <c r="A4" s="33"/>
      <c r="B4" s="37" t="s">
        <v>23</v>
      </c>
      <c r="C4" s="38"/>
      <c r="D4" s="33"/>
      <c r="E4" s="33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70"/>
    </row>
    <row r="5">
      <c r="A5" s="33"/>
      <c r="B5" s="33"/>
      <c r="C5" s="33" t="s">
        <v>24</v>
      </c>
      <c r="D5" s="37" t="s">
        <v>25</v>
      </c>
      <c r="E5" s="33" t="s">
        <v>26</v>
      </c>
      <c r="F5" s="71"/>
      <c r="G5" s="69"/>
      <c r="H5" s="69"/>
      <c r="I5" s="69"/>
      <c r="J5" s="69"/>
      <c r="K5" s="71"/>
      <c r="L5" s="69"/>
      <c r="M5" s="69"/>
      <c r="N5" s="69"/>
      <c r="O5" s="69"/>
      <c r="P5" s="69"/>
      <c r="Q5" s="69"/>
      <c r="R5" s="69"/>
      <c r="S5" s="72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72"/>
    </row>
    <row r="6">
      <c r="A6" s="33"/>
      <c r="B6" s="33"/>
      <c r="C6" s="33" t="s">
        <v>27</v>
      </c>
      <c r="D6" s="37" t="s">
        <v>28</v>
      </c>
      <c r="E6" s="37" t="s">
        <v>29</v>
      </c>
      <c r="F6" s="71"/>
      <c r="G6" s="71"/>
      <c r="H6" s="71"/>
      <c r="I6" s="71"/>
      <c r="J6" s="71"/>
      <c r="K6" s="69"/>
      <c r="L6" s="69"/>
      <c r="M6" s="69"/>
      <c r="N6" s="69"/>
      <c r="O6" s="69"/>
      <c r="P6" s="69"/>
      <c r="Q6" s="69"/>
      <c r="R6" s="69"/>
      <c r="S6" s="72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2"/>
    </row>
    <row r="7">
      <c r="A7" s="33"/>
      <c r="B7" s="33"/>
      <c r="C7" s="33" t="s">
        <v>30</v>
      </c>
      <c r="D7" s="33" t="s">
        <v>31</v>
      </c>
      <c r="E7" s="33" t="s">
        <v>32</v>
      </c>
      <c r="F7" s="71"/>
      <c r="G7" s="71"/>
      <c r="H7" s="71"/>
      <c r="I7" s="71"/>
      <c r="J7" s="71"/>
      <c r="K7" s="69"/>
      <c r="L7" s="71"/>
      <c r="M7" s="71"/>
      <c r="N7" s="71"/>
      <c r="O7" s="71"/>
      <c r="P7" s="71"/>
      <c r="Q7" s="71"/>
      <c r="R7" s="69"/>
      <c r="S7" s="72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72"/>
    </row>
    <row r="8">
      <c r="A8" s="33"/>
      <c r="B8" s="37" t="s">
        <v>33</v>
      </c>
      <c r="C8" s="38"/>
      <c r="D8" s="33"/>
      <c r="E8" s="33"/>
      <c r="F8" s="73"/>
      <c r="G8" s="73"/>
      <c r="H8" s="73"/>
      <c r="I8" s="73"/>
      <c r="J8" s="73"/>
      <c r="K8" s="73"/>
      <c r="L8" s="72"/>
      <c r="M8" s="72"/>
      <c r="N8" s="72"/>
      <c r="O8" s="72"/>
      <c r="P8" s="72"/>
      <c r="Q8" s="72"/>
      <c r="R8" s="69"/>
      <c r="S8" s="72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69"/>
      <c r="AG8" s="72"/>
    </row>
    <row r="9">
      <c r="A9" s="33" t="s">
        <v>34</v>
      </c>
      <c r="B9" s="33" t="s">
        <v>22</v>
      </c>
      <c r="C9" s="39" t="s">
        <v>34</v>
      </c>
      <c r="D9" s="33"/>
      <c r="E9" s="33"/>
      <c r="F9" s="75"/>
      <c r="G9" s="75"/>
      <c r="H9" s="75"/>
      <c r="I9" s="75"/>
      <c r="J9" s="75"/>
      <c r="K9" s="75"/>
      <c r="L9" s="72"/>
      <c r="M9" s="72"/>
      <c r="N9" s="72"/>
      <c r="O9" s="72"/>
      <c r="P9" s="72"/>
      <c r="Q9" s="72"/>
      <c r="R9" s="69"/>
      <c r="S9" s="70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69"/>
      <c r="AG9" s="70"/>
    </row>
    <row r="10">
      <c r="A10" s="33"/>
      <c r="B10" s="33" t="s">
        <v>35</v>
      </c>
      <c r="C10" s="39" t="s">
        <v>36</v>
      </c>
      <c r="D10" s="33"/>
      <c r="E10" s="33"/>
      <c r="F10" s="76"/>
      <c r="G10" s="76"/>
      <c r="H10" s="76"/>
      <c r="I10" s="76"/>
      <c r="J10" s="76"/>
      <c r="K10" s="76"/>
      <c r="L10" s="69"/>
      <c r="M10" s="69"/>
      <c r="N10" s="69"/>
      <c r="O10" s="69"/>
      <c r="P10" s="69"/>
      <c r="Q10" s="69"/>
      <c r="R10" s="69"/>
      <c r="S10" s="70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>
      <c r="A11" s="33"/>
      <c r="B11" s="33"/>
      <c r="C11" s="33" t="s">
        <v>36</v>
      </c>
      <c r="D11" s="33" t="s">
        <v>37</v>
      </c>
      <c r="E11" s="33" t="s">
        <v>38</v>
      </c>
      <c r="F11" s="76"/>
      <c r="G11" s="76"/>
      <c r="H11" s="76"/>
      <c r="I11" s="76"/>
      <c r="J11" s="76"/>
      <c r="K11" s="76"/>
      <c r="L11" s="69"/>
      <c r="M11" s="69"/>
      <c r="N11" s="69"/>
      <c r="O11" s="69"/>
      <c r="P11" s="69"/>
      <c r="Q11" s="69"/>
      <c r="R11" s="69"/>
      <c r="S11" s="72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2"/>
    </row>
    <row r="12">
      <c r="A12" s="33"/>
      <c r="B12" s="33" t="s">
        <v>35</v>
      </c>
      <c r="C12" s="33" t="s">
        <v>39</v>
      </c>
      <c r="D12" s="33"/>
      <c r="E12" s="33"/>
      <c r="F12" s="76"/>
      <c r="G12" s="76"/>
      <c r="H12" s="76"/>
      <c r="I12" s="76"/>
      <c r="J12" s="76"/>
      <c r="K12" s="76"/>
      <c r="L12" s="69"/>
      <c r="M12" s="69"/>
      <c r="N12" s="69"/>
      <c r="O12" s="69"/>
      <c r="P12" s="69"/>
      <c r="Q12" s="69"/>
      <c r="R12" s="69"/>
      <c r="S12" s="72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72"/>
    </row>
    <row r="13">
      <c r="A13" s="33"/>
      <c r="B13" s="33"/>
      <c r="C13" s="33" t="s">
        <v>40</v>
      </c>
      <c r="D13" s="37" t="s">
        <v>41</v>
      </c>
      <c r="E13" s="37" t="s">
        <v>42</v>
      </c>
      <c r="F13" s="76"/>
      <c r="G13" s="76"/>
      <c r="H13" s="76"/>
      <c r="I13" s="76"/>
      <c r="J13" s="76"/>
      <c r="K13" s="76"/>
      <c r="L13" s="69"/>
      <c r="M13" s="69"/>
      <c r="N13" s="69"/>
      <c r="O13" s="69"/>
      <c r="P13" s="69"/>
      <c r="Q13" s="69"/>
      <c r="R13" s="69"/>
      <c r="S13" s="72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72"/>
    </row>
    <row r="14">
      <c r="A14" s="33"/>
      <c r="B14" s="33"/>
      <c r="C14" s="33" t="s">
        <v>43</v>
      </c>
      <c r="D14" s="33" t="s">
        <v>44</v>
      </c>
      <c r="E14" s="33" t="s">
        <v>45</v>
      </c>
      <c r="F14" s="77"/>
      <c r="G14" s="77"/>
      <c r="H14" s="77"/>
      <c r="I14" s="77"/>
      <c r="J14" s="77"/>
      <c r="K14" s="78"/>
      <c r="L14" s="74"/>
      <c r="M14" s="74"/>
      <c r="N14" s="74"/>
      <c r="O14" s="74"/>
      <c r="P14" s="74"/>
      <c r="Q14" s="74"/>
      <c r="R14" s="69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</row>
    <row r="15">
      <c r="A15" s="33"/>
      <c r="B15" s="33"/>
      <c r="C15" s="42" t="s">
        <v>46</v>
      </c>
      <c r="D15" s="33" t="s">
        <v>47</v>
      </c>
      <c r="E15" s="33" t="s">
        <v>48</v>
      </c>
      <c r="F15" s="79"/>
      <c r="G15" s="79"/>
      <c r="H15" s="79"/>
      <c r="I15" s="79"/>
      <c r="J15" s="79"/>
      <c r="K15" s="79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</row>
    <row r="16">
      <c r="A16" s="33"/>
      <c r="B16" s="33" t="s">
        <v>35</v>
      </c>
      <c r="C16" s="33" t="s">
        <v>49</v>
      </c>
      <c r="D16" s="37"/>
      <c r="E16" s="37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72"/>
      <c r="S16" s="72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72"/>
      <c r="AG16" s="72"/>
    </row>
    <row r="17">
      <c r="A17" s="33"/>
      <c r="B17" s="33"/>
      <c r="C17" s="33" t="s">
        <v>49</v>
      </c>
      <c r="D17" s="33" t="s">
        <v>50</v>
      </c>
      <c r="E17" s="33" t="s">
        <v>51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72"/>
      <c r="S17" s="72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72"/>
      <c r="AG17" s="72"/>
    </row>
    <row r="18">
      <c r="A18" s="33" t="s">
        <v>52</v>
      </c>
      <c r="B18" s="33" t="s">
        <v>22</v>
      </c>
      <c r="C18" s="33" t="s">
        <v>53</v>
      </c>
      <c r="D18" s="33"/>
      <c r="E18" s="33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72"/>
      <c r="S18" s="72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72"/>
      <c r="AG18" s="72"/>
    </row>
    <row r="19">
      <c r="A19" s="33" t="s">
        <v>54</v>
      </c>
      <c r="B19" s="33" t="s">
        <v>22</v>
      </c>
      <c r="C19" s="33" t="s">
        <v>55</v>
      </c>
      <c r="D19" s="37"/>
      <c r="E19" s="37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72"/>
      <c r="S19" s="72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72"/>
      <c r="AG19" s="72"/>
    </row>
    <row r="20">
      <c r="A20" s="33" t="s">
        <v>56</v>
      </c>
      <c r="B20" s="33" t="s">
        <v>22</v>
      </c>
      <c r="C20" s="33" t="s">
        <v>56</v>
      </c>
      <c r="D20" s="33"/>
      <c r="E20" s="33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72"/>
      <c r="S20" s="72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72"/>
      <c r="AG20" s="72"/>
    </row>
    <row r="21">
      <c r="A21" s="33"/>
      <c r="B21" s="33"/>
      <c r="C21" s="33" t="s">
        <v>56</v>
      </c>
      <c r="D21" s="33" t="s">
        <v>57</v>
      </c>
      <c r="E21" s="33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72"/>
      <c r="S21" s="72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72"/>
      <c r="AG21" s="72"/>
    </row>
    <row r="22">
      <c r="A22" s="33" t="s">
        <v>58</v>
      </c>
      <c r="B22" s="33" t="s">
        <v>22</v>
      </c>
      <c r="C22" s="33" t="s">
        <v>58</v>
      </c>
      <c r="D22" s="33"/>
      <c r="E22" s="33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72"/>
      <c r="S22" s="72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72"/>
      <c r="AG22" s="72"/>
    </row>
    <row r="23">
      <c r="A23" s="33"/>
      <c r="B23" s="33"/>
      <c r="C23" s="33" t="s">
        <v>58</v>
      </c>
      <c r="D23" s="33" t="s">
        <v>59</v>
      </c>
      <c r="E23" s="33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2"/>
      <c r="S23" s="72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2"/>
      <c r="AG23" s="72"/>
    </row>
    <row r="24">
      <c r="A24" s="33" t="s">
        <v>60</v>
      </c>
      <c r="B24" s="33" t="s">
        <v>22</v>
      </c>
      <c r="C24" s="33" t="s">
        <v>60</v>
      </c>
      <c r="D24" s="33"/>
      <c r="E24" s="33"/>
      <c r="F24" s="82"/>
      <c r="G24" s="82"/>
      <c r="H24" s="82"/>
      <c r="I24" s="82"/>
      <c r="J24" s="82"/>
      <c r="K24" s="82"/>
      <c r="L24" s="79"/>
      <c r="M24" s="79"/>
      <c r="N24" s="79"/>
      <c r="O24" s="79"/>
      <c r="P24" s="79"/>
      <c r="Q24" s="79"/>
      <c r="R24" s="72"/>
      <c r="S24" s="72"/>
      <c r="T24" s="79"/>
      <c r="U24" s="79"/>
      <c r="V24" s="79"/>
      <c r="W24" s="79"/>
      <c r="X24" s="79"/>
      <c r="Y24" s="79"/>
      <c r="Z24" s="72"/>
      <c r="AA24" s="72"/>
      <c r="AB24" s="72"/>
      <c r="AC24" s="72"/>
      <c r="AD24" s="72"/>
      <c r="AE24" s="72"/>
      <c r="AF24" s="72"/>
      <c r="AG24" s="72"/>
    </row>
    <row r="25">
      <c r="A25" s="33"/>
      <c r="B25" s="33"/>
      <c r="C25" s="33" t="s">
        <v>60</v>
      </c>
      <c r="D25" s="33" t="s">
        <v>61</v>
      </c>
      <c r="E25" s="33" t="s">
        <v>62</v>
      </c>
      <c r="F25" s="82"/>
      <c r="G25" s="82"/>
      <c r="H25" s="82"/>
      <c r="I25" s="82"/>
      <c r="J25" s="82"/>
      <c r="K25" s="82"/>
      <c r="L25" s="79"/>
      <c r="M25" s="79"/>
      <c r="N25" s="79"/>
      <c r="O25" s="79"/>
      <c r="P25" s="79"/>
      <c r="Q25" s="79"/>
      <c r="R25" s="72"/>
      <c r="S25" s="72"/>
      <c r="T25" s="79"/>
      <c r="U25" s="79"/>
      <c r="V25" s="79"/>
      <c r="W25" s="79"/>
      <c r="X25" s="79"/>
      <c r="Y25" s="79"/>
      <c r="Z25" s="72"/>
      <c r="AA25" s="72"/>
      <c r="AB25" s="72"/>
      <c r="AC25" s="72"/>
      <c r="AD25" s="72"/>
      <c r="AE25" s="72"/>
      <c r="AF25" s="72"/>
      <c r="AG25" s="72"/>
    </row>
    <row r="26">
      <c r="A26" s="44" t="s">
        <v>63</v>
      </c>
      <c r="B26" s="44" t="s">
        <v>22</v>
      </c>
      <c r="C26" s="44" t="s">
        <v>63</v>
      </c>
      <c r="D26" s="44"/>
      <c r="E26" s="44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72"/>
      <c r="S26" s="72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72"/>
      <c r="AG26" s="72"/>
    </row>
    <row r="27">
      <c r="A27" s="33"/>
      <c r="B27" s="33"/>
      <c r="C27" s="33" t="s">
        <v>64</v>
      </c>
      <c r="D27" s="33" t="s">
        <v>65</v>
      </c>
      <c r="E27" s="33" t="s">
        <v>66</v>
      </c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72"/>
      <c r="S27" s="7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72"/>
      <c r="AG27" s="72"/>
    </row>
    <row r="28">
      <c r="A28" s="33"/>
      <c r="B28" s="33"/>
      <c r="C28" s="33" t="s">
        <v>67</v>
      </c>
      <c r="D28" s="33" t="s">
        <v>68</v>
      </c>
      <c r="E28" s="33" t="s">
        <v>69</v>
      </c>
      <c r="F28" s="81"/>
      <c r="G28" s="80"/>
      <c r="H28" s="80"/>
      <c r="I28" s="80"/>
      <c r="J28" s="80"/>
      <c r="K28" s="80"/>
      <c r="L28" s="81"/>
      <c r="M28" s="80"/>
      <c r="N28" s="80"/>
      <c r="O28" s="80"/>
      <c r="P28" s="80"/>
      <c r="Q28" s="80"/>
      <c r="R28" s="72"/>
      <c r="S28" s="72"/>
      <c r="T28" s="81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72"/>
      <c r="AG28" s="72"/>
    </row>
    <row r="29">
      <c r="A29" s="33"/>
      <c r="B29" s="33"/>
      <c r="C29" s="33" t="s">
        <v>70</v>
      </c>
      <c r="D29" s="33" t="s">
        <v>71</v>
      </c>
      <c r="E29" s="33" t="s">
        <v>72</v>
      </c>
      <c r="F29" s="81"/>
      <c r="G29" s="80"/>
      <c r="H29" s="80"/>
      <c r="I29" s="80"/>
      <c r="J29" s="80"/>
      <c r="K29" s="80"/>
      <c r="L29" s="81"/>
      <c r="M29" s="80"/>
      <c r="N29" s="80"/>
      <c r="O29" s="80"/>
      <c r="P29" s="80"/>
      <c r="Q29" s="80"/>
      <c r="R29" s="72"/>
      <c r="S29" s="72"/>
      <c r="T29" s="81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72"/>
      <c r="AG29" s="72"/>
    </row>
    <row r="30">
      <c r="A30" s="33"/>
      <c r="B30" s="33"/>
      <c r="C30" s="33" t="s">
        <v>73</v>
      </c>
      <c r="D30" s="33" t="s">
        <v>74</v>
      </c>
      <c r="E30" s="33" t="s">
        <v>75</v>
      </c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72"/>
      <c r="S30" s="72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72"/>
      <c r="AG30" s="72"/>
    </row>
    <row r="31">
      <c r="A31" s="33" t="s">
        <v>76</v>
      </c>
      <c r="B31" s="33" t="s">
        <v>22</v>
      </c>
      <c r="C31" s="33" t="s">
        <v>76</v>
      </c>
      <c r="D31" s="33"/>
      <c r="E31" s="33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72"/>
      <c r="S31" s="72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72"/>
      <c r="AG31" s="72"/>
    </row>
    <row r="32">
      <c r="A32" s="33" t="s">
        <v>77</v>
      </c>
      <c r="B32" s="33" t="s">
        <v>22</v>
      </c>
      <c r="C32" s="33" t="s">
        <v>77</v>
      </c>
      <c r="D32" s="33"/>
      <c r="E32" s="33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72"/>
      <c r="S32" s="72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72"/>
      <c r="AG32" s="72"/>
    </row>
    <row r="33">
      <c r="A33" s="33" t="s">
        <v>78</v>
      </c>
      <c r="B33" s="33" t="s">
        <v>22</v>
      </c>
      <c r="C33" s="33" t="s">
        <v>79</v>
      </c>
      <c r="D33" s="33"/>
      <c r="E33" s="33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72"/>
      <c r="S33" s="7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72"/>
      <c r="AG33" s="72"/>
    </row>
    <row r="34">
      <c r="A34" s="33"/>
      <c r="B34" s="33"/>
      <c r="C34" s="33" t="s">
        <v>79</v>
      </c>
      <c r="D34" s="33" t="s">
        <v>80</v>
      </c>
      <c r="E34" s="33" t="s">
        <v>81</v>
      </c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83"/>
      <c r="S34" s="83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2"/>
      <c r="AG34" s="72"/>
    </row>
    <row r="35">
      <c r="A35" s="33" t="s">
        <v>82</v>
      </c>
      <c r="B35" s="33" t="s">
        <v>22</v>
      </c>
      <c r="C35" s="33" t="s">
        <v>83</v>
      </c>
      <c r="D35" s="33"/>
      <c r="E35" s="33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2"/>
      <c r="S35" s="72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2"/>
      <c r="AG35" s="72"/>
    </row>
    <row r="36">
      <c r="A36" s="33" t="s">
        <v>84</v>
      </c>
      <c r="B36" s="33" t="s">
        <v>22</v>
      </c>
      <c r="C36" s="33" t="s">
        <v>84</v>
      </c>
      <c r="D36" s="33"/>
      <c r="E36" s="33"/>
      <c r="F36" s="80"/>
      <c r="G36" s="80"/>
      <c r="H36" s="80"/>
      <c r="I36" s="80"/>
      <c r="J36" s="80"/>
      <c r="K36" s="80"/>
      <c r="L36" s="81"/>
      <c r="M36" s="81"/>
      <c r="N36" s="81"/>
      <c r="O36" s="81"/>
      <c r="P36" s="81"/>
      <c r="Q36" s="81"/>
      <c r="R36" s="72"/>
      <c r="S36" s="72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72"/>
      <c r="AG36" s="72"/>
    </row>
    <row r="37">
      <c r="A37" s="33" t="s">
        <v>85</v>
      </c>
      <c r="B37" s="33" t="s">
        <v>22</v>
      </c>
      <c r="C37" s="33" t="s">
        <v>85</v>
      </c>
      <c r="D37" s="33"/>
      <c r="E37" s="33"/>
      <c r="F37" s="80"/>
      <c r="G37" s="80"/>
      <c r="H37" s="80"/>
      <c r="I37" s="80"/>
      <c r="J37" s="80"/>
      <c r="K37" s="80"/>
      <c r="L37" s="81"/>
      <c r="M37" s="81"/>
      <c r="N37" s="81"/>
      <c r="O37" s="81"/>
      <c r="P37" s="81"/>
      <c r="Q37" s="81"/>
      <c r="R37" s="72"/>
      <c r="S37" s="72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72"/>
      <c r="AG37" s="72"/>
    </row>
    <row r="38">
      <c r="A38" s="33"/>
      <c r="B38" s="33"/>
      <c r="C38" s="33" t="s">
        <v>85</v>
      </c>
      <c r="D38" s="33" t="s">
        <v>86</v>
      </c>
      <c r="E38" s="33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2"/>
      <c r="S38" s="72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72"/>
      <c r="AG38" s="72"/>
    </row>
    <row r="39">
      <c r="A39" s="44" t="s">
        <v>87</v>
      </c>
      <c r="B39" s="44" t="s">
        <v>22</v>
      </c>
      <c r="C39" s="44" t="s">
        <v>88</v>
      </c>
      <c r="D39" s="44"/>
      <c r="E39" s="44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2"/>
      <c r="S39" s="72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72"/>
      <c r="AG39" s="72"/>
    </row>
    <row r="40">
      <c r="A40" s="33" t="s">
        <v>89</v>
      </c>
      <c r="B40" s="33" t="s">
        <v>22</v>
      </c>
      <c r="C40" s="33" t="s">
        <v>90</v>
      </c>
      <c r="D40" s="33"/>
      <c r="E40" s="33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2"/>
      <c r="S40" s="72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2"/>
      <c r="AG40" s="72"/>
    </row>
    <row r="41">
      <c r="A41" s="33"/>
      <c r="B41" s="33"/>
      <c r="C41" s="33"/>
      <c r="D41" s="33"/>
      <c r="E41" s="33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2"/>
      <c r="S41" s="72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72"/>
      <c r="AG41" s="72"/>
    </row>
    <row r="42">
      <c r="A42" s="46" t="s">
        <v>91</v>
      </c>
      <c r="B42" s="46"/>
      <c r="C42" s="46"/>
      <c r="D42" s="46"/>
      <c r="E42" s="46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2"/>
      <c r="S42" s="72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72"/>
      <c r="AG42" s="72"/>
    </row>
    <row r="43">
      <c r="A43" s="44" t="s">
        <v>92</v>
      </c>
      <c r="B43" s="44" t="s">
        <v>93</v>
      </c>
      <c r="C43" s="44" t="s">
        <v>92</v>
      </c>
      <c r="D43" s="44"/>
      <c r="E43" s="44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2"/>
      <c r="S43" s="72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72"/>
      <c r="AG43" s="72"/>
    </row>
    <row r="44">
      <c r="A44" s="33" t="s">
        <v>94</v>
      </c>
      <c r="B44" s="33" t="s">
        <v>93</v>
      </c>
      <c r="C44" s="33" t="s">
        <v>94</v>
      </c>
      <c r="D44" s="33"/>
      <c r="E44" s="33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2"/>
      <c r="S44" s="72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2"/>
      <c r="AG44" s="72"/>
    </row>
    <row r="45">
      <c r="A45" s="33" t="s">
        <v>95</v>
      </c>
      <c r="B45" s="33" t="s">
        <v>93</v>
      </c>
      <c r="C45" s="33" t="s">
        <v>95</v>
      </c>
      <c r="D45" s="37" t="s">
        <v>96</v>
      </c>
      <c r="E45" s="33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2"/>
      <c r="S45" s="72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72"/>
      <c r="AG45" s="72"/>
    </row>
    <row r="46">
      <c r="A46" s="33"/>
      <c r="B46" s="33" t="s">
        <v>97</v>
      </c>
      <c r="C46" s="33" t="s">
        <v>98</v>
      </c>
      <c r="D46" s="38"/>
      <c r="E46" s="33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72"/>
      <c r="S46" s="72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72"/>
      <c r="AG46" s="72"/>
    </row>
    <row r="47">
      <c r="A47" s="44"/>
      <c r="B47" s="44"/>
      <c r="C47" s="37" t="s">
        <v>98</v>
      </c>
      <c r="D47" s="48" t="s">
        <v>99</v>
      </c>
      <c r="E47" s="44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72"/>
      <c r="S47" s="72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72"/>
      <c r="AG47" s="72"/>
    </row>
    <row r="48">
      <c r="A48" s="44"/>
      <c r="B48" s="44"/>
      <c r="C48" s="44" t="s">
        <v>100</v>
      </c>
      <c r="D48" s="48" t="s">
        <v>101</v>
      </c>
      <c r="E48" s="44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72"/>
      <c r="S48" s="72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72"/>
      <c r="AG48" s="72"/>
    </row>
    <row r="49">
      <c r="A49" s="38"/>
      <c r="B49" s="38"/>
      <c r="C49" s="38" t="s">
        <v>102</v>
      </c>
      <c r="D49" s="48" t="s">
        <v>103</v>
      </c>
      <c r="E49" s="38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72"/>
      <c r="S49" s="72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72"/>
      <c r="AG49" s="72"/>
    </row>
    <row r="50">
      <c r="A50" s="51"/>
      <c r="B50" s="38"/>
      <c r="C50" s="38" t="s">
        <v>104</v>
      </c>
      <c r="D50" s="48" t="s">
        <v>105</v>
      </c>
      <c r="E50" s="38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2"/>
      <c r="S50" s="72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2"/>
      <c r="AG50" s="72"/>
    </row>
    <row r="51">
      <c r="A51" s="38"/>
      <c r="B51" s="38"/>
      <c r="C51" s="38" t="s">
        <v>106</v>
      </c>
      <c r="D51" s="48" t="s">
        <v>107</v>
      </c>
      <c r="E51" s="53" t="s">
        <v>108</v>
      </c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2"/>
      <c r="S51" s="72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2"/>
      <c r="AG51" s="72"/>
    </row>
    <row r="52">
      <c r="A52" s="38"/>
      <c r="B52" s="38"/>
      <c r="C52" s="38"/>
      <c r="D52" s="48"/>
      <c r="E52" s="38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2"/>
      <c r="S52" s="72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2"/>
      <c r="AG52" s="72"/>
    </row>
    <row r="53">
      <c r="A53" s="38"/>
      <c r="B53" s="38"/>
      <c r="C53" s="33" t="s">
        <v>98</v>
      </c>
      <c r="D53" s="48" t="s">
        <v>109</v>
      </c>
      <c r="E53" s="38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2"/>
      <c r="S53" s="72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72"/>
      <c r="AG53" s="72"/>
    </row>
    <row r="54">
      <c r="A54" s="38"/>
      <c r="B54" s="38"/>
      <c r="C54" s="44" t="s">
        <v>100</v>
      </c>
      <c r="D54" s="48" t="s">
        <v>110</v>
      </c>
      <c r="E54" s="38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2"/>
      <c r="S54" s="72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72"/>
      <c r="AG54" s="72"/>
    </row>
    <row r="55">
      <c r="A55" s="38"/>
      <c r="B55" s="38"/>
      <c r="C55" s="38" t="s">
        <v>102</v>
      </c>
      <c r="D55" s="48" t="s">
        <v>111</v>
      </c>
      <c r="E55" s="38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2"/>
      <c r="S55" s="72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72"/>
      <c r="AG55" s="72"/>
    </row>
    <row r="56">
      <c r="A56" s="38"/>
      <c r="B56" s="38"/>
      <c r="C56" s="38" t="s">
        <v>104</v>
      </c>
      <c r="D56" s="48" t="s">
        <v>112</v>
      </c>
      <c r="E56" s="38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2"/>
      <c r="S56" s="72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72"/>
      <c r="AG56" s="72"/>
    </row>
    <row r="57">
      <c r="A57" s="38"/>
      <c r="B57" s="38"/>
      <c r="C57" s="38" t="s">
        <v>106</v>
      </c>
      <c r="D57" s="48" t="s">
        <v>113</v>
      </c>
      <c r="E57" s="53" t="s">
        <v>108</v>
      </c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72"/>
      <c r="S57" s="72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72"/>
      <c r="AG57" s="72"/>
    </row>
    <row r="58">
      <c r="A58" s="38" t="s">
        <v>114</v>
      </c>
      <c r="B58" s="38" t="s">
        <v>93</v>
      </c>
      <c r="C58" s="38" t="s">
        <v>115</v>
      </c>
      <c r="D58" s="54" t="s">
        <v>116</v>
      </c>
      <c r="E58" s="38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72"/>
      <c r="S58" s="72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72"/>
      <c r="AG58" s="72"/>
    </row>
    <row r="59">
      <c r="A59" s="38"/>
      <c r="B59" s="38"/>
      <c r="C59" s="38" t="s">
        <v>117</v>
      </c>
      <c r="D59" s="54" t="s">
        <v>118</v>
      </c>
      <c r="E59" s="38"/>
    </row>
    <row r="60">
      <c r="A60" s="38"/>
      <c r="B60" s="38"/>
      <c r="C60" s="38"/>
      <c r="D60" s="54" t="s">
        <v>119</v>
      </c>
      <c r="E60" s="38"/>
    </row>
    <row r="61">
      <c r="A61" s="53"/>
      <c r="B61" s="53"/>
      <c r="C61" s="53"/>
      <c r="D61" s="53"/>
      <c r="E61" s="38"/>
    </row>
    <row r="62">
      <c r="A62" s="53" t="s">
        <v>120</v>
      </c>
      <c r="B62" s="53" t="s">
        <v>93</v>
      </c>
      <c r="C62" s="53" t="s">
        <v>121</v>
      </c>
      <c r="D62" s="54" t="s">
        <v>168</v>
      </c>
      <c r="E62" s="38"/>
    </row>
    <row r="63">
      <c r="A63" s="38"/>
      <c r="B63" s="38"/>
      <c r="C63" s="53" t="s">
        <v>123</v>
      </c>
      <c r="D63" s="54" t="s">
        <v>169</v>
      </c>
      <c r="E63" s="38"/>
    </row>
    <row r="64">
      <c r="A64" s="38"/>
      <c r="B64" s="38"/>
      <c r="C64" s="53" t="s">
        <v>125</v>
      </c>
      <c r="D64" s="53" t="s">
        <v>126</v>
      </c>
      <c r="E64" s="38"/>
    </row>
    <row r="65">
      <c r="A65" s="38"/>
      <c r="B65" s="38"/>
      <c r="C65" s="53" t="s">
        <v>127</v>
      </c>
      <c r="D65" s="53" t="s">
        <v>128</v>
      </c>
      <c r="E65" s="38"/>
    </row>
    <row r="66">
      <c r="A66" s="38"/>
      <c r="B66" s="38"/>
      <c r="C66" s="53" t="s">
        <v>129</v>
      </c>
      <c r="D66" s="54" t="s">
        <v>130</v>
      </c>
      <c r="E66" s="38"/>
    </row>
    <row r="67">
      <c r="A67" s="38"/>
      <c r="B67" s="38"/>
      <c r="C67" s="53" t="s">
        <v>131</v>
      </c>
      <c r="D67" s="53" t="s">
        <v>170</v>
      </c>
      <c r="E67" s="38"/>
    </row>
    <row r="68">
      <c r="A68" s="38"/>
      <c r="B68" s="38"/>
      <c r="C68" s="53" t="s">
        <v>133</v>
      </c>
      <c r="D68" s="53" t="s">
        <v>134</v>
      </c>
      <c r="E68" s="38"/>
    </row>
    <row r="69">
      <c r="A69" s="38"/>
      <c r="B69" s="38"/>
      <c r="C69" s="53" t="s">
        <v>127</v>
      </c>
      <c r="D69" s="53" t="s">
        <v>128</v>
      </c>
      <c r="E69" s="38"/>
    </row>
    <row r="70">
      <c r="A70" s="38"/>
      <c r="B70" s="38"/>
      <c r="C70" s="53" t="s">
        <v>135</v>
      </c>
      <c r="D70" s="53" t="s">
        <v>130</v>
      </c>
      <c r="E70" s="38"/>
    </row>
    <row r="71">
      <c r="A71" s="38"/>
      <c r="B71" s="38"/>
      <c r="C71" s="38"/>
      <c r="D71" s="53"/>
      <c r="E71" s="38"/>
    </row>
    <row r="72">
      <c r="A72" s="38" t="s">
        <v>136</v>
      </c>
      <c r="B72" s="38" t="s">
        <v>93</v>
      </c>
      <c r="C72" s="38" t="s">
        <v>136</v>
      </c>
      <c r="D72" s="38"/>
      <c r="E72" s="38"/>
    </row>
    <row r="73">
      <c r="A73" s="38"/>
      <c r="B73" s="38"/>
      <c r="C73" s="38" t="s">
        <v>136</v>
      </c>
      <c r="D73" s="38" t="s">
        <v>137</v>
      </c>
      <c r="E73" s="38"/>
    </row>
    <row r="74">
      <c r="A74" s="38" t="s">
        <v>138</v>
      </c>
      <c r="B74" s="38" t="s">
        <v>93</v>
      </c>
      <c r="C74" s="38" t="s">
        <v>138</v>
      </c>
      <c r="D74" s="38"/>
      <c r="E74" s="38"/>
    </row>
    <row r="75">
      <c r="A75" s="38"/>
      <c r="B75" s="38"/>
      <c r="C75" s="38" t="s">
        <v>139</v>
      </c>
      <c r="D75" s="38" t="s">
        <v>140</v>
      </c>
      <c r="E75" s="38"/>
    </row>
    <row r="76">
      <c r="A76" s="38"/>
      <c r="B76" s="38"/>
      <c r="C76" s="38" t="s">
        <v>141</v>
      </c>
      <c r="D76" s="38" t="s">
        <v>142</v>
      </c>
      <c r="E76" s="38"/>
    </row>
    <row r="77">
      <c r="A77" s="38"/>
      <c r="B77" s="38"/>
      <c r="C77" s="38" t="s">
        <v>143</v>
      </c>
      <c r="D77" s="58" t="s">
        <v>144</v>
      </c>
      <c r="E77" s="38"/>
    </row>
    <row r="78">
      <c r="A78" s="38" t="s">
        <v>145</v>
      </c>
      <c r="B78" s="38" t="s">
        <v>93</v>
      </c>
      <c r="C78" s="38" t="s">
        <v>145</v>
      </c>
      <c r="D78" s="58"/>
      <c r="E78" s="38"/>
    </row>
    <row r="79">
      <c r="A79" s="38"/>
      <c r="B79" s="38"/>
      <c r="C79" s="38" t="s">
        <v>145</v>
      </c>
      <c r="D79" s="38" t="s">
        <v>146</v>
      </c>
      <c r="E79" s="38"/>
    </row>
    <row r="80">
      <c r="A80" s="38" t="s">
        <v>147</v>
      </c>
      <c r="B80" s="38" t="s">
        <v>93</v>
      </c>
      <c r="C80" s="38" t="s">
        <v>147</v>
      </c>
      <c r="D80" s="38"/>
      <c r="E80" s="38"/>
    </row>
    <row r="81">
      <c r="A81" s="38"/>
      <c r="B81" s="38"/>
      <c r="C81" s="38" t="s">
        <v>147</v>
      </c>
      <c r="D81" s="38" t="s">
        <v>148</v>
      </c>
      <c r="E81" s="38"/>
    </row>
    <row r="82">
      <c r="A82" s="38" t="s">
        <v>149</v>
      </c>
      <c r="B82" s="38" t="s">
        <v>93</v>
      </c>
      <c r="C82" s="38" t="s">
        <v>150</v>
      </c>
      <c r="D82" s="38"/>
      <c r="E82" s="38"/>
    </row>
    <row r="83">
      <c r="A83" s="38"/>
      <c r="B83" s="38"/>
      <c r="C83" s="38" t="s">
        <v>150</v>
      </c>
      <c r="D83" s="38" t="s">
        <v>151</v>
      </c>
      <c r="E83" s="38"/>
    </row>
    <row r="84">
      <c r="A84" s="38" t="s">
        <v>152</v>
      </c>
      <c r="B84" s="38" t="s">
        <v>93</v>
      </c>
      <c r="C84" s="38" t="s">
        <v>152</v>
      </c>
      <c r="D84" s="38"/>
      <c r="E84" s="38"/>
    </row>
    <row r="85">
      <c r="A85" s="38"/>
      <c r="B85" s="38"/>
      <c r="C85" s="38" t="s">
        <v>152</v>
      </c>
      <c r="D85" s="38" t="s">
        <v>153</v>
      </c>
      <c r="E85" s="38"/>
    </row>
    <row r="86">
      <c r="A86" s="38" t="s">
        <v>154</v>
      </c>
      <c r="B86" s="38" t="s">
        <v>93</v>
      </c>
      <c r="C86" s="38" t="s">
        <v>154</v>
      </c>
      <c r="D86" s="38"/>
      <c r="E86" s="38"/>
    </row>
    <row r="87">
      <c r="A87" s="38"/>
      <c r="B87" s="38"/>
      <c r="C87" s="38" t="s">
        <v>155</v>
      </c>
      <c r="D87" s="38" t="s">
        <v>156</v>
      </c>
      <c r="E87" s="38"/>
    </row>
    <row r="88">
      <c r="A88" s="38"/>
      <c r="B88" s="38"/>
      <c r="C88" s="38" t="s">
        <v>157</v>
      </c>
      <c r="D88" s="38" t="s">
        <v>158</v>
      </c>
      <c r="E88" s="38"/>
    </row>
    <row r="89">
      <c r="A89" s="38"/>
      <c r="B89" s="38"/>
      <c r="C89" s="38" t="s">
        <v>159</v>
      </c>
      <c r="D89" s="38" t="s">
        <v>160</v>
      </c>
      <c r="E89" s="38"/>
    </row>
    <row r="90">
      <c r="A90" s="38"/>
      <c r="B90" s="38"/>
      <c r="C90" s="38" t="s">
        <v>161</v>
      </c>
      <c r="D90" s="38" t="s">
        <v>162</v>
      </c>
      <c r="E90" s="38"/>
    </row>
    <row r="91">
      <c r="A91" s="38" t="s">
        <v>163</v>
      </c>
      <c r="B91" s="38" t="s">
        <v>93</v>
      </c>
      <c r="C91" s="38" t="s">
        <v>163</v>
      </c>
      <c r="D91" s="38"/>
      <c r="E91" s="38"/>
    </row>
    <row r="92">
      <c r="A92" s="38"/>
      <c r="B92" s="38"/>
      <c r="C92" s="38" t="s">
        <v>164</v>
      </c>
      <c r="D92" s="38" t="s">
        <v>165</v>
      </c>
      <c r="E92" s="38"/>
    </row>
    <row r="93">
      <c r="A93" s="38" t="s">
        <v>138</v>
      </c>
      <c r="B93" s="38" t="s">
        <v>93</v>
      </c>
      <c r="C93" s="38" t="s">
        <v>138</v>
      </c>
      <c r="D93" s="38"/>
      <c r="E93" s="38"/>
    </row>
    <row r="94">
      <c r="A94" s="38"/>
      <c r="B94" s="38"/>
      <c r="C94" s="38" t="s">
        <v>139</v>
      </c>
      <c r="D94" s="38" t="s">
        <v>140</v>
      </c>
      <c r="E94" s="38"/>
    </row>
    <row r="95">
      <c r="A95" s="38"/>
      <c r="B95" s="38"/>
      <c r="C95" s="38" t="s">
        <v>141</v>
      </c>
      <c r="D95" s="38" t="s">
        <v>142</v>
      </c>
      <c r="E95" s="38"/>
    </row>
    <row r="96">
      <c r="A96" s="38"/>
      <c r="B96" s="38"/>
      <c r="C96" s="38" t="s">
        <v>143</v>
      </c>
      <c r="D96" s="38" t="s">
        <v>144</v>
      </c>
      <c r="E96" s="38"/>
    </row>
    <row r="97">
      <c r="A97" s="38" t="s">
        <v>145</v>
      </c>
      <c r="B97" s="38" t="s">
        <v>93</v>
      </c>
      <c r="C97" s="38" t="s">
        <v>145</v>
      </c>
      <c r="D97" s="38"/>
      <c r="E97" s="38"/>
    </row>
    <row r="98">
      <c r="A98" s="38"/>
      <c r="B98" s="38"/>
      <c r="C98" s="38" t="s">
        <v>145</v>
      </c>
      <c r="D98" s="38" t="s">
        <v>146</v>
      </c>
      <c r="E98" s="38"/>
    </row>
    <row r="99">
      <c r="A99" s="38" t="s">
        <v>147</v>
      </c>
      <c r="B99" s="38" t="s">
        <v>93</v>
      </c>
      <c r="C99" s="38" t="s">
        <v>147</v>
      </c>
      <c r="D99" s="38"/>
      <c r="E99" s="38"/>
    </row>
    <row r="100">
      <c r="A100" s="38"/>
      <c r="B100" s="38"/>
      <c r="C100" s="38" t="s">
        <v>147</v>
      </c>
      <c r="D100" s="38" t="s">
        <v>148</v>
      </c>
      <c r="E100" s="38"/>
    </row>
    <row r="101">
      <c r="A101" s="38" t="s">
        <v>149</v>
      </c>
      <c r="B101" s="38" t="s">
        <v>93</v>
      </c>
      <c r="C101" s="38" t="s">
        <v>150</v>
      </c>
      <c r="D101" s="38"/>
      <c r="E101" s="38"/>
    </row>
    <row r="102">
      <c r="A102" s="38"/>
      <c r="B102" s="38"/>
      <c r="C102" s="38" t="s">
        <v>150</v>
      </c>
      <c r="D102" s="38" t="s">
        <v>151</v>
      </c>
      <c r="E102" s="38"/>
    </row>
    <row r="103">
      <c r="A103" s="38" t="s">
        <v>152</v>
      </c>
      <c r="B103" s="38" t="s">
        <v>93</v>
      </c>
      <c r="C103" s="38" t="s">
        <v>152</v>
      </c>
      <c r="D103" s="38"/>
      <c r="E103" s="38"/>
    </row>
    <row r="104">
      <c r="A104" s="38"/>
      <c r="B104" s="38"/>
      <c r="C104" s="38" t="s">
        <v>152</v>
      </c>
      <c r="D104" s="38" t="s">
        <v>153</v>
      </c>
      <c r="E104" s="38"/>
    </row>
    <row r="105">
      <c r="A105" s="38" t="s">
        <v>154</v>
      </c>
      <c r="B105" s="38" t="s">
        <v>93</v>
      </c>
      <c r="C105" s="38" t="s">
        <v>154</v>
      </c>
      <c r="D105" s="38"/>
      <c r="E105" s="38"/>
    </row>
    <row r="106">
      <c r="A106" s="38"/>
      <c r="B106" s="38"/>
      <c r="C106" s="38" t="s">
        <v>155</v>
      </c>
      <c r="D106" s="38" t="s">
        <v>156</v>
      </c>
      <c r="E106" s="38"/>
    </row>
    <row r="107">
      <c r="A107" s="38"/>
      <c r="B107" s="38"/>
      <c r="C107" s="38" t="s">
        <v>157</v>
      </c>
      <c r="D107" s="38" t="s">
        <v>158</v>
      </c>
      <c r="E107" s="38"/>
    </row>
    <row r="108">
      <c r="A108" s="38"/>
      <c r="B108" s="38"/>
      <c r="C108" s="38" t="s">
        <v>159</v>
      </c>
      <c r="D108" s="38" t="s">
        <v>160</v>
      </c>
      <c r="E108" s="38"/>
    </row>
    <row r="109">
      <c r="A109" s="38"/>
      <c r="B109" s="38"/>
      <c r="C109" s="38" t="s">
        <v>161</v>
      </c>
      <c r="D109" s="38" t="s">
        <v>162</v>
      </c>
      <c r="E109" s="38"/>
    </row>
    <row r="110">
      <c r="A110" s="38" t="s">
        <v>163</v>
      </c>
      <c r="B110" s="38" t="s">
        <v>93</v>
      </c>
      <c r="C110" s="38" t="s">
        <v>163</v>
      </c>
      <c r="D110" s="38"/>
      <c r="E110" s="38"/>
    </row>
    <row r="111">
      <c r="A111" s="38"/>
      <c r="B111" s="38"/>
      <c r="C111" s="38" t="s">
        <v>164</v>
      </c>
      <c r="D111" s="38" t="s">
        <v>165</v>
      </c>
      <c r="E111" s="38"/>
    </row>
    <row r="112">
      <c r="A112" s="38"/>
      <c r="B112" s="38"/>
      <c r="C112" s="38"/>
      <c r="D112" s="54" t="s">
        <v>166</v>
      </c>
      <c r="E112" s="38"/>
    </row>
    <row r="113">
      <c r="A113" s="38"/>
      <c r="B113" s="38"/>
      <c r="C113" s="38"/>
      <c r="D113" s="54" t="s">
        <v>167</v>
      </c>
      <c r="E113" s="3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28.5"/>
    <col customWidth="1" min="4" max="4" width="24.88"/>
  </cols>
  <sheetData>
    <row r="1">
      <c r="A1" s="20"/>
      <c r="B1" s="20"/>
      <c r="C1" s="20"/>
      <c r="D1" s="20"/>
      <c r="E1" s="21"/>
      <c r="F1" s="87"/>
      <c r="G1" s="63">
        <v>45658.0</v>
      </c>
      <c r="H1" s="63">
        <v>45689.0</v>
      </c>
      <c r="I1" s="63">
        <v>45717.0</v>
      </c>
      <c r="J1" s="63">
        <v>45748.0</v>
      </c>
      <c r="K1" s="63">
        <v>45778.0</v>
      </c>
      <c r="L1" s="63">
        <v>45809.0</v>
      </c>
      <c r="M1" s="64">
        <v>45839.0</v>
      </c>
      <c r="N1" s="64">
        <v>45870.0</v>
      </c>
      <c r="O1" s="64">
        <v>45901.0</v>
      </c>
      <c r="P1" s="64">
        <v>45931.0</v>
      </c>
      <c r="Q1" s="64">
        <v>45962.0</v>
      </c>
      <c r="R1" s="64">
        <v>45992.0</v>
      </c>
      <c r="S1" s="65" t="s">
        <v>10</v>
      </c>
      <c r="T1" s="65" t="s">
        <v>10</v>
      </c>
      <c r="U1" s="64">
        <v>46023.0</v>
      </c>
      <c r="V1" s="64">
        <v>46054.0</v>
      </c>
      <c r="W1" s="64">
        <v>46082.0</v>
      </c>
      <c r="X1" s="64">
        <v>46113.0</v>
      </c>
      <c r="Y1" s="64">
        <v>46143.0</v>
      </c>
      <c r="Z1" s="64">
        <v>46174.0</v>
      </c>
      <c r="AA1" s="64">
        <v>46204.0</v>
      </c>
      <c r="AB1" s="64">
        <v>46235.0</v>
      </c>
      <c r="AC1" s="64">
        <v>46266.0</v>
      </c>
      <c r="AD1" s="64">
        <v>46296.0</v>
      </c>
      <c r="AE1" s="64">
        <v>46327.0</v>
      </c>
      <c r="AF1" s="64">
        <v>46357.0</v>
      </c>
      <c r="AG1" s="65" t="s">
        <v>11</v>
      </c>
      <c r="AH1" s="65" t="s">
        <v>11</v>
      </c>
      <c r="AI1" s="65"/>
      <c r="AJ1" s="65"/>
      <c r="AK1" s="65"/>
      <c r="AL1" s="65"/>
    </row>
    <row r="2">
      <c r="A2" s="27" t="s">
        <v>12</v>
      </c>
      <c r="B2" s="27" t="s">
        <v>13</v>
      </c>
      <c r="C2" s="27" t="s">
        <v>14</v>
      </c>
      <c r="D2" s="27" t="s">
        <v>15</v>
      </c>
      <c r="E2" s="27" t="s">
        <v>16</v>
      </c>
      <c r="F2" s="88" t="s">
        <v>16</v>
      </c>
      <c r="G2" s="66" t="s">
        <v>17</v>
      </c>
      <c r="H2" s="66" t="s">
        <v>17</v>
      </c>
      <c r="I2" s="66" t="s">
        <v>17</v>
      </c>
      <c r="J2" s="66" t="s">
        <v>17</v>
      </c>
      <c r="K2" s="66" t="s">
        <v>17</v>
      </c>
      <c r="L2" s="66" t="s">
        <v>17</v>
      </c>
      <c r="M2" s="66" t="s">
        <v>17</v>
      </c>
      <c r="N2" s="66" t="s">
        <v>17</v>
      </c>
      <c r="O2" s="66" t="s">
        <v>17</v>
      </c>
      <c r="P2" s="67" t="s">
        <v>20</v>
      </c>
      <c r="Q2" s="68" t="s">
        <v>20</v>
      </c>
      <c r="R2" s="68" t="s">
        <v>20</v>
      </c>
      <c r="S2" s="65" t="s">
        <v>18</v>
      </c>
      <c r="T2" s="65" t="s">
        <v>19</v>
      </c>
      <c r="U2" s="68" t="s">
        <v>20</v>
      </c>
      <c r="V2" s="68" t="s">
        <v>20</v>
      </c>
      <c r="W2" s="68" t="s">
        <v>20</v>
      </c>
      <c r="X2" s="68" t="s">
        <v>20</v>
      </c>
      <c r="Y2" s="68" t="s">
        <v>20</v>
      </c>
      <c r="Z2" s="68" t="s">
        <v>20</v>
      </c>
      <c r="AA2" s="68" t="s">
        <v>20</v>
      </c>
      <c r="AB2" s="68" t="s">
        <v>20</v>
      </c>
      <c r="AC2" s="68" t="s">
        <v>20</v>
      </c>
      <c r="AD2" s="68" t="s">
        <v>20</v>
      </c>
      <c r="AE2" s="68" t="s">
        <v>20</v>
      </c>
      <c r="AF2" s="68" t="s">
        <v>20</v>
      </c>
      <c r="AG2" s="65" t="s">
        <v>18</v>
      </c>
      <c r="AH2" s="65" t="s">
        <v>19</v>
      </c>
      <c r="AI2" s="65"/>
      <c r="AJ2" s="65"/>
      <c r="AK2" s="65"/>
      <c r="AL2" s="65"/>
    </row>
    <row r="3">
      <c r="A3" s="33" t="s">
        <v>21</v>
      </c>
      <c r="B3" s="33" t="s">
        <v>22</v>
      </c>
      <c r="C3" s="33" t="s">
        <v>21</v>
      </c>
      <c r="D3" s="33"/>
      <c r="E3" s="33"/>
      <c r="F3" s="7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70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70"/>
      <c r="AI3" s="70"/>
      <c r="AJ3" s="70"/>
      <c r="AK3" s="70"/>
      <c r="AL3" s="70"/>
    </row>
    <row r="4">
      <c r="A4" s="33"/>
      <c r="B4" s="37" t="s">
        <v>23</v>
      </c>
      <c r="C4" s="38"/>
      <c r="D4" s="33"/>
      <c r="E4" s="33"/>
      <c r="F4" s="72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0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70"/>
      <c r="AL4" s="70"/>
    </row>
    <row r="5">
      <c r="A5" s="33"/>
      <c r="B5" s="33"/>
      <c r="C5" s="33" t="s">
        <v>24</v>
      </c>
      <c r="D5" s="37" t="s">
        <v>25</v>
      </c>
      <c r="E5" s="33" t="s">
        <v>26</v>
      </c>
      <c r="F5" s="72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70"/>
      <c r="AI5" s="70"/>
      <c r="AJ5" s="70"/>
      <c r="AK5" s="70"/>
      <c r="AL5" s="70"/>
    </row>
    <row r="6">
      <c r="A6" s="33"/>
      <c r="B6" s="33"/>
      <c r="C6" s="33" t="s">
        <v>27</v>
      </c>
      <c r="D6" s="37" t="s">
        <v>28</v>
      </c>
      <c r="E6" s="37" t="s">
        <v>29</v>
      </c>
      <c r="F6" s="72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70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70"/>
      <c r="AI6" s="70"/>
      <c r="AJ6" s="70"/>
      <c r="AK6" s="70"/>
      <c r="AL6" s="70"/>
    </row>
    <row r="7">
      <c r="A7" s="33"/>
      <c r="B7" s="33"/>
      <c r="C7" s="33" t="s">
        <v>30</v>
      </c>
      <c r="D7" s="33" t="s">
        <v>31</v>
      </c>
      <c r="E7" s="33" t="s">
        <v>32</v>
      </c>
      <c r="F7" s="72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72"/>
      <c r="T7" s="72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72"/>
      <c r="AH7" s="72"/>
      <c r="AI7" s="72"/>
      <c r="AJ7" s="72"/>
      <c r="AK7" s="72"/>
      <c r="AL7" s="72"/>
    </row>
    <row r="8">
      <c r="A8" s="33"/>
      <c r="B8" s="37" t="s">
        <v>33</v>
      </c>
      <c r="C8" s="38"/>
      <c r="D8" s="33"/>
      <c r="E8" s="33"/>
      <c r="F8" s="72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72"/>
      <c r="T8" s="72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72"/>
      <c r="AH8" s="72"/>
      <c r="AI8" s="72"/>
      <c r="AJ8" s="72"/>
      <c r="AK8" s="72"/>
      <c r="AL8" s="72"/>
    </row>
    <row r="9">
      <c r="A9" s="33"/>
      <c r="B9" s="33"/>
      <c r="C9" s="33"/>
      <c r="D9" s="33"/>
      <c r="E9" s="33"/>
      <c r="F9" s="72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2"/>
      <c r="T9" s="72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72"/>
      <c r="AH9" s="72"/>
      <c r="AI9" s="72"/>
      <c r="AJ9" s="72"/>
      <c r="AK9" s="72"/>
      <c r="AL9" s="72"/>
    </row>
    <row r="10">
      <c r="A10" s="46" t="s">
        <v>91</v>
      </c>
      <c r="B10" s="46"/>
      <c r="C10" s="46"/>
      <c r="D10" s="46"/>
      <c r="E10" s="46"/>
    </row>
    <row r="11">
      <c r="A11" s="44" t="s">
        <v>92</v>
      </c>
      <c r="B11" s="44" t="s">
        <v>93</v>
      </c>
      <c r="C11" s="44" t="s">
        <v>92</v>
      </c>
      <c r="D11" s="44"/>
      <c r="E11" s="44"/>
    </row>
    <row r="12">
      <c r="A12" s="33" t="s">
        <v>94</v>
      </c>
      <c r="B12" s="33" t="s">
        <v>93</v>
      </c>
      <c r="C12" s="33" t="s">
        <v>94</v>
      </c>
      <c r="D12" s="33"/>
      <c r="E12" s="33"/>
    </row>
    <row r="13">
      <c r="A13" s="33" t="s">
        <v>95</v>
      </c>
      <c r="B13" s="33" t="s">
        <v>93</v>
      </c>
      <c r="C13" s="33" t="s">
        <v>95</v>
      </c>
      <c r="D13" s="37" t="s">
        <v>96</v>
      </c>
      <c r="E13" s="33"/>
    </row>
    <row r="14">
      <c r="A14" s="33"/>
      <c r="B14" s="33" t="s">
        <v>97</v>
      </c>
      <c r="C14" s="33" t="s">
        <v>98</v>
      </c>
      <c r="D14" s="38"/>
      <c r="E14" s="33"/>
    </row>
    <row r="15">
      <c r="A15" s="44"/>
      <c r="B15" s="44"/>
      <c r="C15" s="37" t="s">
        <v>98</v>
      </c>
      <c r="D15" s="48" t="s">
        <v>99</v>
      </c>
      <c r="E15" s="44"/>
    </row>
    <row r="16">
      <c r="A16" s="44"/>
      <c r="B16" s="44"/>
      <c r="C16" s="44" t="s">
        <v>100</v>
      </c>
      <c r="D16" s="48" t="s">
        <v>101</v>
      </c>
      <c r="E16" s="44"/>
    </row>
    <row r="17">
      <c r="A17" s="38"/>
      <c r="B17" s="38"/>
      <c r="C17" s="38" t="s">
        <v>102</v>
      </c>
      <c r="D17" s="48" t="s">
        <v>103</v>
      </c>
      <c r="E17" s="38"/>
    </row>
    <row r="18">
      <c r="A18" s="51"/>
      <c r="B18" s="38"/>
      <c r="C18" s="38" t="s">
        <v>104</v>
      </c>
      <c r="D18" s="48" t="s">
        <v>105</v>
      </c>
      <c r="E18" s="38"/>
    </row>
    <row r="19">
      <c r="A19" s="38"/>
      <c r="B19" s="38"/>
      <c r="C19" s="38" t="s">
        <v>106</v>
      </c>
      <c r="D19" s="48" t="s">
        <v>107</v>
      </c>
      <c r="E19" s="53" t="s">
        <v>108</v>
      </c>
    </row>
    <row r="20">
      <c r="A20" s="38"/>
      <c r="B20" s="38"/>
      <c r="C20" s="38"/>
      <c r="D20" s="48"/>
      <c r="E20" s="38"/>
    </row>
    <row r="21">
      <c r="A21" s="38"/>
      <c r="B21" s="38"/>
      <c r="C21" s="33" t="s">
        <v>98</v>
      </c>
      <c r="D21" s="48" t="s">
        <v>109</v>
      </c>
      <c r="E21" s="38"/>
    </row>
    <row r="22">
      <c r="A22" s="38"/>
      <c r="B22" s="38"/>
      <c r="C22" s="44" t="s">
        <v>100</v>
      </c>
      <c r="D22" s="48" t="s">
        <v>110</v>
      </c>
      <c r="E22" s="38"/>
    </row>
    <row r="23">
      <c r="A23" s="38"/>
      <c r="B23" s="38"/>
      <c r="C23" s="38" t="s">
        <v>102</v>
      </c>
      <c r="D23" s="48" t="s">
        <v>111</v>
      </c>
      <c r="E23" s="38"/>
    </row>
    <row r="24">
      <c r="A24" s="38"/>
      <c r="B24" s="38"/>
      <c r="C24" s="38" t="s">
        <v>104</v>
      </c>
      <c r="D24" s="48" t="s">
        <v>112</v>
      </c>
      <c r="E24" s="38"/>
    </row>
    <row r="25">
      <c r="A25" s="38"/>
      <c r="B25" s="38"/>
      <c r="C25" s="38" t="s">
        <v>106</v>
      </c>
      <c r="D25" s="48" t="s">
        <v>113</v>
      </c>
      <c r="E25" s="53" t="s">
        <v>108</v>
      </c>
    </row>
    <row r="26">
      <c r="A26" s="38" t="s">
        <v>114</v>
      </c>
      <c r="B26" s="38" t="s">
        <v>93</v>
      </c>
      <c r="C26" s="38" t="s">
        <v>115</v>
      </c>
      <c r="D26" s="54" t="s">
        <v>116</v>
      </c>
      <c r="E26" s="38"/>
    </row>
    <row r="27">
      <c r="A27" s="38"/>
      <c r="B27" s="38"/>
      <c r="C27" s="38" t="s">
        <v>117</v>
      </c>
      <c r="D27" s="54" t="s">
        <v>118</v>
      </c>
      <c r="E27" s="38"/>
    </row>
    <row r="28">
      <c r="A28" s="38"/>
      <c r="B28" s="38"/>
      <c r="C28" s="38"/>
      <c r="D28" s="54" t="s">
        <v>119</v>
      </c>
      <c r="E28" s="38"/>
    </row>
    <row r="29">
      <c r="A29" s="53"/>
      <c r="B29" s="53"/>
      <c r="C29" s="53"/>
      <c r="D29" s="53"/>
      <c r="E29" s="38"/>
    </row>
    <row r="30">
      <c r="A30" s="53" t="s">
        <v>120</v>
      </c>
      <c r="B30" s="53" t="s">
        <v>93</v>
      </c>
      <c r="C30" s="53" t="s">
        <v>121</v>
      </c>
      <c r="D30" s="54" t="s">
        <v>168</v>
      </c>
      <c r="E30" s="38"/>
    </row>
    <row r="31">
      <c r="A31" s="38"/>
      <c r="B31" s="38"/>
      <c r="C31" s="53" t="s">
        <v>123</v>
      </c>
      <c r="D31" s="54" t="s">
        <v>169</v>
      </c>
      <c r="E31" s="38"/>
    </row>
    <row r="32">
      <c r="A32" s="38"/>
      <c r="B32" s="38"/>
      <c r="C32" s="53" t="s">
        <v>125</v>
      </c>
      <c r="D32" s="53" t="s">
        <v>126</v>
      </c>
      <c r="E32" s="38"/>
    </row>
    <row r="33">
      <c r="A33" s="38"/>
      <c r="B33" s="38"/>
      <c r="C33" s="53" t="s">
        <v>127</v>
      </c>
      <c r="D33" s="53" t="s">
        <v>128</v>
      </c>
      <c r="E33" s="38"/>
    </row>
    <row r="34">
      <c r="A34" s="38"/>
      <c r="B34" s="38"/>
      <c r="C34" s="53" t="s">
        <v>129</v>
      </c>
      <c r="D34" s="54" t="s">
        <v>130</v>
      </c>
      <c r="E34" s="38"/>
    </row>
    <row r="35">
      <c r="A35" s="38"/>
      <c r="B35" s="38"/>
      <c r="C35" s="53" t="s">
        <v>131</v>
      </c>
      <c r="D35" s="53" t="s">
        <v>170</v>
      </c>
      <c r="E35" s="38"/>
    </row>
    <row r="36">
      <c r="A36" s="38"/>
      <c r="B36" s="38"/>
      <c r="C36" s="53" t="s">
        <v>133</v>
      </c>
      <c r="D36" s="53" t="s">
        <v>134</v>
      </c>
      <c r="E36" s="38"/>
    </row>
    <row r="37">
      <c r="A37" s="38"/>
      <c r="B37" s="38"/>
      <c r="C37" s="53" t="s">
        <v>127</v>
      </c>
      <c r="D37" s="53" t="s">
        <v>128</v>
      </c>
      <c r="E37" s="38"/>
    </row>
    <row r="38">
      <c r="A38" s="38"/>
      <c r="B38" s="38"/>
      <c r="C38" s="53" t="s">
        <v>135</v>
      </c>
      <c r="D38" s="53" t="s">
        <v>130</v>
      </c>
      <c r="E38" s="38"/>
    </row>
    <row r="39">
      <c r="A39" s="38"/>
      <c r="B39" s="38"/>
      <c r="C39" s="38"/>
      <c r="D39" s="53"/>
      <c r="E39" s="38"/>
    </row>
    <row r="40">
      <c r="A40" s="38"/>
      <c r="B40" s="38"/>
      <c r="C40" s="38"/>
      <c r="D40" s="38"/>
      <c r="E40" s="38"/>
    </row>
    <row r="41">
      <c r="A41" s="38"/>
      <c r="B41" s="38"/>
      <c r="C41" s="38"/>
      <c r="D41" s="38"/>
      <c r="E41" s="38"/>
    </row>
    <row r="42">
      <c r="A42" s="38"/>
      <c r="B42" s="38"/>
      <c r="C42" s="38"/>
      <c r="D42" s="38"/>
      <c r="E42" s="38"/>
    </row>
    <row r="43">
      <c r="A43" s="38"/>
      <c r="B43" s="38"/>
      <c r="C43" s="38"/>
      <c r="D43" s="38"/>
      <c r="E43" s="38"/>
    </row>
    <row r="44">
      <c r="A44" s="38"/>
      <c r="B44" s="38"/>
      <c r="C44" s="38"/>
      <c r="D44" s="38"/>
      <c r="E44" s="38"/>
    </row>
    <row r="45">
      <c r="A45" s="38"/>
      <c r="B45" s="38"/>
      <c r="C45" s="38"/>
      <c r="D45" s="58"/>
      <c r="E45" s="38"/>
    </row>
    <row r="46">
      <c r="A46" s="38"/>
      <c r="B46" s="38"/>
      <c r="C46" s="38"/>
      <c r="D46" s="58"/>
      <c r="E46" s="38"/>
    </row>
    <row r="47">
      <c r="A47" s="38"/>
      <c r="B47" s="38"/>
      <c r="C47" s="38"/>
      <c r="D47" s="38"/>
      <c r="E47" s="38"/>
    </row>
    <row r="48">
      <c r="A48" s="38"/>
      <c r="B48" s="38"/>
      <c r="C48" s="38"/>
      <c r="D48" s="38"/>
      <c r="E48" s="38"/>
    </row>
    <row r="49">
      <c r="A49" s="38"/>
      <c r="B49" s="38"/>
      <c r="C49" s="38"/>
      <c r="D49" s="38"/>
      <c r="E49" s="38"/>
    </row>
    <row r="50">
      <c r="A50" s="38"/>
      <c r="B50" s="38"/>
      <c r="C50" s="38"/>
      <c r="D50" s="38"/>
      <c r="E50" s="38"/>
    </row>
    <row r="51">
      <c r="A51" s="38"/>
      <c r="B51" s="38"/>
      <c r="C51" s="38"/>
      <c r="D51" s="38"/>
      <c r="E51" s="38"/>
    </row>
    <row r="52">
      <c r="A52" s="38"/>
      <c r="B52" s="38"/>
      <c r="C52" s="38"/>
      <c r="D52" s="38"/>
      <c r="E52" s="38"/>
    </row>
    <row r="53">
      <c r="A53" s="38"/>
      <c r="B53" s="38"/>
      <c r="C53" s="38"/>
      <c r="D53" s="38"/>
      <c r="E53" s="38"/>
    </row>
    <row r="54">
      <c r="A54" s="38"/>
      <c r="B54" s="38"/>
      <c r="C54" s="38"/>
      <c r="D54" s="38"/>
      <c r="E54" s="38"/>
    </row>
    <row r="55">
      <c r="A55" s="38"/>
      <c r="B55" s="38"/>
      <c r="C55" s="38"/>
      <c r="D55" s="38"/>
      <c r="E55" s="38"/>
    </row>
    <row r="56">
      <c r="A56" s="38"/>
      <c r="B56" s="38"/>
      <c r="C56" s="38"/>
      <c r="D56" s="38"/>
      <c r="E56" s="38"/>
    </row>
    <row r="57">
      <c r="A57" s="38"/>
      <c r="B57" s="38"/>
      <c r="C57" s="38"/>
      <c r="D57" s="38"/>
      <c r="E57" s="38"/>
    </row>
    <row r="58">
      <c r="A58" s="38"/>
      <c r="B58" s="38"/>
      <c r="C58" s="38"/>
      <c r="D58" s="38"/>
      <c r="E58" s="38"/>
    </row>
    <row r="59">
      <c r="A59" s="38"/>
      <c r="B59" s="38"/>
      <c r="C59" s="38"/>
      <c r="D59" s="38"/>
      <c r="E59" s="38"/>
    </row>
    <row r="60">
      <c r="A60" s="38"/>
      <c r="B60" s="38"/>
      <c r="C60" s="38"/>
      <c r="D60" s="38"/>
      <c r="E60" s="38"/>
    </row>
    <row r="61">
      <c r="A61" s="38"/>
      <c r="B61" s="38"/>
      <c r="C61" s="38"/>
      <c r="D61" s="38"/>
      <c r="E61" s="38"/>
    </row>
    <row r="62">
      <c r="A62" s="38"/>
      <c r="B62" s="38"/>
      <c r="C62" s="38"/>
      <c r="D62" s="38"/>
      <c r="E62" s="38"/>
    </row>
    <row r="63">
      <c r="A63" s="38"/>
      <c r="B63" s="38"/>
      <c r="C63" s="38"/>
      <c r="D63" s="38"/>
      <c r="E63" s="38"/>
    </row>
    <row r="64">
      <c r="A64" s="38"/>
      <c r="B64" s="38"/>
      <c r="C64" s="38"/>
      <c r="D64" s="38"/>
      <c r="E64" s="38"/>
    </row>
    <row r="65">
      <c r="A65" s="38"/>
      <c r="B65" s="38"/>
      <c r="C65" s="38"/>
      <c r="D65" s="38"/>
      <c r="E65" s="38"/>
    </row>
    <row r="66">
      <c r="A66" s="38"/>
      <c r="B66" s="38"/>
      <c r="C66" s="38"/>
      <c r="D66" s="38"/>
      <c r="E66" s="38"/>
    </row>
    <row r="67">
      <c r="A67" s="38"/>
      <c r="B67" s="38"/>
      <c r="C67" s="38"/>
      <c r="D67" s="38"/>
      <c r="E67" s="38"/>
    </row>
    <row r="68">
      <c r="A68" s="38"/>
      <c r="B68" s="38"/>
      <c r="C68" s="38"/>
      <c r="D68" s="38"/>
      <c r="E68" s="38"/>
    </row>
    <row r="69">
      <c r="A69" s="38"/>
      <c r="B69" s="38"/>
      <c r="C69" s="38"/>
      <c r="D69" s="38"/>
      <c r="E69" s="38"/>
    </row>
    <row r="70">
      <c r="A70" s="38"/>
      <c r="B70" s="38"/>
      <c r="C70" s="38"/>
      <c r="D70" s="38"/>
      <c r="E70" s="38"/>
    </row>
    <row r="71">
      <c r="A71" s="38"/>
      <c r="B71" s="38"/>
      <c r="C71" s="38"/>
      <c r="D71" s="38"/>
      <c r="E71" s="38"/>
    </row>
    <row r="72">
      <c r="A72" s="38"/>
      <c r="B72" s="38"/>
      <c r="C72" s="38"/>
      <c r="D72" s="38"/>
      <c r="E72" s="38"/>
    </row>
    <row r="73">
      <c r="A73" s="38"/>
      <c r="B73" s="38"/>
      <c r="C73" s="38"/>
      <c r="D73" s="38"/>
      <c r="E73" s="38"/>
    </row>
    <row r="74">
      <c r="A74" s="38"/>
      <c r="B74" s="38"/>
      <c r="C74" s="38"/>
      <c r="D74" s="38"/>
      <c r="E74" s="38"/>
    </row>
    <row r="75">
      <c r="A75" s="38"/>
      <c r="B75" s="38"/>
      <c r="C75" s="38"/>
      <c r="D75" s="38"/>
      <c r="E75" s="38"/>
    </row>
    <row r="76">
      <c r="A76" s="38"/>
      <c r="B76" s="38"/>
      <c r="C76" s="38"/>
      <c r="D76" s="38"/>
      <c r="E76" s="38"/>
    </row>
    <row r="77">
      <c r="A77" s="38"/>
      <c r="B77" s="38"/>
      <c r="C77" s="38"/>
      <c r="D77" s="38"/>
      <c r="E77" s="38"/>
    </row>
    <row r="78">
      <c r="A78" s="38"/>
      <c r="B78" s="38"/>
      <c r="C78" s="38"/>
      <c r="D78" s="38"/>
      <c r="E78" s="38"/>
    </row>
    <row r="79">
      <c r="A79" s="38"/>
      <c r="B79" s="38"/>
      <c r="C79" s="38"/>
      <c r="D79" s="38"/>
      <c r="E79" s="38"/>
    </row>
    <row r="80">
      <c r="A80" s="38"/>
      <c r="B80" s="38"/>
      <c r="C80" s="38"/>
      <c r="D80" s="54"/>
      <c r="E80" s="38"/>
    </row>
    <row r="81">
      <c r="A81" s="38"/>
      <c r="B81" s="38"/>
      <c r="C81" s="38"/>
      <c r="D81" s="54"/>
      <c r="E81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7.75"/>
  </cols>
  <sheetData>
    <row r="1">
      <c r="A1" s="20"/>
      <c r="B1" s="20"/>
      <c r="C1" s="20"/>
      <c r="D1" s="89">
        <v>45658.0</v>
      </c>
      <c r="E1" s="89">
        <v>45689.0</v>
      </c>
      <c r="F1" s="89">
        <v>45717.0</v>
      </c>
      <c r="G1" s="89">
        <v>45748.0</v>
      </c>
      <c r="H1" s="89">
        <v>45778.0</v>
      </c>
      <c r="I1" s="89">
        <v>45809.0</v>
      </c>
      <c r="J1" s="22">
        <v>45839.0</v>
      </c>
      <c r="K1" s="22">
        <v>45870.0</v>
      </c>
      <c r="L1" s="22">
        <v>45901.0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90" t="s">
        <v>171</v>
      </c>
      <c r="B2" s="27" t="s">
        <v>12</v>
      </c>
      <c r="C2" s="27" t="s">
        <v>13</v>
      </c>
      <c r="D2" s="91" t="s">
        <v>17</v>
      </c>
      <c r="E2" s="91" t="s">
        <v>17</v>
      </c>
      <c r="F2" s="91" t="s">
        <v>17</v>
      </c>
      <c r="G2" s="91" t="s">
        <v>17</v>
      </c>
      <c r="H2" s="91" t="s">
        <v>17</v>
      </c>
      <c r="I2" s="91" t="s">
        <v>17</v>
      </c>
      <c r="J2" s="91" t="s">
        <v>17</v>
      </c>
      <c r="K2" s="91" t="s">
        <v>17</v>
      </c>
      <c r="L2" s="91" t="s">
        <v>17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53" t="s">
        <v>172</v>
      </c>
      <c r="B3" s="53" t="s">
        <v>173</v>
      </c>
      <c r="C3" s="38"/>
      <c r="D3" s="38"/>
      <c r="E3" s="38"/>
      <c r="F3" s="38"/>
      <c r="G3" s="38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38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>
        <f t="shared" ref="AH3:AH8" si="1">SUM(V3:AG3)</f>
        <v>0</v>
      </c>
      <c r="AI3" s="38"/>
      <c r="AJ3" s="38"/>
      <c r="AK3" s="38"/>
      <c r="AL3" s="38"/>
      <c r="AM3" s="38"/>
    </row>
    <row r="4">
      <c r="A4" s="38"/>
      <c r="B4" s="53" t="s">
        <v>174</v>
      </c>
      <c r="C4" s="38"/>
      <c r="D4" s="38"/>
      <c r="E4" s="93"/>
      <c r="F4" s="38"/>
      <c r="G4" s="38"/>
      <c r="H4" s="94"/>
      <c r="I4" s="94"/>
      <c r="J4" s="94"/>
      <c r="K4" s="94"/>
      <c r="L4" s="94"/>
      <c r="M4" s="94"/>
      <c r="N4" s="38"/>
      <c r="O4" s="38"/>
      <c r="P4" s="38"/>
      <c r="Q4" s="38"/>
      <c r="R4" s="38"/>
      <c r="S4" s="38"/>
      <c r="T4" s="92"/>
      <c r="U4" s="38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2">
        <f t="shared" si="1"/>
        <v>0</v>
      </c>
      <c r="AI4" s="38"/>
      <c r="AJ4" s="38"/>
      <c r="AK4" s="38"/>
      <c r="AL4" s="38"/>
      <c r="AM4" s="38"/>
    </row>
    <row r="5">
      <c r="A5" s="38"/>
      <c r="B5" s="53" t="s">
        <v>175</v>
      </c>
      <c r="C5" s="38"/>
      <c r="D5" s="38"/>
      <c r="E5" s="38"/>
      <c r="F5" s="38"/>
      <c r="G5" s="38"/>
      <c r="H5" s="96"/>
      <c r="I5" s="96"/>
      <c r="J5" s="96"/>
      <c r="K5" s="96"/>
      <c r="L5" s="96"/>
      <c r="M5" s="96"/>
      <c r="N5" s="92"/>
      <c r="O5" s="92"/>
      <c r="P5" s="92"/>
      <c r="Q5" s="92"/>
      <c r="R5" s="92"/>
      <c r="S5" s="92"/>
      <c r="T5" s="92"/>
      <c r="U5" s="35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>
        <f t="shared" si="1"/>
        <v>0</v>
      </c>
      <c r="AI5" s="35" t="str">
        <f>AH5/#REF!</f>
        <v>#REF!</v>
      </c>
      <c r="AJ5" s="35"/>
      <c r="AK5" s="35"/>
      <c r="AL5" s="35"/>
      <c r="AM5" s="35"/>
    </row>
    <row r="6">
      <c r="A6" s="38"/>
      <c r="B6" s="53" t="s">
        <v>176</v>
      </c>
      <c r="C6" s="38"/>
      <c r="D6" s="38"/>
      <c r="E6" s="38"/>
      <c r="F6" s="38"/>
      <c r="G6" s="38"/>
      <c r="H6" s="96"/>
      <c r="I6" s="96"/>
      <c r="J6" s="96"/>
      <c r="K6" s="96"/>
      <c r="L6" s="96"/>
      <c r="M6" s="96"/>
      <c r="N6" s="92"/>
      <c r="O6" s="92"/>
      <c r="P6" s="92"/>
      <c r="Q6" s="92"/>
      <c r="R6" s="92"/>
      <c r="S6" s="92"/>
      <c r="T6" s="92"/>
      <c r="U6" s="38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>
        <f t="shared" si="1"/>
        <v>0</v>
      </c>
      <c r="AI6" s="38"/>
      <c r="AJ6" s="38"/>
      <c r="AK6" s="38"/>
      <c r="AL6" s="38"/>
      <c r="AM6" s="38"/>
    </row>
    <row r="7">
      <c r="A7" s="38"/>
      <c r="B7" s="38"/>
      <c r="C7" s="97"/>
      <c r="D7" s="38"/>
      <c r="E7" s="38"/>
      <c r="F7" s="38"/>
      <c r="G7" s="38"/>
      <c r="H7" s="96"/>
      <c r="I7" s="96"/>
      <c r="J7" s="96"/>
      <c r="K7" s="96"/>
      <c r="L7" s="96"/>
      <c r="M7" s="96"/>
      <c r="N7" s="92"/>
      <c r="O7" s="92"/>
      <c r="P7" s="92"/>
      <c r="Q7" s="92"/>
      <c r="R7" s="92"/>
      <c r="S7" s="92"/>
      <c r="T7" s="92"/>
      <c r="U7" s="38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>
        <f t="shared" si="1"/>
        <v>0</v>
      </c>
      <c r="AI7" s="38"/>
      <c r="AJ7" s="38"/>
      <c r="AK7" s="38"/>
      <c r="AL7" s="38"/>
      <c r="AM7" s="38"/>
    </row>
    <row r="8">
      <c r="A8" s="38"/>
      <c r="B8" s="53" t="s">
        <v>177</v>
      </c>
      <c r="C8" s="38"/>
      <c r="D8" s="38"/>
      <c r="E8" s="38"/>
      <c r="F8" s="38"/>
      <c r="G8" s="38"/>
      <c r="H8" s="96"/>
      <c r="I8" s="96"/>
      <c r="J8" s="96"/>
      <c r="K8" s="96"/>
      <c r="L8" s="96"/>
      <c r="M8" s="96"/>
      <c r="N8" s="92"/>
      <c r="O8" s="92"/>
      <c r="P8" s="92"/>
      <c r="Q8" s="92"/>
      <c r="R8" s="92"/>
      <c r="S8" s="92"/>
      <c r="T8" s="92"/>
      <c r="U8" s="38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>
        <f t="shared" si="1"/>
        <v>0</v>
      </c>
      <c r="AI8" s="38"/>
      <c r="AJ8" s="38"/>
      <c r="AK8" s="38"/>
      <c r="AL8" s="38"/>
      <c r="AM8" s="38"/>
    </row>
    <row r="9">
      <c r="A9" s="38"/>
      <c r="B9" s="53" t="s">
        <v>178</v>
      </c>
      <c r="C9" s="53" t="s">
        <v>179</v>
      </c>
      <c r="D9" s="38"/>
      <c r="E9" s="98"/>
      <c r="F9" s="38"/>
      <c r="G9" s="38"/>
      <c r="H9" s="99"/>
      <c r="I9" s="99"/>
      <c r="J9" s="99"/>
      <c r="K9" s="99"/>
      <c r="L9" s="99"/>
      <c r="M9" s="100"/>
      <c r="N9" s="95"/>
      <c r="O9" s="95"/>
      <c r="P9" s="95"/>
      <c r="Q9" s="95"/>
      <c r="R9" s="95"/>
      <c r="S9" s="95"/>
      <c r="T9" s="92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38"/>
      <c r="B10" s="53" t="s">
        <v>180</v>
      </c>
      <c r="C10" s="38"/>
      <c r="D10" s="38"/>
      <c r="E10" s="38"/>
      <c r="F10" s="38"/>
      <c r="G10" s="38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38"/>
      <c r="U10" s="38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38"/>
      <c r="AI10" s="38"/>
      <c r="AJ10" s="38"/>
      <c r="AK10" s="38"/>
      <c r="AL10" s="38"/>
      <c r="AM10" s="38"/>
    </row>
    <row r="11">
      <c r="A11" s="38"/>
      <c r="B11" s="53"/>
      <c r="C11" s="38"/>
      <c r="D11" s="38"/>
      <c r="E11" s="38"/>
      <c r="F11" s="38"/>
      <c r="G11" s="38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38"/>
      <c r="U11" s="38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38"/>
      <c r="AI11" s="38"/>
      <c r="AJ11" s="38"/>
      <c r="AK11" s="38"/>
      <c r="AL11" s="38"/>
      <c r="AM11" s="38"/>
    </row>
    <row r="12">
      <c r="A12" s="38"/>
      <c r="B12" s="38"/>
      <c r="C12" s="97"/>
      <c r="D12" s="38"/>
      <c r="E12" s="38"/>
      <c r="F12" s="38"/>
      <c r="G12" s="38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38"/>
      <c r="U12" s="38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38"/>
      <c r="AI12" s="38"/>
      <c r="AJ12" s="38"/>
      <c r="AK12" s="38"/>
      <c r="AL12" s="38"/>
      <c r="AM12" s="38"/>
    </row>
    <row r="13">
      <c r="A13" s="38"/>
      <c r="B13" s="38"/>
      <c r="C13" s="38"/>
      <c r="D13" s="38"/>
      <c r="E13" s="38"/>
      <c r="F13" s="38"/>
      <c r="G13" s="38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38"/>
      <c r="U13" s="38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38"/>
      <c r="AI13" s="38"/>
      <c r="AJ13" s="38"/>
      <c r="AK13" s="38"/>
      <c r="AL13" s="38"/>
      <c r="AM13" s="38"/>
    </row>
    <row r="14">
      <c r="A14" s="53" t="s">
        <v>181</v>
      </c>
      <c r="B14" s="53" t="s">
        <v>173</v>
      </c>
      <c r="C14" s="53"/>
      <c r="D14" s="38"/>
      <c r="E14" s="38"/>
      <c r="F14" s="38"/>
      <c r="G14" s="38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38"/>
      <c r="U14" s="38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38"/>
      <c r="AI14" s="38"/>
      <c r="AJ14" s="38"/>
      <c r="AK14" s="38"/>
      <c r="AL14" s="38"/>
      <c r="AM14" s="38"/>
    </row>
    <row r="15">
      <c r="A15" s="38"/>
      <c r="B15" s="53" t="s">
        <v>174</v>
      </c>
      <c r="C15" s="38"/>
      <c r="D15" s="38"/>
      <c r="E15" s="38"/>
      <c r="F15" s="38"/>
      <c r="G15" s="38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38"/>
      <c r="U15" s="38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38"/>
      <c r="AI15" s="38"/>
      <c r="AJ15" s="38"/>
      <c r="AK15" s="38"/>
      <c r="AL15" s="38"/>
      <c r="AM15" s="38"/>
    </row>
    <row r="16">
      <c r="A16" s="38"/>
      <c r="B16" s="53" t="s">
        <v>175</v>
      </c>
      <c r="C16" s="38"/>
      <c r="D16" s="38"/>
      <c r="E16" s="38"/>
      <c r="F16" s="38"/>
      <c r="G16" s="38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38"/>
      <c r="U16" s="3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38"/>
      <c r="AI16" s="38"/>
      <c r="AJ16" s="38"/>
      <c r="AK16" s="38"/>
      <c r="AL16" s="38"/>
      <c r="AM16" s="38"/>
    </row>
    <row r="17">
      <c r="A17" s="38"/>
      <c r="B17" s="53" t="s">
        <v>176</v>
      </c>
      <c r="C17" s="38"/>
      <c r="D17" s="38"/>
      <c r="E17" s="38"/>
      <c r="F17" s="38"/>
      <c r="G17" s="38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38"/>
      <c r="U17" s="3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38"/>
      <c r="AI17" s="38"/>
      <c r="AJ17" s="38"/>
      <c r="AK17" s="38"/>
      <c r="AL17" s="38"/>
      <c r="AM17" s="38"/>
    </row>
    <row r="18">
      <c r="A18" s="53"/>
      <c r="B18" s="38"/>
      <c r="C18" s="38"/>
      <c r="D18" s="38"/>
      <c r="E18" s="38"/>
      <c r="F18" s="38"/>
      <c r="G18" s="38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38"/>
      <c r="U18" s="38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38"/>
      <c r="AI18" s="38"/>
      <c r="AJ18" s="38"/>
      <c r="AK18" s="38"/>
      <c r="AL18" s="38"/>
      <c r="AM18" s="38"/>
    </row>
    <row r="19">
      <c r="A19" s="38"/>
      <c r="B19" s="53" t="s">
        <v>177</v>
      </c>
      <c r="C19" s="53"/>
      <c r="D19" s="38"/>
      <c r="E19" s="38"/>
      <c r="F19" s="38"/>
      <c r="G19" s="38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38"/>
      <c r="U19" s="38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38"/>
      <c r="AI19" s="38"/>
      <c r="AJ19" s="38"/>
      <c r="AK19" s="38"/>
      <c r="AL19" s="38"/>
      <c r="AM19" s="38"/>
    </row>
    <row r="20">
      <c r="A20" s="38"/>
      <c r="B20" s="53" t="s">
        <v>178</v>
      </c>
      <c r="C20" s="38"/>
      <c r="D20" s="38"/>
      <c r="E20" s="38"/>
      <c r="F20" s="38"/>
      <c r="G20" s="38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38"/>
      <c r="U20" s="38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38"/>
      <c r="AI20" s="38"/>
      <c r="AJ20" s="38"/>
      <c r="AK20" s="38"/>
      <c r="AL20" s="38"/>
      <c r="AM20" s="38"/>
    </row>
    <row r="21">
      <c r="A21" s="38"/>
      <c r="B21" s="53" t="s">
        <v>180</v>
      </c>
      <c r="C21" s="38"/>
      <c r="D21" s="38"/>
      <c r="E21" s="38"/>
      <c r="F21" s="38"/>
      <c r="G21" s="38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38"/>
      <c r="U21" s="38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38"/>
      <c r="AI21" s="38"/>
      <c r="AJ21" s="38"/>
      <c r="AK21" s="38"/>
      <c r="AL21" s="38"/>
      <c r="AM21" s="38"/>
    </row>
    <row r="22">
      <c r="A22" s="38"/>
      <c r="B22" s="38"/>
      <c r="C22" s="38"/>
      <c r="D22" s="38"/>
      <c r="E22" s="38"/>
      <c r="F22" s="38"/>
      <c r="G22" s="38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38"/>
      <c r="U22" s="38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38"/>
      <c r="AI22" s="38"/>
      <c r="AJ22" s="38"/>
      <c r="AK22" s="38"/>
      <c r="AL22" s="38"/>
      <c r="AM22" s="38"/>
    </row>
    <row r="23">
      <c r="A23" s="38"/>
      <c r="B23" s="38"/>
      <c r="C23" s="53"/>
      <c r="D23" s="38"/>
      <c r="E23" s="38"/>
      <c r="F23" s="38"/>
      <c r="G23" s="38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38"/>
      <c r="U23" s="38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38"/>
      <c r="AI23" s="38"/>
      <c r="AJ23" s="38"/>
      <c r="AK23" s="38"/>
      <c r="AL23" s="38"/>
      <c r="AM23" s="38"/>
    </row>
    <row r="24">
      <c r="A24" s="38"/>
      <c r="B24" s="38"/>
      <c r="C24" s="38"/>
      <c r="D24" s="38"/>
      <c r="E24" s="38"/>
      <c r="F24" s="38"/>
      <c r="G24" s="38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38"/>
      <c r="U24" s="38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38"/>
      <c r="AI24" s="38"/>
      <c r="AJ24" s="38"/>
      <c r="AK24" s="38"/>
      <c r="AL24" s="38"/>
      <c r="AM24" s="38"/>
    </row>
    <row r="25">
      <c r="A25" s="38"/>
      <c r="B25" s="38"/>
      <c r="C25" s="38"/>
      <c r="D25" s="38"/>
      <c r="E25" s="38"/>
      <c r="F25" s="38"/>
      <c r="G25" s="38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38"/>
      <c r="U25" s="38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38"/>
      <c r="AI25" s="38"/>
      <c r="AJ25" s="38"/>
      <c r="AK25" s="38"/>
      <c r="AL25" s="38"/>
      <c r="AM25" s="38"/>
    </row>
    <row r="26">
      <c r="A26" s="38"/>
      <c r="B26" s="38"/>
      <c r="C26" s="38"/>
      <c r="D26" s="38"/>
      <c r="E26" s="38"/>
      <c r="F26" s="38"/>
      <c r="G26" s="38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38"/>
      <c r="U26" s="38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38"/>
      <c r="AI26" s="38"/>
      <c r="AJ26" s="38"/>
      <c r="AK26" s="38"/>
      <c r="AL26" s="38"/>
      <c r="AM26" s="38"/>
    </row>
    <row r="27">
      <c r="A27" s="53"/>
      <c r="B27" s="53"/>
      <c r="C27" s="53"/>
      <c r="D27" s="38"/>
      <c r="E27" s="38"/>
      <c r="F27" s="38"/>
      <c r="G27" s="38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38"/>
      <c r="U27" s="38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38"/>
      <c r="AI27" s="38"/>
      <c r="AJ27" s="38"/>
      <c r="AK27" s="38"/>
      <c r="AL27" s="38"/>
      <c r="AM27" s="38"/>
    </row>
    <row r="28">
      <c r="A28" s="38"/>
      <c r="B28" s="38"/>
      <c r="C28" s="38"/>
      <c r="D28" s="38"/>
      <c r="E28" s="38"/>
      <c r="F28" s="38"/>
      <c r="G28" s="38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38"/>
      <c r="U28" s="38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38"/>
      <c r="AI28" s="38"/>
      <c r="AJ28" s="38"/>
      <c r="AK28" s="38"/>
      <c r="AL28" s="38"/>
      <c r="AM28" s="38"/>
    </row>
    <row r="29">
      <c r="A29" s="38"/>
      <c r="B29" s="38"/>
      <c r="C29" s="38"/>
      <c r="D29" s="38"/>
      <c r="E29" s="38"/>
      <c r="F29" s="38"/>
      <c r="G29" s="38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38"/>
      <c r="U29" s="38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38"/>
      <c r="AI29" s="38"/>
      <c r="AJ29" s="38"/>
      <c r="AK29" s="38"/>
      <c r="AL29" s="38"/>
      <c r="AM29" s="38"/>
    </row>
    <row r="30">
      <c r="A30" s="38"/>
      <c r="B30" s="38"/>
      <c r="C30" s="38"/>
      <c r="D30" s="38"/>
      <c r="E30" s="38"/>
      <c r="F30" s="38"/>
      <c r="G30" s="38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38"/>
      <c r="U30" s="38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38"/>
      <c r="AI30" s="38"/>
      <c r="AJ30" s="38"/>
      <c r="AK30" s="38"/>
      <c r="AL30" s="38"/>
      <c r="AM30" s="38"/>
    </row>
    <row r="31">
      <c r="A31" s="38"/>
      <c r="B31" s="38"/>
      <c r="C31" s="53"/>
      <c r="D31" s="52"/>
      <c r="E31" s="52"/>
      <c r="F31" s="52"/>
      <c r="G31" s="52"/>
      <c r="H31" s="52"/>
      <c r="I31" s="52"/>
      <c r="J31" s="52"/>
      <c r="K31" s="52"/>
      <c r="L31" s="52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101" t="s">
        <v>181</v>
      </c>
      <c r="B32" s="53"/>
      <c r="C32" s="53"/>
      <c r="D32" s="52"/>
      <c r="E32" s="52"/>
      <c r="F32" s="52"/>
      <c r="G32" s="52"/>
      <c r="H32" s="52"/>
      <c r="I32" s="52"/>
      <c r="J32" s="52"/>
      <c r="K32" s="52"/>
      <c r="L32" s="52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102"/>
      <c r="B33" s="38"/>
      <c r="C33" s="53"/>
      <c r="D33" s="92"/>
      <c r="E33" s="92"/>
      <c r="F33" s="92"/>
      <c r="G33" s="92"/>
      <c r="H33" s="92"/>
      <c r="I33" s="92"/>
      <c r="J33" s="92"/>
      <c r="K33" s="92"/>
      <c r="L33" s="92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102"/>
      <c r="B34" s="38"/>
      <c r="C34" s="53"/>
      <c r="D34" s="92"/>
      <c r="E34" s="92"/>
      <c r="F34" s="92"/>
      <c r="G34" s="92"/>
      <c r="H34" s="92"/>
      <c r="I34" s="92"/>
      <c r="J34" s="92"/>
      <c r="K34" s="92"/>
      <c r="L34" s="92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103"/>
      <c r="B35" s="53"/>
      <c r="C35" s="53"/>
      <c r="D35" s="35"/>
      <c r="E35" s="35"/>
      <c r="F35" s="35"/>
      <c r="G35" s="35"/>
      <c r="H35" s="35"/>
      <c r="I35" s="35"/>
      <c r="J35" s="35"/>
      <c r="K35" s="35"/>
      <c r="L35" s="35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103"/>
      <c r="B36" s="53"/>
      <c r="C36" s="53"/>
      <c r="D36" s="35"/>
      <c r="E36" s="35"/>
      <c r="F36" s="35"/>
      <c r="G36" s="35"/>
      <c r="H36" s="35"/>
      <c r="I36" s="35"/>
      <c r="J36" s="35"/>
      <c r="K36" s="35"/>
      <c r="L36" s="35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103"/>
      <c r="B37" s="38"/>
      <c r="C37" s="53"/>
      <c r="D37" s="60"/>
      <c r="E37" s="60"/>
      <c r="F37" s="60"/>
      <c r="G37" s="60"/>
      <c r="H37" s="60"/>
      <c r="I37" s="60"/>
      <c r="J37" s="55"/>
      <c r="K37" s="55"/>
      <c r="L37" s="55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103"/>
      <c r="B38" s="38"/>
      <c r="C38" s="53"/>
      <c r="D38" s="60"/>
      <c r="E38" s="60"/>
      <c r="F38" s="60"/>
      <c r="G38" s="60"/>
      <c r="H38" s="60"/>
      <c r="I38" s="60"/>
      <c r="J38" s="55"/>
      <c r="K38" s="55"/>
      <c r="L38" s="55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38"/>
      <c r="B39" s="38"/>
      <c r="C39" s="38"/>
      <c r="D39" s="60"/>
      <c r="E39" s="60"/>
      <c r="F39" s="60"/>
      <c r="G39" s="60"/>
      <c r="H39" s="60"/>
      <c r="I39" s="60"/>
      <c r="J39" s="55"/>
      <c r="K39" s="55"/>
      <c r="L39" s="55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38"/>
      <c r="B40" s="38"/>
      <c r="C40" s="38"/>
      <c r="D40" s="60"/>
      <c r="E40" s="60"/>
      <c r="F40" s="60"/>
      <c r="G40" s="60"/>
      <c r="H40" s="60"/>
      <c r="I40" s="60"/>
      <c r="J40" s="55"/>
      <c r="K40" s="55"/>
      <c r="L40" s="55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38"/>
      <c r="B41" s="38"/>
      <c r="C41" s="38"/>
      <c r="D41" s="60"/>
      <c r="E41" s="60"/>
      <c r="F41" s="60"/>
      <c r="G41" s="60"/>
      <c r="H41" s="60"/>
      <c r="I41" s="60"/>
      <c r="J41" s="60"/>
      <c r="K41" s="60"/>
      <c r="L41" s="60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8"/>
      <c r="B42" s="38"/>
      <c r="C42" s="38"/>
      <c r="D42" s="52"/>
      <c r="E42" s="52"/>
      <c r="F42" s="52"/>
      <c r="G42" s="52"/>
      <c r="H42" s="52"/>
      <c r="I42" s="52"/>
      <c r="J42" s="52"/>
      <c r="K42" s="52"/>
      <c r="L42" s="52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8"/>
      <c r="B43" s="38"/>
      <c r="C43" s="38"/>
      <c r="D43" s="52"/>
      <c r="E43" s="52"/>
      <c r="F43" s="52"/>
      <c r="G43" s="52"/>
      <c r="H43" s="52"/>
      <c r="I43" s="52"/>
      <c r="J43" s="52"/>
      <c r="K43" s="52"/>
      <c r="L43" s="52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38"/>
      <c r="B44" s="38"/>
      <c r="C44" s="38"/>
      <c r="D44" s="52"/>
      <c r="E44" s="52"/>
      <c r="F44" s="52"/>
      <c r="G44" s="52"/>
      <c r="H44" s="52"/>
      <c r="I44" s="52"/>
      <c r="J44" s="52"/>
      <c r="K44" s="52"/>
      <c r="L44" s="52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38"/>
      <c r="B45" s="38"/>
      <c r="C45" s="38"/>
      <c r="D45" s="52"/>
      <c r="E45" s="52"/>
      <c r="F45" s="52"/>
      <c r="G45" s="52"/>
      <c r="H45" s="52"/>
      <c r="I45" s="52"/>
      <c r="J45" s="52"/>
      <c r="K45" s="52"/>
      <c r="L45" s="52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8"/>
      <c r="B46" s="38"/>
      <c r="C46" s="38"/>
      <c r="D46" s="52"/>
      <c r="E46" s="52"/>
      <c r="F46" s="52"/>
      <c r="G46" s="52"/>
      <c r="H46" s="52"/>
      <c r="I46" s="52"/>
      <c r="J46" s="52"/>
      <c r="K46" s="52"/>
      <c r="L46" s="52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8"/>
      <c r="B47" s="38"/>
      <c r="C47" s="38"/>
      <c r="D47" s="38"/>
      <c r="E47" s="52"/>
      <c r="F47" s="52"/>
      <c r="G47" s="52"/>
      <c r="H47" s="52"/>
      <c r="I47" s="52"/>
      <c r="J47" s="52"/>
      <c r="K47" s="52"/>
      <c r="L47" s="52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8"/>
      <c r="B48" s="38"/>
      <c r="C48" s="38"/>
      <c r="D48" s="52"/>
      <c r="E48" s="52"/>
      <c r="F48" s="52"/>
      <c r="G48" s="52"/>
      <c r="H48" s="52"/>
      <c r="I48" s="52"/>
      <c r="J48" s="52"/>
      <c r="K48" s="52"/>
      <c r="L48" s="52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38"/>
      <c r="B49" s="38"/>
      <c r="C49" s="38"/>
      <c r="D49" s="52"/>
      <c r="E49" s="52"/>
      <c r="F49" s="52"/>
      <c r="G49" s="52"/>
      <c r="H49" s="52"/>
      <c r="I49" s="52"/>
      <c r="J49" s="52"/>
      <c r="K49" s="52"/>
      <c r="L49" s="52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38"/>
      <c r="B50" s="38"/>
      <c r="C50" s="38"/>
      <c r="D50" s="52"/>
      <c r="E50" s="52"/>
      <c r="F50" s="52"/>
      <c r="G50" s="52"/>
      <c r="H50" s="52"/>
      <c r="I50" s="52"/>
      <c r="J50" s="52"/>
      <c r="K50" s="52"/>
      <c r="L50" s="52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38"/>
      <c r="B51" s="38"/>
      <c r="C51" s="38"/>
      <c r="D51" s="52"/>
      <c r="E51" s="52"/>
      <c r="F51" s="52"/>
      <c r="G51" s="52"/>
      <c r="H51" s="52"/>
      <c r="I51" s="52"/>
      <c r="J51" s="52"/>
      <c r="K51" s="52"/>
      <c r="L51" s="52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38"/>
      <c r="B52" s="38"/>
      <c r="C52" s="38"/>
      <c r="D52" s="35"/>
      <c r="E52" s="35"/>
      <c r="F52" s="35"/>
      <c r="G52" s="35"/>
      <c r="H52" s="35"/>
      <c r="I52" s="35"/>
      <c r="J52" s="35"/>
      <c r="K52" s="35"/>
      <c r="L52" s="35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38"/>
      <c r="B53" s="38"/>
      <c r="C53" s="38"/>
      <c r="D53" s="52"/>
      <c r="E53" s="52"/>
      <c r="F53" s="52"/>
      <c r="G53" s="52"/>
      <c r="H53" s="52"/>
      <c r="I53" s="52"/>
      <c r="J53" s="52"/>
      <c r="K53" s="52"/>
      <c r="L53" s="52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8"/>
      <c r="B54" s="38"/>
      <c r="C54" s="38"/>
      <c r="D54" s="52"/>
      <c r="E54" s="52"/>
      <c r="F54" s="52"/>
      <c r="G54" s="52"/>
      <c r="H54" s="52"/>
      <c r="I54" s="52"/>
      <c r="J54" s="52"/>
      <c r="K54" s="52"/>
      <c r="L54" s="52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38"/>
      <c r="B55" s="38"/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38"/>
      <c r="B56" s="38"/>
      <c r="C56" s="38"/>
      <c r="D56" s="35"/>
      <c r="E56" s="35"/>
      <c r="F56" s="35"/>
      <c r="G56" s="35"/>
      <c r="H56" s="35"/>
      <c r="I56" s="35"/>
      <c r="J56" s="35"/>
      <c r="K56" s="35"/>
      <c r="L56" s="35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38"/>
      <c r="B57" s="38"/>
      <c r="C57" s="38"/>
      <c r="D57" s="35"/>
      <c r="E57" s="35"/>
      <c r="F57" s="35"/>
      <c r="G57" s="35"/>
      <c r="H57" s="35"/>
      <c r="I57" s="35"/>
      <c r="J57" s="35"/>
      <c r="K57" s="35"/>
      <c r="L57" s="35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8"/>
      <c r="B58" s="38"/>
      <c r="C58" s="38"/>
      <c r="D58" s="35"/>
      <c r="E58" s="35"/>
      <c r="F58" s="35"/>
      <c r="G58" s="35"/>
      <c r="H58" s="35"/>
      <c r="I58" s="35"/>
      <c r="J58" s="35"/>
      <c r="K58" s="35"/>
      <c r="L58" s="35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8"/>
      <c r="B59" s="38"/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8"/>
      <c r="B60" s="38"/>
      <c r="C60" s="38"/>
      <c r="D60" s="35"/>
      <c r="E60" s="35"/>
      <c r="F60" s="35"/>
      <c r="G60" s="35"/>
      <c r="H60" s="35"/>
      <c r="I60" s="35"/>
      <c r="J60" s="35"/>
      <c r="K60" s="35"/>
      <c r="L60" s="35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8"/>
      <c r="B61" s="38"/>
      <c r="C61" s="38"/>
      <c r="D61" s="35"/>
      <c r="E61" s="35"/>
      <c r="F61" s="35"/>
      <c r="G61" s="35"/>
      <c r="H61" s="35"/>
      <c r="I61" s="35"/>
      <c r="J61" s="35"/>
      <c r="K61" s="35"/>
      <c r="L61" s="35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38"/>
      <c r="B62" s="38"/>
      <c r="C62" s="38"/>
      <c r="D62" s="52"/>
      <c r="E62" s="52"/>
      <c r="F62" s="52"/>
      <c r="G62" s="52"/>
      <c r="H62" s="52"/>
      <c r="I62" s="52"/>
      <c r="J62" s="52"/>
      <c r="K62" s="52"/>
      <c r="L62" s="52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38"/>
      <c r="B63" s="38"/>
      <c r="C63" s="38"/>
      <c r="D63" s="52"/>
      <c r="E63" s="52"/>
      <c r="F63" s="52"/>
      <c r="G63" s="52"/>
      <c r="H63" s="52"/>
      <c r="I63" s="52"/>
      <c r="J63" s="52"/>
      <c r="K63" s="52"/>
      <c r="L63" s="52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38"/>
      <c r="B64" s="38"/>
      <c r="C64" s="38"/>
      <c r="D64" s="52"/>
      <c r="E64" s="52"/>
      <c r="F64" s="52"/>
      <c r="G64" s="52"/>
      <c r="H64" s="52"/>
      <c r="I64" s="52"/>
      <c r="J64" s="52"/>
      <c r="K64" s="52"/>
      <c r="L64" s="52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38"/>
      <c r="B65" s="38"/>
      <c r="C65" s="38"/>
      <c r="D65" s="52"/>
      <c r="E65" s="52"/>
      <c r="F65" s="52"/>
      <c r="G65" s="52"/>
      <c r="H65" s="52"/>
      <c r="I65" s="52"/>
      <c r="J65" s="52"/>
      <c r="K65" s="52"/>
      <c r="L65" s="52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38"/>
      <c r="B66" s="38"/>
      <c r="C66" s="38"/>
      <c r="D66" s="35"/>
      <c r="E66" s="35"/>
      <c r="F66" s="35"/>
      <c r="G66" s="35"/>
      <c r="H66" s="35"/>
      <c r="I66" s="35"/>
      <c r="J66" s="35"/>
      <c r="K66" s="35"/>
      <c r="L66" s="35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38"/>
      <c r="B67" s="38"/>
      <c r="C67" s="38"/>
      <c r="D67" s="35"/>
      <c r="E67" s="35"/>
      <c r="F67" s="35"/>
      <c r="G67" s="35"/>
      <c r="H67" s="35"/>
      <c r="I67" s="35"/>
      <c r="J67" s="35"/>
      <c r="K67" s="35"/>
      <c r="L67" s="35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38"/>
      <c r="B68" s="38"/>
      <c r="C68" s="38"/>
      <c r="D68" s="52"/>
      <c r="E68" s="52"/>
      <c r="F68" s="52"/>
      <c r="G68" s="52"/>
      <c r="H68" s="52"/>
      <c r="I68" s="52"/>
      <c r="J68" s="52"/>
      <c r="K68" s="52"/>
      <c r="L68" s="52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38"/>
      <c r="B69" s="38"/>
      <c r="C69" s="38"/>
      <c r="D69" s="52"/>
      <c r="E69" s="52"/>
      <c r="F69" s="52"/>
      <c r="G69" s="52"/>
      <c r="H69" s="52"/>
      <c r="I69" s="52"/>
      <c r="J69" s="52"/>
      <c r="K69" s="52"/>
      <c r="L69" s="52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38"/>
      <c r="B70" s="38"/>
      <c r="C70" s="38"/>
      <c r="D70" s="38"/>
      <c r="E70" s="35"/>
      <c r="F70" s="35"/>
      <c r="G70" s="35"/>
      <c r="H70" s="35"/>
      <c r="I70" s="35"/>
      <c r="J70" s="35"/>
      <c r="K70" s="35"/>
      <c r="L70" s="35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38"/>
      <c r="B71" s="38"/>
      <c r="C71" s="38"/>
      <c r="D71" s="52"/>
      <c r="E71" s="52"/>
      <c r="F71" s="52"/>
      <c r="G71" s="52"/>
      <c r="H71" s="52"/>
      <c r="I71" s="52"/>
      <c r="J71" s="52"/>
      <c r="K71" s="52"/>
      <c r="L71" s="52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38"/>
      <c r="B72" s="38"/>
      <c r="C72" s="38"/>
      <c r="D72" s="52"/>
      <c r="E72" s="52"/>
      <c r="F72" s="52"/>
      <c r="G72" s="52"/>
      <c r="H72" s="52"/>
      <c r="I72" s="52"/>
      <c r="J72" s="52"/>
      <c r="K72" s="52"/>
      <c r="L72" s="52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38"/>
      <c r="B73" s="38"/>
      <c r="C73" s="38"/>
      <c r="D73" s="52"/>
      <c r="E73" s="52"/>
      <c r="F73" s="52"/>
      <c r="G73" s="52"/>
      <c r="H73" s="52"/>
      <c r="I73" s="52"/>
      <c r="J73" s="52"/>
      <c r="K73" s="52"/>
      <c r="L73" s="52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8"/>
      <c r="B74" s="38"/>
      <c r="C74" s="38"/>
      <c r="D74" s="52"/>
      <c r="E74" s="52"/>
      <c r="F74" s="52"/>
      <c r="G74" s="52"/>
      <c r="H74" s="52"/>
      <c r="I74" s="52"/>
      <c r="J74" s="52"/>
      <c r="K74" s="52"/>
      <c r="L74" s="52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38"/>
      <c r="B75" s="38"/>
      <c r="C75" s="38"/>
      <c r="D75" s="52"/>
      <c r="E75" s="52"/>
      <c r="F75" s="52"/>
      <c r="G75" s="52"/>
      <c r="H75" s="52"/>
      <c r="I75" s="52"/>
      <c r="J75" s="52"/>
      <c r="K75" s="52"/>
      <c r="L75" s="52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38"/>
      <c r="B76" s="38"/>
      <c r="C76" s="38"/>
      <c r="D76" s="35"/>
      <c r="E76" s="35"/>
      <c r="F76" s="35"/>
      <c r="G76" s="35"/>
      <c r="H76" s="35"/>
      <c r="I76" s="35"/>
      <c r="J76" s="35"/>
      <c r="K76" s="35"/>
      <c r="L76" s="35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38"/>
      <c r="B77" s="38"/>
      <c r="C77" s="38"/>
      <c r="D77" s="35"/>
      <c r="E77" s="35"/>
      <c r="F77" s="35"/>
      <c r="G77" s="35"/>
      <c r="H77" s="35"/>
      <c r="I77" s="35"/>
      <c r="J77" s="35"/>
      <c r="K77" s="35"/>
      <c r="L77" s="35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38"/>
      <c r="B78" s="38"/>
      <c r="C78" s="38"/>
      <c r="D78" s="35"/>
      <c r="E78" s="35"/>
      <c r="F78" s="35"/>
      <c r="G78" s="35"/>
      <c r="H78" s="35"/>
      <c r="I78" s="35"/>
      <c r="J78" s="35"/>
      <c r="K78" s="35"/>
      <c r="L78" s="35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38"/>
      <c r="B79" s="38"/>
      <c r="C79" s="38"/>
      <c r="D79" s="35"/>
      <c r="E79" s="35"/>
      <c r="F79" s="35"/>
      <c r="G79" s="35"/>
      <c r="H79" s="35"/>
      <c r="I79" s="35"/>
      <c r="J79" s="35"/>
      <c r="K79" s="35"/>
      <c r="L79" s="35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</row>
    <row r="1020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</row>
    <row r="10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</row>
    <row r="1022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</row>
    <row r="1023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</row>
    <row r="1024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</row>
    <row r="10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</row>
    <row r="1026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44.38"/>
    <col customWidth="1" min="3" max="3" width="22.63"/>
    <col customWidth="1" min="4" max="4" width="22.75"/>
  </cols>
  <sheetData>
    <row r="1">
      <c r="A1" s="14"/>
      <c r="B1" s="14"/>
      <c r="C1" s="104" t="s">
        <v>182</v>
      </c>
      <c r="D1" s="104" t="s">
        <v>183</v>
      </c>
    </row>
    <row r="2">
      <c r="A2" s="14"/>
      <c r="B2" s="14"/>
      <c r="C2" s="16" t="s">
        <v>184</v>
      </c>
      <c r="D2" s="16" t="s">
        <v>184</v>
      </c>
    </row>
    <row r="3">
      <c r="A3" s="105" t="s">
        <v>185</v>
      </c>
      <c r="B3" s="106"/>
      <c r="C3" s="106"/>
      <c r="D3" s="106"/>
    </row>
    <row r="4">
      <c r="A4" s="107" t="s">
        <v>21</v>
      </c>
      <c r="B4" s="14"/>
      <c r="C4" s="108"/>
      <c r="D4" s="108"/>
    </row>
    <row r="5">
      <c r="A5" s="109" t="s">
        <v>34</v>
      </c>
      <c r="B5" s="110" t="s">
        <v>186</v>
      </c>
      <c r="C5" s="108"/>
      <c r="D5" s="108"/>
    </row>
    <row r="6">
      <c r="A6" s="107" t="s">
        <v>36</v>
      </c>
      <c r="B6" s="111" t="s">
        <v>187</v>
      </c>
      <c r="C6" s="108"/>
      <c r="D6" s="108"/>
    </row>
    <row r="7">
      <c r="A7" s="109" t="s">
        <v>39</v>
      </c>
      <c r="B7" s="111" t="s">
        <v>188</v>
      </c>
      <c r="C7" s="108"/>
      <c r="D7" s="108"/>
    </row>
    <row r="8">
      <c r="A8" s="109" t="s">
        <v>49</v>
      </c>
      <c r="B8" s="111" t="s">
        <v>189</v>
      </c>
      <c r="C8" s="108"/>
      <c r="D8" s="108"/>
    </row>
    <row r="9">
      <c r="A9" s="109" t="s">
        <v>53</v>
      </c>
      <c r="B9" s="110" t="s">
        <v>190</v>
      </c>
      <c r="C9" s="108"/>
      <c r="D9" s="108"/>
    </row>
    <row r="10">
      <c r="A10" s="109" t="s">
        <v>55</v>
      </c>
      <c r="B10" s="110" t="s">
        <v>191</v>
      </c>
      <c r="C10" s="112"/>
      <c r="D10" s="112"/>
    </row>
    <row r="11">
      <c r="A11" s="107" t="s">
        <v>56</v>
      </c>
      <c r="B11" s="111" t="s">
        <v>192</v>
      </c>
      <c r="C11" s="108"/>
      <c r="D11" s="108"/>
    </row>
    <row r="12">
      <c r="A12" s="107" t="s">
        <v>58</v>
      </c>
      <c r="B12" s="111" t="s">
        <v>193</v>
      </c>
      <c r="C12" s="108"/>
      <c r="D12" s="108"/>
    </row>
    <row r="13">
      <c r="A13" s="14"/>
      <c r="B13" s="14"/>
      <c r="C13" s="14"/>
      <c r="D13" s="14"/>
    </row>
    <row r="14">
      <c r="A14" s="109" t="s">
        <v>60</v>
      </c>
      <c r="B14" s="111" t="s">
        <v>194</v>
      </c>
      <c r="C14" s="108"/>
      <c r="D14" s="108"/>
    </row>
    <row r="15">
      <c r="A15" s="109" t="s">
        <v>63</v>
      </c>
      <c r="B15" s="111" t="s">
        <v>195</v>
      </c>
      <c r="C15" s="108"/>
      <c r="D15" s="108"/>
    </row>
    <row r="16">
      <c r="A16" s="107" t="s">
        <v>76</v>
      </c>
      <c r="B16" s="110" t="s">
        <v>196</v>
      </c>
      <c r="C16" s="108"/>
      <c r="D16" s="108"/>
    </row>
    <row r="17">
      <c r="A17" s="14"/>
      <c r="B17" s="14"/>
      <c r="C17" s="113"/>
      <c r="D17" s="113"/>
    </row>
    <row r="18">
      <c r="A18" s="109" t="s">
        <v>79</v>
      </c>
      <c r="B18" s="111" t="s">
        <v>197</v>
      </c>
      <c r="C18" s="108"/>
      <c r="D18" s="108"/>
    </row>
    <row r="19">
      <c r="A19" s="14"/>
      <c r="B19" s="14"/>
      <c r="C19" s="113"/>
      <c r="D19" s="113"/>
    </row>
    <row r="20">
      <c r="A20" s="109" t="s">
        <v>83</v>
      </c>
      <c r="B20" s="110" t="s">
        <v>198</v>
      </c>
      <c r="C20" s="108"/>
      <c r="D20" s="108"/>
    </row>
    <row r="21">
      <c r="A21" s="107" t="s">
        <v>85</v>
      </c>
      <c r="B21" s="111" t="s">
        <v>199</v>
      </c>
      <c r="C21" s="108"/>
      <c r="D21" s="108"/>
    </row>
    <row r="22">
      <c r="A22" s="109" t="s">
        <v>88</v>
      </c>
      <c r="B22" s="110" t="s">
        <v>200</v>
      </c>
      <c r="C22" s="108"/>
      <c r="D22" s="108"/>
    </row>
    <row r="23">
      <c r="A23" s="109" t="s">
        <v>84</v>
      </c>
      <c r="B23" s="110" t="s">
        <v>201</v>
      </c>
      <c r="C23" s="112"/>
      <c r="D23" s="1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2" max="2" width="4.38"/>
    <col customWidth="1" min="3" max="3" width="3.5"/>
    <col customWidth="1" min="5" max="5" width="16.0"/>
    <col customWidth="1" min="7" max="7" width="33.75"/>
    <col customWidth="1" min="8" max="8" width="34.13"/>
  </cols>
  <sheetData>
    <row r="1">
      <c r="A1" s="114" t="s">
        <v>202</v>
      </c>
      <c r="B1" s="20"/>
      <c r="C1" s="20"/>
      <c r="D1" s="20"/>
      <c r="E1" s="20"/>
      <c r="F1" s="20"/>
      <c r="G1" s="20"/>
      <c r="H1" s="21"/>
      <c r="I1" s="22">
        <v>45658.0</v>
      </c>
      <c r="J1" s="22">
        <v>45689.0</v>
      </c>
      <c r="K1" s="22">
        <v>45717.0</v>
      </c>
      <c r="L1" s="22">
        <v>45748.0</v>
      </c>
      <c r="M1" s="22">
        <v>45778.0</v>
      </c>
      <c r="N1" s="22">
        <v>45809.0</v>
      </c>
      <c r="O1" s="23" t="s">
        <v>9</v>
      </c>
      <c r="P1" s="23" t="s">
        <v>9</v>
      </c>
      <c r="Q1" s="22">
        <v>45839.0</v>
      </c>
      <c r="R1" s="22">
        <v>45870.0</v>
      </c>
      <c r="S1" s="22">
        <v>45901.0</v>
      </c>
      <c r="T1" s="22">
        <v>45931.0</v>
      </c>
      <c r="U1" s="22">
        <v>45962.0</v>
      </c>
      <c r="V1" s="22">
        <v>45992.0</v>
      </c>
      <c r="W1" s="24" t="s">
        <v>10</v>
      </c>
      <c r="X1" s="24" t="s">
        <v>10</v>
      </c>
      <c r="Y1" s="22">
        <v>46023.0</v>
      </c>
      <c r="Z1" s="22">
        <v>46054.0</v>
      </c>
      <c r="AA1" s="22">
        <v>46082.0</v>
      </c>
      <c r="AB1" s="22">
        <v>46113.0</v>
      </c>
      <c r="AC1" s="22">
        <v>46143.0</v>
      </c>
      <c r="AD1" s="22">
        <v>46174.0</v>
      </c>
      <c r="AE1" s="22">
        <v>46204.0</v>
      </c>
      <c r="AF1" s="22">
        <v>46235.0</v>
      </c>
      <c r="AG1" s="22">
        <v>46266.0</v>
      </c>
      <c r="AH1" s="22">
        <v>46296.0</v>
      </c>
      <c r="AI1" s="22">
        <v>46327.0</v>
      </c>
      <c r="AJ1" s="22">
        <v>46357.0</v>
      </c>
      <c r="AK1" s="24" t="s">
        <v>11</v>
      </c>
      <c r="AL1" s="24" t="s">
        <v>11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6"/>
      <c r="AZ1" s="26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6"/>
      <c r="BN1" s="26"/>
    </row>
    <row r="2">
      <c r="A2" s="27"/>
      <c r="B2" s="27"/>
      <c r="C2" s="27"/>
      <c r="D2" s="27" t="s">
        <v>12</v>
      </c>
      <c r="E2" s="27" t="s">
        <v>13</v>
      </c>
      <c r="F2" s="27" t="s">
        <v>14</v>
      </c>
      <c r="G2" s="27" t="s">
        <v>15</v>
      </c>
      <c r="H2" s="27" t="s">
        <v>16</v>
      </c>
      <c r="I2" s="28" t="s">
        <v>17</v>
      </c>
      <c r="J2" s="28" t="s">
        <v>17</v>
      </c>
      <c r="K2" s="28" t="s">
        <v>17</v>
      </c>
      <c r="L2" s="28" t="s">
        <v>17</v>
      </c>
      <c r="M2" s="28" t="s">
        <v>17</v>
      </c>
      <c r="N2" s="28" t="s">
        <v>17</v>
      </c>
      <c r="O2" s="29" t="s">
        <v>18</v>
      </c>
      <c r="P2" s="29" t="s">
        <v>19</v>
      </c>
      <c r="Q2" s="30" t="s">
        <v>20</v>
      </c>
      <c r="R2" s="30" t="s">
        <v>20</v>
      </c>
      <c r="S2" s="30" t="s">
        <v>20</v>
      </c>
      <c r="T2" s="30" t="s">
        <v>20</v>
      </c>
      <c r="U2" s="31" t="s">
        <v>20</v>
      </c>
      <c r="V2" s="31" t="s">
        <v>20</v>
      </c>
      <c r="W2" s="24" t="s">
        <v>18</v>
      </c>
      <c r="X2" s="24" t="s">
        <v>19</v>
      </c>
      <c r="Y2" s="115" t="s">
        <v>203</v>
      </c>
      <c r="Z2" s="115" t="s">
        <v>203</v>
      </c>
      <c r="AA2" s="115" t="s">
        <v>203</v>
      </c>
      <c r="AB2" s="115" t="s">
        <v>203</v>
      </c>
      <c r="AC2" s="115" t="s">
        <v>203</v>
      </c>
      <c r="AD2" s="115" t="s">
        <v>203</v>
      </c>
      <c r="AE2" s="115" t="s">
        <v>203</v>
      </c>
      <c r="AF2" s="115" t="s">
        <v>203</v>
      </c>
      <c r="AG2" s="115" t="s">
        <v>203</v>
      </c>
      <c r="AH2" s="115" t="s">
        <v>203</v>
      </c>
      <c r="AI2" s="115" t="s">
        <v>203</v>
      </c>
      <c r="AJ2" s="115" t="s">
        <v>203</v>
      </c>
      <c r="AK2" s="24" t="s">
        <v>18</v>
      </c>
      <c r="AL2" s="24" t="s">
        <v>19</v>
      </c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26"/>
      <c r="AZ2" s="26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26"/>
      <c r="BN2" s="26"/>
    </row>
    <row r="3">
      <c r="A3" s="33"/>
      <c r="B3" s="33"/>
      <c r="C3" s="33"/>
      <c r="D3" s="33" t="s">
        <v>21</v>
      </c>
      <c r="E3" s="33" t="s">
        <v>22</v>
      </c>
      <c r="F3" s="33" t="s">
        <v>21</v>
      </c>
      <c r="G3" s="33"/>
      <c r="H3" s="33"/>
      <c r="I3" s="34">
        <f t="shared" ref="I3:N3" si="1">I4</f>
        <v>1671746</v>
      </c>
      <c r="J3" s="34">
        <f t="shared" si="1"/>
        <v>1723716</v>
      </c>
      <c r="K3" s="34">
        <f t="shared" si="1"/>
        <v>1657711</v>
      </c>
      <c r="L3" s="34">
        <f t="shared" si="1"/>
        <v>1654058</v>
      </c>
      <c r="M3" s="34">
        <f t="shared" si="1"/>
        <v>1737264</v>
      </c>
      <c r="N3" s="34">
        <f t="shared" si="1"/>
        <v>1729151</v>
      </c>
      <c r="O3" s="34">
        <f t="shared" ref="O3:O7" si="4">SUM(I3:N3)</f>
        <v>10173646</v>
      </c>
      <c r="P3" s="35">
        <f>O3/O3</f>
        <v>1</v>
      </c>
      <c r="Q3" s="34">
        <f t="shared" ref="Q3:V3" si="2">Q4</f>
        <v>1861151</v>
      </c>
      <c r="R3" s="34">
        <f t="shared" si="2"/>
        <v>2047601</v>
      </c>
      <c r="S3" s="34">
        <f t="shared" si="2"/>
        <v>2247251</v>
      </c>
      <c r="T3" s="34">
        <f t="shared" si="2"/>
        <v>2453501</v>
      </c>
      <c r="U3" s="34">
        <f t="shared" si="2"/>
        <v>2691101</v>
      </c>
      <c r="V3" s="34">
        <f t="shared" si="2"/>
        <v>2943551</v>
      </c>
      <c r="W3" s="34">
        <f t="shared" ref="W3:W7" si="6">SUM(Q3:V3)+O3</f>
        <v>24417802</v>
      </c>
      <c r="X3" s="35">
        <f>W3/W3</f>
        <v>1</v>
      </c>
      <c r="Y3" s="34">
        <f t="shared" ref="Y3:AJ3" si="3">Y4</f>
        <v>3221500</v>
      </c>
      <c r="Z3" s="34">
        <f t="shared" si="3"/>
        <v>3332000</v>
      </c>
      <c r="AA3" s="34">
        <f t="shared" si="3"/>
        <v>3442500</v>
      </c>
      <c r="AB3" s="34">
        <f t="shared" si="3"/>
        <v>3544500</v>
      </c>
      <c r="AC3" s="34">
        <f t="shared" si="3"/>
        <v>3646500</v>
      </c>
      <c r="AD3" s="34">
        <f t="shared" si="3"/>
        <v>3748500</v>
      </c>
      <c r="AE3" s="34">
        <f t="shared" si="3"/>
        <v>3842000</v>
      </c>
      <c r="AF3" s="34">
        <f t="shared" si="3"/>
        <v>3935500</v>
      </c>
      <c r="AG3" s="34">
        <f t="shared" si="3"/>
        <v>4029000</v>
      </c>
      <c r="AH3" s="34">
        <f t="shared" si="3"/>
        <v>4114000</v>
      </c>
      <c r="AI3" s="34">
        <f t="shared" si="3"/>
        <v>4199000</v>
      </c>
      <c r="AJ3" s="34">
        <f t="shared" si="3"/>
        <v>4284000</v>
      </c>
      <c r="AK3" s="34">
        <f t="shared" ref="AK3:AK7" si="8">SUM(Y3:AJ3)</f>
        <v>45339000</v>
      </c>
      <c r="AL3" s="35">
        <f>AK3/AK3</f>
        <v>1</v>
      </c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</row>
    <row r="4">
      <c r="A4" s="33"/>
      <c r="B4" s="33"/>
      <c r="C4" s="33"/>
      <c r="D4" s="33"/>
      <c r="E4" s="37" t="s">
        <v>23</v>
      </c>
      <c r="F4" s="38"/>
      <c r="G4" s="33"/>
      <c r="H4" s="33"/>
      <c r="I4" s="34">
        <f>I5+I6+I7</f>
        <v>1671746</v>
      </c>
      <c r="J4" s="34">
        <v>1723716.0</v>
      </c>
      <c r="K4" s="34">
        <v>1657711.0</v>
      </c>
      <c r="L4" s="34">
        <v>1654058.0</v>
      </c>
      <c r="M4" s="34">
        <v>1737264.0</v>
      </c>
      <c r="N4" s="34">
        <v>1729151.0</v>
      </c>
      <c r="O4" s="34">
        <f t="shared" si="4"/>
        <v>10173646</v>
      </c>
      <c r="P4" s="33"/>
      <c r="Q4" s="34">
        <f t="shared" ref="Q4:V4" si="5">Q5+Q6+Q7</f>
        <v>1861151</v>
      </c>
      <c r="R4" s="34">
        <f t="shared" si="5"/>
        <v>2047601</v>
      </c>
      <c r="S4" s="34">
        <f t="shared" si="5"/>
        <v>2247251</v>
      </c>
      <c r="T4" s="34">
        <f t="shared" si="5"/>
        <v>2453501</v>
      </c>
      <c r="U4" s="34">
        <f t="shared" si="5"/>
        <v>2691101</v>
      </c>
      <c r="V4" s="34">
        <f t="shared" si="5"/>
        <v>2943551</v>
      </c>
      <c r="W4" s="34">
        <f t="shared" si="6"/>
        <v>24417802</v>
      </c>
      <c r="X4" s="33"/>
      <c r="Y4" s="34">
        <f t="shared" ref="Y4:AJ4" si="7">sum(Y5:Y7)</f>
        <v>3221500</v>
      </c>
      <c r="Z4" s="34">
        <f t="shared" si="7"/>
        <v>3332000</v>
      </c>
      <c r="AA4" s="34">
        <f t="shared" si="7"/>
        <v>3442500</v>
      </c>
      <c r="AB4" s="34">
        <f t="shared" si="7"/>
        <v>3544500</v>
      </c>
      <c r="AC4" s="34">
        <f t="shared" si="7"/>
        <v>3646500</v>
      </c>
      <c r="AD4" s="34">
        <f t="shared" si="7"/>
        <v>3748500</v>
      </c>
      <c r="AE4" s="34">
        <f t="shared" si="7"/>
        <v>3842000</v>
      </c>
      <c r="AF4" s="34">
        <f t="shared" si="7"/>
        <v>3935500</v>
      </c>
      <c r="AG4" s="34">
        <f t="shared" si="7"/>
        <v>4029000</v>
      </c>
      <c r="AH4" s="34">
        <f t="shared" si="7"/>
        <v>4114000</v>
      </c>
      <c r="AI4" s="34">
        <f t="shared" si="7"/>
        <v>4199000</v>
      </c>
      <c r="AJ4" s="34">
        <f t="shared" si="7"/>
        <v>4284000</v>
      </c>
      <c r="AK4" s="34">
        <f t="shared" si="8"/>
        <v>45339000</v>
      </c>
      <c r="AL4" s="33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</row>
    <row r="5">
      <c r="A5" s="33"/>
      <c r="B5" s="33"/>
      <c r="C5" s="33"/>
      <c r="D5" s="33"/>
      <c r="E5" s="33"/>
      <c r="F5" s="33" t="s">
        <v>24</v>
      </c>
      <c r="G5" s="37" t="s">
        <v>25</v>
      </c>
      <c r="H5" s="33" t="s">
        <v>26</v>
      </c>
      <c r="I5" s="34">
        <v>1692290.0</v>
      </c>
      <c r="J5" s="34">
        <f t="shared" ref="J5:N5" si="9">I4</f>
        <v>1671746</v>
      </c>
      <c r="K5" s="34">
        <f t="shared" si="9"/>
        <v>1723716</v>
      </c>
      <c r="L5" s="34">
        <f t="shared" si="9"/>
        <v>1657711</v>
      </c>
      <c r="M5" s="34">
        <f t="shared" si="9"/>
        <v>1654058</v>
      </c>
      <c r="N5" s="34">
        <f t="shared" si="9"/>
        <v>1737264</v>
      </c>
      <c r="O5" s="34">
        <f t="shared" si="4"/>
        <v>10136785</v>
      </c>
      <c r="P5" s="33"/>
      <c r="Q5" s="34">
        <f>N4</f>
        <v>1729151</v>
      </c>
      <c r="R5" s="34">
        <f t="shared" ref="R5:V5" si="10">Q4</f>
        <v>1861151</v>
      </c>
      <c r="S5" s="34">
        <f t="shared" si="10"/>
        <v>2047601</v>
      </c>
      <c r="T5" s="34">
        <f t="shared" si="10"/>
        <v>2247251</v>
      </c>
      <c r="U5" s="34">
        <f t="shared" si="10"/>
        <v>2453501</v>
      </c>
      <c r="V5" s="34">
        <f t="shared" si="10"/>
        <v>2691101</v>
      </c>
      <c r="W5" s="34">
        <f t="shared" si="6"/>
        <v>23166541</v>
      </c>
      <c r="X5" s="33"/>
      <c r="Y5" s="34">
        <f t="shared" ref="Y5:AJ5" si="11">Y50*Y$60</f>
        <v>3111000</v>
      </c>
      <c r="Z5" s="34">
        <f t="shared" si="11"/>
        <v>3221500</v>
      </c>
      <c r="AA5" s="34">
        <f t="shared" si="11"/>
        <v>3332000</v>
      </c>
      <c r="AB5" s="34">
        <f t="shared" si="11"/>
        <v>3442500</v>
      </c>
      <c r="AC5" s="34">
        <f t="shared" si="11"/>
        <v>3544500</v>
      </c>
      <c r="AD5" s="34">
        <f t="shared" si="11"/>
        <v>3646500</v>
      </c>
      <c r="AE5" s="34">
        <f t="shared" si="11"/>
        <v>3748500</v>
      </c>
      <c r="AF5" s="34">
        <f t="shared" si="11"/>
        <v>3842000</v>
      </c>
      <c r="AG5" s="34">
        <f t="shared" si="11"/>
        <v>3935500</v>
      </c>
      <c r="AH5" s="34">
        <f t="shared" si="11"/>
        <v>4029000</v>
      </c>
      <c r="AI5" s="34">
        <f t="shared" si="11"/>
        <v>4114000</v>
      </c>
      <c r="AJ5" s="34">
        <f t="shared" si="11"/>
        <v>4199000</v>
      </c>
      <c r="AK5" s="34">
        <f t="shared" si="8"/>
        <v>44166000</v>
      </c>
      <c r="AL5" s="33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3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3"/>
    </row>
    <row r="6">
      <c r="A6" s="33"/>
      <c r="B6" s="33"/>
      <c r="C6" s="33"/>
      <c r="D6" s="33"/>
      <c r="E6" s="33"/>
      <c r="F6" s="33" t="s">
        <v>27</v>
      </c>
      <c r="G6" s="37" t="s">
        <v>28</v>
      </c>
      <c r="H6" s="37" t="s">
        <v>29</v>
      </c>
      <c r="I6" s="34">
        <f t="shared" ref="I6:N6" si="12">I51*I60</f>
        <v>27392</v>
      </c>
      <c r="J6" s="34">
        <f t="shared" si="12"/>
        <v>40480</v>
      </c>
      <c r="K6" s="34">
        <f t="shared" si="12"/>
        <v>64448</v>
      </c>
      <c r="L6" s="34">
        <f t="shared" si="12"/>
        <v>61753</v>
      </c>
      <c r="M6" s="34">
        <f t="shared" si="12"/>
        <v>95256</v>
      </c>
      <c r="N6" s="34">
        <f t="shared" si="12"/>
        <v>117288</v>
      </c>
      <c r="O6" s="34">
        <f t="shared" si="4"/>
        <v>406617</v>
      </c>
      <c r="P6" s="33"/>
      <c r="Q6" s="34">
        <f t="shared" ref="Q6:V6" si="13">Q51*Q60</f>
        <v>165000</v>
      </c>
      <c r="R6" s="34">
        <f t="shared" si="13"/>
        <v>219450</v>
      </c>
      <c r="S6" s="34">
        <f t="shared" si="13"/>
        <v>240900</v>
      </c>
      <c r="T6" s="34">
        <f t="shared" si="13"/>
        <v>247500</v>
      </c>
      <c r="U6" s="34">
        <f t="shared" si="13"/>
        <v>287100</v>
      </c>
      <c r="V6" s="34">
        <f t="shared" si="13"/>
        <v>301950</v>
      </c>
      <c r="W6" s="34">
        <f t="shared" si="6"/>
        <v>1868517</v>
      </c>
      <c r="X6" s="33"/>
      <c r="Y6" s="34">
        <f t="shared" ref="Y6:AJ6" si="14">Y51*Y60</f>
        <v>170000</v>
      </c>
      <c r="Z6" s="34">
        <f t="shared" si="14"/>
        <v>170000</v>
      </c>
      <c r="AA6" s="34">
        <f t="shared" si="14"/>
        <v>170000</v>
      </c>
      <c r="AB6" s="34">
        <f t="shared" si="14"/>
        <v>170000</v>
      </c>
      <c r="AC6" s="34">
        <f t="shared" si="14"/>
        <v>170000</v>
      </c>
      <c r="AD6" s="34">
        <f t="shared" si="14"/>
        <v>170000</v>
      </c>
      <c r="AE6" s="34">
        <f t="shared" si="14"/>
        <v>170000</v>
      </c>
      <c r="AF6" s="34">
        <f t="shared" si="14"/>
        <v>170000</v>
      </c>
      <c r="AG6" s="34">
        <f t="shared" si="14"/>
        <v>170000</v>
      </c>
      <c r="AH6" s="34">
        <f t="shared" si="14"/>
        <v>170000</v>
      </c>
      <c r="AI6" s="34">
        <f t="shared" si="14"/>
        <v>170000</v>
      </c>
      <c r="AJ6" s="34">
        <f t="shared" si="14"/>
        <v>170000</v>
      </c>
      <c r="AK6" s="34">
        <f t="shared" si="8"/>
        <v>2040000</v>
      </c>
      <c r="AL6" s="33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3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3"/>
    </row>
    <row r="7">
      <c r="A7" s="33"/>
      <c r="B7" s="33"/>
      <c r="C7" s="33"/>
      <c r="D7" s="33"/>
      <c r="E7" s="33"/>
      <c r="F7" s="33" t="s">
        <v>30</v>
      </c>
      <c r="G7" s="33" t="s">
        <v>31</v>
      </c>
      <c r="H7" s="33" t="s">
        <v>32</v>
      </c>
      <c r="I7" s="34">
        <f t="shared" ref="I7:N7" si="15">I52*I61</f>
        <v>-47936</v>
      </c>
      <c r="J7" s="34">
        <f t="shared" si="15"/>
        <v>-19360</v>
      </c>
      <c r="K7" s="34">
        <f t="shared" si="15"/>
        <v>-64448</v>
      </c>
      <c r="L7" s="34">
        <f t="shared" si="15"/>
        <v>-33380</v>
      </c>
      <c r="M7" s="34">
        <f t="shared" si="15"/>
        <v>-32319</v>
      </c>
      <c r="N7" s="34">
        <f t="shared" si="15"/>
        <v>-32580</v>
      </c>
      <c r="O7" s="34">
        <f t="shared" si="4"/>
        <v>-230023</v>
      </c>
      <c r="P7" s="33"/>
      <c r="Q7" s="34">
        <f t="shared" ref="Q7:V7" si="16">Q52*Q61</f>
        <v>-33000</v>
      </c>
      <c r="R7" s="34">
        <f t="shared" si="16"/>
        <v>-33000</v>
      </c>
      <c r="S7" s="34">
        <f t="shared" si="16"/>
        <v>-41250</v>
      </c>
      <c r="T7" s="34">
        <f t="shared" si="16"/>
        <v>-41250</v>
      </c>
      <c r="U7" s="34">
        <f t="shared" si="16"/>
        <v>-49500</v>
      </c>
      <c r="V7" s="34">
        <f t="shared" si="16"/>
        <v>-49500</v>
      </c>
      <c r="W7" s="34">
        <f t="shared" si="6"/>
        <v>-477523</v>
      </c>
      <c r="X7" s="33"/>
      <c r="Y7" s="34">
        <f t="shared" ref="Y7:AJ7" si="17">Y52*Y60</f>
        <v>-59500</v>
      </c>
      <c r="Z7" s="34">
        <f t="shared" si="17"/>
        <v>-59500</v>
      </c>
      <c r="AA7" s="34">
        <f t="shared" si="17"/>
        <v>-59500</v>
      </c>
      <c r="AB7" s="34">
        <f t="shared" si="17"/>
        <v>-68000</v>
      </c>
      <c r="AC7" s="34">
        <f t="shared" si="17"/>
        <v>-68000</v>
      </c>
      <c r="AD7" s="34">
        <f t="shared" si="17"/>
        <v>-68000</v>
      </c>
      <c r="AE7" s="34">
        <f t="shared" si="17"/>
        <v>-76500</v>
      </c>
      <c r="AF7" s="34">
        <f t="shared" si="17"/>
        <v>-76500</v>
      </c>
      <c r="AG7" s="34">
        <f t="shared" si="17"/>
        <v>-76500</v>
      </c>
      <c r="AH7" s="34">
        <f t="shared" si="17"/>
        <v>-85000</v>
      </c>
      <c r="AI7" s="34">
        <f t="shared" si="17"/>
        <v>-85000</v>
      </c>
      <c r="AJ7" s="34">
        <f t="shared" si="17"/>
        <v>-85000</v>
      </c>
      <c r="AK7" s="34">
        <f t="shared" si="8"/>
        <v>-867000</v>
      </c>
      <c r="AL7" s="33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3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3"/>
    </row>
    <row r="8">
      <c r="A8" s="33"/>
      <c r="B8" s="33"/>
      <c r="C8" s="33"/>
      <c r="D8" s="33"/>
      <c r="E8" s="37" t="s">
        <v>33</v>
      </c>
      <c r="F8" s="38"/>
      <c r="G8" s="33"/>
      <c r="H8" s="33"/>
      <c r="I8" s="34"/>
      <c r="J8" s="34"/>
      <c r="K8" s="34"/>
      <c r="L8" s="34"/>
      <c r="M8" s="34"/>
      <c r="N8" s="34"/>
      <c r="O8" s="34"/>
      <c r="P8" s="33"/>
      <c r="Q8" s="34"/>
      <c r="R8" s="34"/>
      <c r="S8" s="34"/>
      <c r="T8" s="34"/>
      <c r="U8" s="34"/>
      <c r="V8" s="34"/>
      <c r="W8" s="34"/>
      <c r="X8" s="33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3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3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3"/>
    </row>
    <row r="9">
      <c r="A9" s="33"/>
      <c r="B9" s="33"/>
      <c r="C9" s="33"/>
      <c r="D9" s="33" t="s">
        <v>34</v>
      </c>
      <c r="E9" s="33" t="s">
        <v>22</v>
      </c>
      <c r="F9" s="39" t="s">
        <v>34</v>
      </c>
      <c r="G9" s="33"/>
      <c r="H9" s="33"/>
      <c r="I9" s="34">
        <f t="shared" ref="I9:N9" si="18">I10+I12+I16</f>
        <v>-358918</v>
      </c>
      <c r="J9" s="34">
        <f t="shared" si="18"/>
        <v>-322413</v>
      </c>
      <c r="K9" s="34">
        <f t="shared" si="18"/>
        <v>-372701</v>
      </c>
      <c r="L9" s="34">
        <f t="shared" si="18"/>
        <v>-358189</v>
      </c>
      <c r="M9" s="34">
        <f t="shared" si="18"/>
        <v>-358259</v>
      </c>
      <c r="N9" s="34">
        <f t="shared" si="18"/>
        <v>-348408</v>
      </c>
      <c r="O9" s="34">
        <f t="shared" ref="O9:O18" si="22">SUM(I9:N9)</f>
        <v>-2118888</v>
      </c>
      <c r="P9" s="35">
        <f>O9/O$3</f>
        <v>-0.2082722359</v>
      </c>
      <c r="Q9" s="40">
        <f t="shared" ref="Q9:V9" si="19">Q10+Q12+Q16</f>
        <v>-492217</v>
      </c>
      <c r="R9" s="40">
        <f t="shared" si="19"/>
        <v>-355845</v>
      </c>
      <c r="S9" s="40">
        <f t="shared" si="19"/>
        <v>-377590</v>
      </c>
      <c r="T9" s="40">
        <f t="shared" si="19"/>
        <v>-421592</v>
      </c>
      <c r="U9" s="40">
        <f t="shared" si="19"/>
        <v>-429710</v>
      </c>
      <c r="V9" s="40">
        <f t="shared" si="19"/>
        <v>-465311</v>
      </c>
      <c r="W9" s="40">
        <f t="shared" ref="W9:W18" si="24">SUM(Q9:V9)+O9</f>
        <v>-4661153</v>
      </c>
      <c r="X9" s="35">
        <f>W9/W$3</f>
        <v>-0.190891588</v>
      </c>
      <c r="Y9" s="34">
        <f t="shared" ref="Y9:AJ9" si="20">Y10+Y12+Y16</f>
        <v>-557319.5</v>
      </c>
      <c r="Z9" s="34">
        <f t="shared" si="20"/>
        <v>-569772</v>
      </c>
      <c r="AA9" s="34">
        <f t="shared" si="20"/>
        <v>-581782.5</v>
      </c>
      <c r="AB9" s="34">
        <f t="shared" si="20"/>
        <v>-591931.5</v>
      </c>
      <c r="AC9" s="34">
        <f t="shared" si="20"/>
        <v>-601672.5</v>
      </c>
      <c r="AD9" s="34">
        <f t="shared" si="20"/>
        <v>-611005.5</v>
      </c>
      <c r="AE9" s="34">
        <f t="shared" si="20"/>
        <v>-618562</v>
      </c>
      <c r="AF9" s="34">
        <f t="shared" si="20"/>
        <v>-625744.5</v>
      </c>
      <c r="AG9" s="34">
        <f t="shared" si="20"/>
        <v>-632553</v>
      </c>
      <c r="AH9" s="34">
        <f t="shared" si="20"/>
        <v>-637670</v>
      </c>
      <c r="AI9" s="34">
        <f t="shared" si="20"/>
        <v>-642447</v>
      </c>
      <c r="AJ9" s="34">
        <f t="shared" si="20"/>
        <v>-646884</v>
      </c>
      <c r="AK9" s="34">
        <f t="shared" ref="AK9:AK18" si="26">SUM(Y9:AJ9)</f>
        <v>-7317344</v>
      </c>
      <c r="AL9" s="35">
        <f>AK9/AK$3</f>
        <v>-0.161391826</v>
      </c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6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6"/>
      <c r="BN9" s="33"/>
    </row>
    <row r="10">
      <c r="A10" s="33"/>
      <c r="B10" s="33"/>
      <c r="C10" s="33"/>
      <c r="D10" s="33"/>
      <c r="E10" s="33" t="s">
        <v>35</v>
      </c>
      <c r="F10" s="39" t="s">
        <v>36</v>
      </c>
      <c r="G10" s="33"/>
      <c r="H10" s="33"/>
      <c r="I10" s="34">
        <f t="shared" ref="I10:N10" si="21">I11</f>
        <v>-89469</v>
      </c>
      <c r="J10" s="34">
        <f t="shared" si="21"/>
        <v>-79460</v>
      </c>
      <c r="K10" s="34">
        <f t="shared" si="21"/>
        <v>-76377</v>
      </c>
      <c r="L10" s="34">
        <f t="shared" si="21"/>
        <v>-71462</v>
      </c>
      <c r="M10" s="34">
        <f t="shared" si="21"/>
        <v>-112366</v>
      </c>
      <c r="N10" s="34">
        <f t="shared" si="21"/>
        <v>-62236</v>
      </c>
      <c r="O10" s="34">
        <f t="shared" si="22"/>
        <v>-491370</v>
      </c>
      <c r="P10" s="33"/>
      <c r="Q10" s="40">
        <f t="shared" ref="Q10:V10" si="23">Q11</f>
        <v>-115735</v>
      </c>
      <c r="R10" s="40">
        <f t="shared" si="23"/>
        <v>-138522</v>
      </c>
      <c r="S10" s="40">
        <f t="shared" si="23"/>
        <v>-107084</v>
      </c>
      <c r="T10" s="40">
        <f t="shared" si="23"/>
        <v>-108285</v>
      </c>
      <c r="U10" s="40">
        <f t="shared" si="23"/>
        <v>-109371</v>
      </c>
      <c r="V10" s="40">
        <f t="shared" si="23"/>
        <v>-110659</v>
      </c>
      <c r="W10" s="40">
        <f t="shared" si="24"/>
        <v>-1181026</v>
      </c>
      <c r="X10" s="33"/>
      <c r="Y10" s="34">
        <f t="shared" ref="Y10:AJ10" si="25">Y11</f>
        <v>-154632</v>
      </c>
      <c r="Z10" s="34">
        <f t="shared" si="25"/>
        <v>-159936</v>
      </c>
      <c r="AA10" s="34">
        <f t="shared" si="25"/>
        <v>-165240</v>
      </c>
      <c r="AB10" s="34">
        <f t="shared" si="25"/>
        <v>-170136</v>
      </c>
      <c r="AC10" s="34">
        <f t="shared" si="25"/>
        <v>-175032</v>
      </c>
      <c r="AD10" s="34">
        <f t="shared" si="25"/>
        <v>-179928</v>
      </c>
      <c r="AE10" s="34">
        <f t="shared" si="25"/>
        <v>-184416</v>
      </c>
      <c r="AF10" s="34">
        <f t="shared" si="25"/>
        <v>-188904</v>
      </c>
      <c r="AG10" s="34">
        <f t="shared" si="25"/>
        <v>-193392</v>
      </c>
      <c r="AH10" s="34">
        <f t="shared" si="25"/>
        <v>-197472</v>
      </c>
      <c r="AI10" s="34">
        <f t="shared" si="25"/>
        <v>-201552</v>
      </c>
      <c r="AJ10" s="34">
        <f t="shared" si="25"/>
        <v>-205632</v>
      </c>
      <c r="AK10" s="34">
        <f t="shared" si="26"/>
        <v>-2176272</v>
      </c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6"/>
      <c r="AZ10" s="36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6"/>
      <c r="BN10" s="36"/>
    </row>
    <row r="11">
      <c r="A11" s="33"/>
      <c r="B11" s="33"/>
      <c r="C11" s="33"/>
      <c r="D11" s="33"/>
      <c r="E11" s="33"/>
      <c r="F11" s="33" t="s">
        <v>36</v>
      </c>
      <c r="G11" s="33" t="s">
        <v>37</v>
      </c>
      <c r="H11" s="33" t="s">
        <v>38</v>
      </c>
      <c r="I11" s="34">
        <v>-89469.0</v>
      </c>
      <c r="J11" s="34">
        <v>-79460.0</v>
      </c>
      <c r="K11" s="34">
        <v>-76377.0</v>
      </c>
      <c r="L11" s="34">
        <v>-71462.0</v>
      </c>
      <c r="M11" s="34">
        <v>-112366.0</v>
      </c>
      <c r="N11" s="34">
        <v>-62236.0</v>
      </c>
      <c r="O11" s="34">
        <f t="shared" si="22"/>
        <v>-491370</v>
      </c>
      <c r="P11" s="33"/>
      <c r="Q11" s="41">
        <v>-115735.0</v>
      </c>
      <c r="R11" s="41">
        <v>-138522.0</v>
      </c>
      <c r="S11" s="41">
        <v>-107084.0</v>
      </c>
      <c r="T11" s="41">
        <v>-108285.0</v>
      </c>
      <c r="U11" s="41">
        <v>-109371.0</v>
      </c>
      <c r="V11" s="41">
        <v>-110659.0</v>
      </c>
      <c r="W11" s="40">
        <f t="shared" si="24"/>
        <v>-1181026</v>
      </c>
      <c r="X11" s="33"/>
      <c r="Y11" s="34">
        <f t="shared" ref="Y11:AJ11" si="27">Y3*Y75</f>
        <v>-154632</v>
      </c>
      <c r="Z11" s="34">
        <f t="shared" si="27"/>
        <v>-159936</v>
      </c>
      <c r="AA11" s="34">
        <f t="shared" si="27"/>
        <v>-165240</v>
      </c>
      <c r="AB11" s="34">
        <f t="shared" si="27"/>
        <v>-170136</v>
      </c>
      <c r="AC11" s="34">
        <f t="shared" si="27"/>
        <v>-175032</v>
      </c>
      <c r="AD11" s="34">
        <f t="shared" si="27"/>
        <v>-179928</v>
      </c>
      <c r="AE11" s="34">
        <f t="shared" si="27"/>
        <v>-184416</v>
      </c>
      <c r="AF11" s="34">
        <f t="shared" si="27"/>
        <v>-188904</v>
      </c>
      <c r="AG11" s="34">
        <f t="shared" si="27"/>
        <v>-193392</v>
      </c>
      <c r="AH11" s="34">
        <f t="shared" si="27"/>
        <v>-197472</v>
      </c>
      <c r="AI11" s="34">
        <f t="shared" si="27"/>
        <v>-201552</v>
      </c>
      <c r="AJ11" s="34">
        <f t="shared" si="27"/>
        <v>-205632</v>
      </c>
      <c r="AK11" s="34">
        <f t="shared" si="26"/>
        <v>-2176272</v>
      </c>
      <c r="AL11" s="33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</row>
    <row r="12">
      <c r="A12" s="33"/>
      <c r="B12" s="33"/>
      <c r="C12" s="33"/>
      <c r="D12" s="33"/>
      <c r="E12" s="33" t="s">
        <v>35</v>
      </c>
      <c r="F12" s="33" t="s">
        <v>39</v>
      </c>
      <c r="G12" s="33"/>
      <c r="H12" s="33"/>
      <c r="I12" s="34">
        <f t="shared" ref="I12:N12" si="28">sum(I13:I15)</f>
        <v>-269449</v>
      </c>
      <c r="J12" s="34">
        <f t="shared" si="28"/>
        <v>-242953</v>
      </c>
      <c r="K12" s="34">
        <f t="shared" si="28"/>
        <v>-296324</v>
      </c>
      <c r="L12" s="34">
        <f t="shared" si="28"/>
        <v>-286727</v>
      </c>
      <c r="M12" s="34">
        <f t="shared" si="28"/>
        <v>-245893</v>
      </c>
      <c r="N12" s="34">
        <f t="shared" si="28"/>
        <v>-286172</v>
      </c>
      <c r="O12" s="34">
        <f t="shared" si="22"/>
        <v>-1627518</v>
      </c>
      <c r="P12" s="33"/>
      <c r="Q12" s="40">
        <f t="shared" ref="Q12:V12" si="29">sum(Q13:Q15)</f>
        <v>-340430</v>
      </c>
      <c r="R12" s="40">
        <f t="shared" si="29"/>
        <v>-202211</v>
      </c>
      <c r="S12" s="40">
        <f t="shared" si="29"/>
        <v>-255394</v>
      </c>
      <c r="T12" s="40">
        <f t="shared" si="29"/>
        <v>-298195</v>
      </c>
      <c r="U12" s="40">
        <f t="shared" si="29"/>
        <v>-305227</v>
      </c>
      <c r="V12" s="40">
        <f t="shared" si="29"/>
        <v>-340430</v>
      </c>
      <c r="W12" s="40">
        <f t="shared" si="24"/>
        <v>-3369405</v>
      </c>
      <c r="X12" s="33"/>
      <c r="Y12" s="34">
        <f t="shared" ref="Y12:AJ12" si="30">sum(Y13:Y15)</f>
        <v>-386580</v>
      </c>
      <c r="Z12" s="34">
        <f t="shared" si="30"/>
        <v>-393176</v>
      </c>
      <c r="AA12" s="34">
        <f t="shared" si="30"/>
        <v>-399330</v>
      </c>
      <c r="AB12" s="34">
        <f t="shared" si="30"/>
        <v>-404073</v>
      </c>
      <c r="AC12" s="34">
        <f t="shared" si="30"/>
        <v>-408408</v>
      </c>
      <c r="AD12" s="34">
        <f t="shared" si="30"/>
        <v>-412335</v>
      </c>
      <c r="AE12" s="34">
        <f t="shared" si="30"/>
        <v>-414936</v>
      </c>
      <c r="AF12" s="34">
        <f t="shared" si="30"/>
        <v>-417163</v>
      </c>
      <c r="AG12" s="34">
        <f t="shared" si="30"/>
        <v>-419016</v>
      </c>
      <c r="AH12" s="34">
        <f t="shared" si="30"/>
        <v>-419628</v>
      </c>
      <c r="AI12" s="34">
        <f t="shared" si="30"/>
        <v>-419900</v>
      </c>
      <c r="AJ12" s="34">
        <f t="shared" si="30"/>
        <v>-419832</v>
      </c>
      <c r="AK12" s="34">
        <f t="shared" si="26"/>
        <v>-4914377</v>
      </c>
      <c r="AL12" s="33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3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3"/>
    </row>
    <row r="13">
      <c r="A13" s="33"/>
      <c r="B13" s="33"/>
      <c r="C13" s="33"/>
      <c r="D13" s="33"/>
      <c r="E13" s="33"/>
      <c r="F13" s="33" t="s">
        <v>40</v>
      </c>
      <c r="G13" s="37" t="s">
        <v>41</v>
      </c>
      <c r="H13" s="37" t="s">
        <v>42</v>
      </c>
      <c r="I13" s="34">
        <v>-269449.0</v>
      </c>
      <c r="J13" s="34">
        <v>-242953.0</v>
      </c>
      <c r="K13" s="34">
        <v>-296324.0</v>
      </c>
      <c r="L13" s="34">
        <v>-286727.0</v>
      </c>
      <c r="M13" s="34">
        <v>-245893.0</v>
      </c>
      <c r="N13" s="34">
        <v>-286172.0</v>
      </c>
      <c r="O13" s="34">
        <f t="shared" si="22"/>
        <v>-1627518</v>
      </c>
      <c r="P13" s="33"/>
      <c r="Q13" s="41">
        <v>-340430.0</v>
      </c>
      <c r="R13" s="41">
        <v>-202211.0</v>
      </c>
      <c r="S13" s="41">
        <v>-255394.0</v>
      </c>
      <c r="T13" s="41">
        <v>-298195.0</v>
      </c>
      <c r="U13" s="41">
        <v>-305227.0</v>
      </c>
      <c r="V13" s="41">
        <v>-340430.0</v>
      </c>
      <c r="W13" s="40">
        <f t="shared" si="24"/>
        <v>-3369405</v>
      </c>
      <c r="X13" s="33"/>
      <c r="Y13" s="34">
        <f t="shared" ref="Y13:AJ13" si="31">Y3*Y77</f>
        <v>-386580</v>
      </c>
      <c r="Z13" s="34">
        <f t="shared" si="31"/>
        <v>-393176</v>
      </c>
      <c r="AA13" s="34">
        <f t="shared" si="31"/>
        <v>-399330</v>
      </c>
      <c r="AB13" s="34">
        <f t="shared" si="31"/>
        <v>-404073</v>
      </c>
      <c r="AC13" s="34">
        <f t="shared" si="31"/>
        <v>-408408</v>
      </c>
      <c r="AD13" s="34">
        <f t="shared" si="31"/>
        <v>-412335</v>
      </c>
      <c r="AE13" s="34">
        <f t="shared" si="31"/>
        <v>-414936</v>
      </c>
      <c r="AF13" s="34">
        <f t="shared" si="31"/>
        <v>-417163</v>
      </c>
      <c r="AG13" s="34">
        <f t="shared" si="31"/>
        <v>-419016</v>
      </c>
      <c r="AH13" s="34">
        <f t="shared" si="31"/>
        <v>-419628</v>
      </c>
      <c r="AI13" s="34">
        <f t="shared" si="31"/>
        <v>-419900</v>
      </c>
      <c r="AJ13" s="34">
        <f t="shared" si="31"/>
        <v>-419832</v>
      </c>
      <c r="AK13" s="34">
        <f t="shared" si="26"/>
        <v>-4914377</v>
      </c>
      <c r="AL13" s="33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3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3"/>
    </row>
    <row r="14">
      <c r="A14" s="33"/>
      <c r="B14" s="33"/>
      <c r="C14" s="33"/>
      <c r="D14" s="33"/>
      <c r="E14" s="33"/>
      <c r="F14" s="33" t="s">
        <v>43</v>
      </c>
      <c r="G14" s="33" t="s">
        <v>44</v>
      </c>
      <c r="H14" s="33" t="s">
        <v>45</v>
      </c>
      <c r="I14" s="36">
        <v>0.0</v>
      </c>
      <c r="J14" s="36">
        <v>0.0</v>
      </c>
      <c r="K14" s="36">
        <v>0.0</v>
      </c>
      <c r="L14" s="36">
        <v>0.0</v>
      </c>
      <c r="M14" s="36">
        <v>0.0</v>
      </c>
      <c r="N14" s="34">
        <v>0.0</v>
      </c>
      <c r="O14" s="36">
        <f t="shared" si="22"/>
        <v>0</v>
      </c>
      <c r="P14" s="33"/>
      <c r="Q14" s="36">
        <v>0.0</v>
      </c>
      <c r="R14" s="36">
        <v>0.0</v>
      </c>
      <c r="S14" s="36">
        <v>0.0</v>
      </c>
      <c r="T14" s="36">
        <v>0.0</v>
      </c>
      <c r="U14" s="36">
        <v>0.0</v>
      </c>
      <c r="V14" s="36">
        <v>0.0</v>
      </c>
      <c r="W14" s="36">
        <f t="shared" si="24"/>
        <v>0</v>
      </c>
      <c r="X14" s="33"/>
      <c r="Y14" s="34">
        <f t="shared" ref="Y14:AJ14" si="32">Y4*Y78</f>
        <v>0</v>
      </c>
      <c r="Z14" s="34">
        <f t="shared" si="32"/>
        <v>0</v>
      </c>
      <c r="AA14" s="34">
        <f t="shared" si="32"/>
        <v>0</v>
      </c>
      <c r="AB14" s="34">
        <f t="shared" si="32"/>
        <v>0</v>
      </c>
      <c r="AC14" s="34">
        <f t="shared" si="32"/>
        <v>0</v>
      </c>
      <c r="AD14" s="34">
        <f t="shared" si="32"/>
        <v>0</v>
      </c>
      <c r="AE14" s="34">
        <f t="shared" si="32"/>
        <v>0</v>
      </c>
      <c r="AF14" s="34">
        <f t="shared" si="32"/>
        <v>0</v>
      </c>
      <c r="AG14" s="34">
        <f t="shared" si="32"/>
        <v>0</v>
      </c>
      <c r="AH14" s="34">
        <f t="shared" si="32"/>
        <v>0</v>
      </c>
      <c r="AI14" s="34">
        <f t="shared" si="32"/>
        <v>0</v>
      </c>
      <c r="AJ14" s="34">
        <f t="shared" si="32"/>
        <v>0</v>
      </c>
      <c r="AK14" s="34">
        <f t="shared" si="26"/>
        <v>0</v>
      </c>
      <c r="AL14" s="33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3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3"/>
    </row>
    <row r="15">
      <c r="A15" s="33"/>
      <c r="B15" s="33"/>
      <c r="C15" s="33"/>
      <c r="D15" s="33"/>
      <c r="E15" s="33"/>
      <c r="F15" s="42" t="s">
        <v>46</v>
      </c>
      <c r="G15" s="33" t="s">
        <v>47</v>
      </c>
      <c r="H15" s="33" t="s">
        <v>48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4">
        <v>0.0</v>
      </c>
      <c r="O15" s="36">
        <f t="shared" si="22"/>
        <v>0</v>
      </c>
      <c r="P15" s="33"/>
      <c r="Q15" s="36">
        <v>0.0</v>
      </c>
      <c r="R15" s="36">
        <v>0.0</v>
      </c>
      <c r="S15" s="36">
        <v>0.0</v>
      </c>
      <c r="T15" s="36">
        <v>0.0</v>
      </c>
      <c r="U15" s="36">
        <v>0.0</v>
      </c>
      <c r="V15" s="36">
        <v>0.0</v>
      </c>
      <c r="W15" s="36">
        <f t="shared" si="24"/>
        <v>0</v>
      </c>
      <c r="X15" s="33"/>
      <c r="Y15" s="34">
        <f t="shared" ref="Y15:AJ15" si="33">Y3*Y79</f>
        <v>0</v>
      </c>
      <c r="Z15" s="34">
        <f t="shared" si="33"/>
        <v>0</v>
      </c>
      <c r="AA15" s="34">
        <f t="shared" si="33"/>
        <v>0</v>
      </c>
      <c r="AB15" s="34">
        <f t="shared" si="33"/>
        <v>0</v>
      </c>
      <c r="AC15" s="34">
        <f t="shared" si="33"/>
        <v>0</v>
      </c>
      <c r="AD15" s="34">
        <f t="shared" si="33"/>
        <v>0</v>
      </c>
      <c r="AE15" s="34">
        <f t="shared" si="33"/>
        <v>0</v>
      </c>
      <c r="AF15" s="34">
        <f t="shared" si="33"/>
        <v>0</v>
      </c>
      <c r="AG15" s="34">
        <f t="shared" si="33"/>
        <v>0</v>
      </c>
      <c r="AH15" s="34">
        <f t="shared" si="33"/>
        <v>0</v>
      </c>
      <c r="AI15" s="34">
        <f t="shared" si="33"/>
        <v>0</v>
      </c>
      <c r="AJ15" s="34">
        <f t="shared" si="33"/>
        <v>0</v>
      </c>
      <c r="AK15" s="34">
        <f t="shared" si="26"/>
        <v>0</v>
      </c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</row>
    <row r="16">
      <c r="A16" s="33"/>
      <c r="B16" s="33"/>
      <c r="C16" s="33"/>
      <c r="D16" s="33"/>
      <c r="E16" s="33" t="s">
        <v>35</v>
      </c>
      <c r="F16" s="33" t="s">
        <v>49</v>
      </c>
      <c r="G16" s="37"/>
      <c r="H16" s="37"/>
      <c r="I16" s="36">
        <f t="shared" ref="I16:N16" si="34">I17</f>
        <v>0</v>
      </c>
      <c r="J16" s="36">
        <f t="shared" si="34"/>
        <v>0</v>
      </c>
      <c r="K16" s="36">
        <f t="shared" si="34"/>
        <v>0</v>
      </c>
      <c r="L16" s="36">
        <f t="shared" si="34"/>
        <v>0</v>
      </c>
      <c r="M16" s="36">
        <f t="shared" si="34"/>
        <v>0</v>
      </c>
      <c r="N16" s="34">
        <f t="shared" si="34"/>
        <v>0</v>
      </c>
      <c r="O16" s="36">
        <f t="shared" si="22"/>
        <v>0</v>
      </c>
      <c r="P16" s="33"/>
      <c r="Q16" s="40">
        <f t="shared" ref="Q16:V16" si="35">Q17</f>
        <v>-36052</v>
      </c>
      <c r="R16" s="40">
        <f t="shared" si="35"/>
        <v>-15112</v>
      </c>
      <c r="S16" s="40">
        <f t="shared" si="35"/>
        <v>-15112</v>
      </c>
      <c r="T16" s="40">
        <f t="shared" si="35"/>
        <v>-15112</v>
      </c>
      <c r="U16" s="40">
        <f t="shared" si="35"/>
        <v>-15112</v>
      </c>
      <c r="V16" s="40">
        <f t="shared" si="35"/>
        <v>-14222</v>
      </c>
      <c r="W16" s="40">
        <f t="shared" si="24"/>
        <v>-110722</v>
      </c>
      <c r="X16" s="33"/>
      <c r="Y16" s="34">
        <f t="shared" ref="Y16:AJ16" si="36">Y17</f>
        <v>-16107.5</v>
      </c>
      <c r="Z16" s="34">
        <f t="shared" si="36"/>
        <v>-16660</v>
      </c>
      <c r="AA16" s="34">
        <f t="shared" si="36"/>
        <v>-17212.5</v>
      </c>
      <c r="AB16" s="34">
        <f t="shared" si="36"/>
        <v>-17722.5</v>
      </c>
      <c r="AC16" s="34">
        <f t="shared" si="36"/>
        <v>-18232.5</v>
      </c>
      <c r="AD16" s="34">
        <f t="shared" si="36"/>
        <v>-18742.5</v>
      </c>
      <c r="AE16" s="34">
        <f t="shared" si="36"/>
        <v>-19210</v>
      </c>
      <c r="AF16" s="34">
        <f t="shared" si="36"/>
        <v>-19677.5</v>
      </c>
      <c r="AG16" s="34">
        <f t="shared" si="36"/>
        <v>-20145</v>
      </c>
      <c r="AH16" s="34">
        <f t="shared" si="36"/>
        <v>-20570</v>
      </c>
      <c r="AI16" s="34">
        <f t="shared" si="36"/>
        <v>-20995</v>
      </c>
      <c r="AJ16" s="34">
        <f t="shared" si="36"/>
        <v>-21420</v>
      </c>
      <c r="AK16" s="34">
        <f t="shared" si="26"/>
        <v>-226695</v>
      </c>
      <c r="AL16" s="33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</row>
    <row r="17">
      <c r="A17" s="33"/>
      <c r="B17" s="33"/>
      <c r="C17" s="33"/>
      <c r="D17" s="33"/>
      <c r="E17" s="33"/>
      <c r="F17" s="33" t="s">
        <v>49</v>
      </c>
      <c r="G17" s="33" t="s">
        <v>50</v>
      </c>
      <c r="H17" s="33" t="s">
        <v>51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43">
        <v>0.0</v>
      </c>
      <c r="O17" s="36">
        <f t="shared" si="22"/>
        <v>0</v>
      </c>
      <c r="P17" s="33"/>
      <c r="Q17" s="40">
        <v>-36052.0</v>
      </c>
      <c r="R17" s="40">
        <v>-15112.0</v>
      </c>
      <c r="S17" s="40">
        <v>-15112.0</v>
      </c>
      <c r="T17" s="40">
        <v>-15112.0</v>
      </c>
      <c r="U17" s="40">
        <v>-15112.0</v>
      </c>
      <c r="V17" s="40">
        <v>-14222.0</v>
      </c>
      <c r="W17" s="40">
        <f t="shared" si="24"/>
        <v>-110722</v>
      </c>
      <c r="X17" s="33"/>
      <c r="Y17" s="34">
        <f t="shared" ref="Y17:AJ17" si="37">Y3*Y81</f>
        <v>-16107.5</v>
      </c>
      <c r="Z17" s="34">
        <f t="shared" si="37"/>
        <v>-16660</v>
      </c>
      <c r="AA17" s="34">
        <f t="shared" si="37"/>
        <v>-17212.5</v>
      </c>
      <c r="AB17" s="34">
        <f t="shared" si="37"/>
        <v>-17722.5</v>
      </c>
      <c r="AC17" s="34">
        <f t="shared" si="37"/>
        <v>-18232.5</v>
      </c>
      <c r="AD17" s="34">
        <f t="shared" si="37"/>
        <v>-18742.5</v>
      </c>
      <c r="AE17" s="34">
        <f t="shared" si="37"/>
        <v>-19210</v>
      </c>
      <c r="AF17" s="34">
        <f t="shared" si="37"/>
        <v>-19677.5</v>
      </c>
      <c r="AG17" s="34">
        <f t="shared" si="37"/>
        <v>-20145</v>
      </c>
      <c r="AH17" s="34">
        <f t="shared" si="37"/>
        <v>-20570</v>
      </c>
      <c r="AI17" s="34">
        <f t="shared" si="37"/>
        <v>-20995</v>
      </c>
      <c r="AJ17" s="34">
        <f t="shared" si="37"/>
        <v>-21420</v>
      </c>
      <c r="AK17" s="34">
        <f t="shared" si="26"/>
        <v>-226695</v>
      </c>
      <c r="AL17" s="33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</row>
    <row r="18">
      <c r="A18" s="33"/>
      <c r="B18" s="33"/>
      <c r="C18" s="33"/>
      <c r="D18" s="33" t="s">
        <v>52</v>
      </c>
      <c r="E18" s="33" t="s">
        <v>22</v>
      </c>
      <c r="F18" s="33" t="s">
        <v>53</v>
      </c>
      <c r="G18" s="33"/>
      <c r="H18" s="33"/>
      <c r="I18" s="34">
        <v>1312828.0</v>
      </c>
      <c r="J18" s="34">
        <v>1401303.0</v>
      </c>
      <c r="K18" s="34">
        <v>1285010.0</v>
      </c>
      <c r="L18" s="34">
        <v>1295869.0</v>
      </c>
      <c r="M18" s="34">
        <v>1379005.0</v>
      </c>
      <c r="N18" s="34">
        <v>1380743.0</v>
      </c>
      <c r="O18" s="34">
        <f t="shared" si="22"/>
        <v>8054758</v>
      </c>
      <c r="P18" s="35">
        <f>O18/O$3</f>
        <v>0.7917277641</v>
      </c>
      <c r="Q18" s="34">
        <f t="shared" ref="Q18:V18" si="38">Q4+Q9</f>
        <v>1368934</v>
      </c>
      <c r="R18" s="34">
        <f t="shared" si="38"/>
        <v>1691756</v>
      </c>
      <c r="S18" s="34">
        <f t="shared" si="38"/>
        <v>1869661</v>
      </c>
      <c r="T18" s="34">
        <f t="shared" si="38"/>
        <v>2031909</v>
      </c>
      <c r="U18" s="34">
        <f t="shared" si="38"/>
        <v>2261391</v>
      </c>
      <c r="V18" s="34">
        <f t="shared" si="38"/>
        <v>2478240</v>
      </c>
      <c r="W18" s="34">
        <f t="shared" si="24"/>
        <v>19756649</v>
      </c>
      <c r="X18" s="35">
        <f>W18/W$3</f>
        <v>0.809108412</v>
      </c>
      <c r="Y18" s="34">
        <f t="shared" ref="Y18:AJ18" si="39">Y4+Y9</f>
        <v>2664180.5</v>
      </c>
      <c r="Z18" s="34">
        <f t="shared" si="39"/>
        <v>2762228</v>
      </c>
      <c r="AA18" s="34">
        <f t="shared" si="39"/>
        <v>2860717.5</v>
      </c>
      <c r="AB18" s="34">
        <f t="shared" si="39"/>
        <v>2952568.5</v>
      </c>
      <c r="AC18" s="34">
        <f t="shared" si="39"/>
        <v>3044827.5</v>
      </c>
      <c r="AD18" s="34">
        <f t="shared" si="39"/>
        <v>3137494.5</v>
      </c>
      <c r="AE18" s="34">
        <f t="shared" si="39"/>
        <v>3223438</v>
      </c>
      <c r="AF18" s="34">
        <f t="shared" si="39"/>
        <v>3309755.5</v>
      </c>
      <c r="AG18" s="34">
        <f t="shared" si="39"/>
        <v>3396447</v>
      </c>
      <c r="AH18" s="34">
        <f t="shared" si="39"/>
        <v>3476330</v>
      </c>
      <c r="AI18" s="34">
        <f t="shared" si="39"/>
        <v>3556553</v>
      </c>
      <c r="AJ18" s="34">
        <f t="shared" si="39"/>
        <v>3637116</v>
      </c>
      <c r="AK18" s="34">
        <f t="shared" si="26"/>
        <v>38021656</v>
      </c>
      <c r="AL18" s="35">
        <f>AK18/AK$3</f>
        <v>0.838608174</v>
      </c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>
      <c r="A19" s="33"/>
      <c r="B19" s="33"/>
      <c r="C19" s="33"/>
      <c r="D19" s="33" t="s">
        <v>54</v>
      </c>
      <c r="E19" s="33" t="s">
        <v>22</v>
      </c>
      <c r="F19" s="33" t="s">
        <v>55</v>
      </c>
      <c r="G19" s="37"/>
      <c r="H19" s="37"/>
      <c r="I19" s="35">
        <f t="shared" ref="I19:N19" si="40">I18/I3</f>
        <v>0.785303509</v>
      </c>
      <c r="J19" s="35">
        <f t="shared" si="40"/>
        <v>0.8129546863</v>
      </c>
      <c r="K19" s="35">
        <f t="shared" si="40"/>
        <v>0.7751713055</v>
      </c>
      <c r="L19" s="35">
        <f t="shared" si="40"/>
        <v>0.7834483434</v>
      </c>
      <c r="M19" s="35">
        <f t="shared" si="40"/>
        <v>0.7937797594</v>
      </c>
      <c r="N19" s="35">
        <f t="shared" si="40"/>
        <v>0.7985092106</v>
      </c>
      <c r="O19" s="33"/>
      <c r="P19" s="44"/>
      <c r="Q19" s="35">
        <f t="shared" ref="Q19:V19" si="41">Q18/Q3</f>
        <v>0.7355308624</v>
      </c>
      <c r="R19" s="35">
        <f t="shared" si="41"/>
        <v>0.8262137008</v>
      </c>
      <c r="S19" s="35">
        <f t="shared" si="41"/>
        <v>0.8319769354</v>
      </c>
      <c r="T19" s="35">
        <f t="shared" si="41"/>
        <v>0.8281671782</v>
      </c>
      <c r="U19" s="35">
        <f t="shared" si="41"/>
        <v>0.8403218608</v>
      </c>
      <c r="V19" s="35">
        <f t="shared" si="41"/>
        <v>0.8419218828</v>
      </c>
      <c r="W19" s="33"/>
      <c r="X19" s="44"/>
      <c r="Y19" s="35">
        <f t="shared" ref="Y19:AJ19" si="42">Y18/Y3</f>
        <v>0.827</v>
      </c>
      <c r="Z19" s="35">
        <f t="shared" si="42"/>
        <v>0.829</v>
      </c>
      <c r="AA19" s="35">
        <f t="shared" si="42"/>
        <v>0.831</v>
      </c>
      <c r="AB19" s="35">
        <f t="shared" si="42"/>
        <v>0.833</v>
      </c>
      <c r="AC19" s="35">
        <f t="shared" si="42"/>
        <v>0.835</v>
      </c>
      <c r="AD19" s="35">
        <f t="shared" si="42"/>
        <v>0.837</v>
      </c>
      <c r="AE19" s="35">
        <f t="shared" si="42"/>
        <v>0.839</v>
      </c>
      <c r="AF19" s="35">
        <f t="shared" si="42"/>
        <v>0.841</v>
      </c>
      <c r="AG19" s="35">
        <f t="shared" si="42"/>
        <v>0.843</v>
      </c>
      <c r="AH19" s="35">
        <f t="shared" si="42"/>
        <v>0.845</v>
      </c>
      <c r="AI19" s="35">
        <f t="shared" si="42"/>
        <v>0.847</v>
      </c>
      <c r="AJ19" s="35">
        <f t="shared" si="42"/>
        <v>0.849</v>
      </c>
      <c r="AK19" s="45"/>
      <c r="AL19" s="44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>
      <c r="A20" s="33"/>
      <c r="B20" s="33"/>
      <c r="C20" s="33"/>
      <c r="D20" s="33" t="s">
        <v>56</v>
      </c>
      <c r="E20" s="33" t="s">
        <v>22</v>
      </c>
      <c r="F20" s="33" t="s">
        <v>56</v>
      </c>
      <c r="G20" s="33"/>
      <c r="H20" s="33"/>
      <c r="I20" s="34">
        <f t="shared" ref="I20:N20" si="43">I21</f>
        <v>3000</v>
      </c>
      <c r="J20" s="34">
        <f t="shared" si="43"/>
        <v>44400</v>
      </c>
      <c r="K20" s="34">
        <f t="shared" si="43"/>
        <v>29000</v>
      </c>
      <c r="L20" s="34">
        <f t="shared" si="43"/>
        <v>28281</v>
      </c>
      <c r="M20" s="34">
        <f t="shared" si="43"/>
        <v>25400</v>
      </c>
      <c r="N20" s="34">
        <f t="shared" si="43"/>
        <v>21429</v>
      </c>
      <c r="O20" s="34">
        <f t="shared" ref="O20:O25" si="44">SUM(I20:N20)</f>
        <v>151510</v>
      </c>
      <c r="P20" s="35">
        <f>O20/O$3</f>
        <v>0.01489239944</v>
      </c>
      <c r="Q20" s="36">
        <v>0.0</v>
      </c>
      <c r="R20" s="36">
        <v>0.0</v>
      </c>
      <c r="S20" s="36">
        <v>0.0</v>
      </c>
      <c r="T20" s="36">
        <v>0.0</v>
      </c>
      <c r="U20" s="36">
        <v>0.0</v>
      </c>
      <c r="V20" s="36">
        <v>0.0</v>
      </c>
      <c r="W20" s="34">
        <f t="shared" ref="W20:W25" si="45">SUM(Q20:V20)+O20</f>
        <v>151510</v>
      </c>
      <c r="X20" s="35">
        <f>W20/W$3</f>
        <v>0.006204899196</v>
      </c>
      <c r="Y20" s="34">
        <v>0.0</v>
      </c>
      <c r="Z20" s="34">
        <v>0.0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0.0</v>
      </c>
      <c r="AK20" s="34">
        <f t="shared" ref="AK20:AK25" si="46">SUM(Y20:AJ20)</f>
        <v>0</v>
      </c>
      <c r="AL20" s="35">
        <f>AK20/AK$3</f>
        <v>0</v>
      </c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</row>
    <row r="21">
      <c r="A21" s="33"/>
      <c r="B21" s="33"/>
      <c r="C21" s="33"/>
      <c r="D21" s="33"/>
      <c r="E21" s="33"/>
      <c r="F21" s="33" t="s">
        <v>56</v>
      </c>
      <c r="G21" s="33" t="s">
        <v>57</v>
      </c>
      <c r="H21" s="33"/>
      <c r="I21" s="34">
        <v>3000.0</v>
      </c>
      <c r="J21" s="34">
        <v>44400.0</v>
      </c>
      <c r="K21" s="34">
        <v>29000.0</v>
      </c>
      <c r="L21" s="34">
        <v>28281.0</v>
      </c>
      <c r="M21" s="34">
        <v>25400.0</v>
      </c>
      <c r="N21" s="34">
        <v>21429.0</v>
      </c>
      <c r="O21" s="34">
        <f t="shared" si="44"/>
        <v>151510</v>
      </c>
      <c r="P21" s="33"/>
      <c r="Q21" s="36">
        <v>0.0</v>
      </c>
      <c r="R21" s="36">
        <v>0.0</v>
      </c>
      <c r="S21" s="36">
        <v>0.0</v>
      </c>
      <c r="T21" s="36">
        <v>0.0</v>
      </c>
      <c r="U21" s="36">
        <v>0.0</v>
      </c>
      <c r="V21" s="36">
        <v>0.0</v>
      </c>
      <c r="W21" s="34">
        <f t="shared" si="45"/>
        <v>151510</v>
      </c>
      <c r="X21" s="33"/>
      <c r="Y21" s="34">
        <v>0.0</v>
      </c>
      <c r="Z21" s="34">
        <v>0.0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0.0</v>
      </c>
      <c r="AK21" s="34">
        <f t="shared" si="46"/>
        <v>0</v>
      </c>
      <c r="AL21" s="33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</row>
    <row r="22">
      <c r="A22" s="33"/>
      <c r="B22" s="33"/>
      <c r="C22" s="33"/>
      <c r="D22" s="33" t="s">
        <v>58</v>
      </c>
      <c r="E22" s="33" t="s">
        <v>22</v>
      </c>
      <c r="F22" s="33" t="s">
        <v>58</v>
      </c>
      <c r="G22" s="33"/>
      <c r="H22" s="33"/>
      <c r="I22" s="34">
        <f t="shared" ref="I22:N22" si="47">I23</f>
        <v>34062</v>
      </c>
      <c r="J22" s="34">
        <f t="shared" si="47"/>
        <v>47624</v>
      </c>
      <c r="K22" s="34">
        <f t="shared" si="47"/>
        <v>37105</v>
      </c>
      <c r="L22" s="34">
        <f t="shared" si="47"/>
        <v>67428</v>
      </c>
      <c r="M22" s="34">
        <f t="shared" si="47"/>
        <v>34255</v>
      </c>
      <c r="N22" s="34">
        <f t="shared" si="47"/>
        <v>60445</v>
      </c>
      <c r="O22" s="34">
        <f t="shared" si="44"/>
        <v>280919</v>
      </c>
      <c r="P22" s="35">
        <f>O22/O$3</f>
        <v>0.02761242135</v>
      </c>
      <c r="Q22" s="36">
        <v>0.0</v>
      </c>
      <c r="R22" s="36">
        <v>0.0</v>
      </c>
      <c r="S22" s="36">
        <v>0.0</v>
      </c>
      <c r="T22" s="36">
        <v>0.0</v>
      </c>
      <c r="U22" s="36">
        <v>0.0</v>
      </c>
      <c r="V22" s="36">
        <v>0.0</v>
      </c>
      <c r="W22" s="34">
        <f t="shared" si="45"/>
        <v>280919</v>
      </c>
      <c r="X22" s="35">
        <f>W22/W$3</f>
        <v>0.01150468007</v>
      </c>
      <c r="Y22" s="34">
        <v>0.0</v>
      </c>
      <c r="Z22" s="34">
        <v>0.0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0.0</v>
      </c>
      <c r="AK22" s="34">
        <f t="shared" si="46"/>
        <v>0</v>
      </c>
      <c r="AL22" s="35">
        <f>AK22/AK$3</f>
        <v>0</v>
      </c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</row>
    <row r="23">
      <c r="A23" s="33"/>
      <c r="B23" s="33"/>
      <c r="C23" s="33"/>
      <c r="D23" s="33"/>
      <c r="E23" s="33"/>
      <c r="F23" s="33" t="s">
        <v>58</v>
      </c>
      <c r="G23" s="33" t="s">
        <v>59</v>
      </c>
      <c r="H23" s="33"/>
      <c r="I23" s="34">
        <v>34062.0</v>
      </c>
      <c r="J23" s="34">
        <v>47624.0</v>
      </c>
      <c r="K23" s="34">
        <v>37105.0</v>
      </c>
      <c r="L23" s="34">
        <v>67428.0</v>
      </c>
      <c r="M23" s="34">
        <v>34255.0</v>
      </c>
      <c r="N23" s="34">
        <v>60445.0</v>
      </c>
      <c r="O23" s="34">
        <f t="shared" si="44"/>
        <v>280919</v>
      </c>
      <c r="P23" s="33"/>
      <c r="Q23" s="36">
        <v>0.0</v>
      </c>
      <c r="R23" s="36">
        <v>0.0</v>
      </c>
      <c r="S23" s="36">
        <v>0.0</v>
      </c>
      <c r="T23" s="36">
        <v>0.0</v>
      </c>
      <c r="U23" s="36">
        <v>0.0</v>
      </c>
      <c r="V23" s="36">
        <v>0.0</v>
      </c>
      <c r="W23" s="34">
        <f t="shared" si="45"/>
        <v>280919</v>
      </c>
      <c r="X23" s="33"/>
      <c r="Y23" s="34">
        <v>0.0</v>
      </c>
      <c r="Z23" s="34">
        <v>0.0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0.0</v>
      </c>
      <c r="AK23" s="34">
        <f t="shared" si="46"/>
        <v>0</v>
      </c>
      <c r="AL23" s="33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</row>
    <row r="24">
      <c r="A24" s="6" t="s">
        <v>60</v>
      </c>
      <c r="B24" s="10" t="s">
        <v>204</v>
      </c>
      <c r="C24" s="33"/>
      <c r="D24" s="33" t="s">
        <v>60</v>
      </c>
      <c r="E24" s="33" t="s">
        <v>22</v>
      </c>
      <c r="F24" s="33" t="s">
        <v>60</v>
      </c>
      <c r="G24" s="33"/>
      <c r="H24" s="33"/>
      <c r="I24" s="34">
        <f t="shared" ref="I24:N24" si="48">sum(I25)</f>
        <v>-1458455</v>
      </c>
      <c r="J24" s="34">
        <f t="shared" si="48"/>
        <v>-1462033</v>
      </c>
      <c r="K24" s="34">
        <f t="shared" si="48"/>
        <v>-1756069</v>
      </c>
      <c r="L24" s="34">
        <f t="shared" si="48"/>
        <v>-1559523</v>
      </c>
      <c r="M24" s="34">
        <f t="shared" si="48"/>
        <v>-1559949</v>
      </c>
      <c r="N24" s="34">
        <f t="shared" si="48"/>
        <v>-1536476</v>
      </c>
      <c r="O24" s="34">
        <f t="shared" si="44"/>
        <v>-9332505</v>
      </c>
      <c r="P24" s="35">
        <f>O24/O$3</f>
        <v>-0.9173215777</v>
      </c>
      <c r="Q24" s="40">
        <f t="shared" ref="Q24:V24" si="49">Q25</f>
        <v>-1700000</v>
      </c>
      <c r="R24" s="40">
        <f t="shared" si="49"/>
        <v>-1700000</v>
      </c>
      <c r="S24" s="40">
        <f t="shared" si="49"/>
        <v>-1700000</v>
      </c>
      <c r="T24" s="40">
        <f t="shared" si="49"/>
        <v>-1700000</v>
      </c>
      <c r="U24" s="40">
        <f t="shared" si="49"/>
        <v>-1700000</v>
      </c>
      <c r="V24" s="40">
        <f t="shared" si="49"/>
        <v>-1700000</v>
      </c>
      <c r="W24" s="40">
        <f t="shared" si="45"/>
        <v>-19532505</v>
      </c>
      <c r="X24" s="35">
        <f>W24/W$3</f>
        <v>-0.7999288798</v>
      </c>
      <c r="Y24" s="34" t="str">
        <f t="shared" ref="Y24:AJ24" si="50">Y25</f>
        <v/>
      </c>
      <c r="Z24" s="34" t="str">
        <f t="shared" si="50"/>
        <v/>
      </c>
      <c r="AA24" s="34" t="str">
        <f t="shared" si="50"/>
        <v/>
      </c>
      <c r="AB24" s="34" t="str">
        <f t="shared" si="50"/>
        <v/>
      </c>
      <c r="AC24" s="34" t="str">
        <f t="shared" si="50"/>
        <v/>
      </c>
      <c r="AD24" s="34" t="str">
        <f t="shared" si="50"/>
        <v/>
      </c>
      <c r="AE24" s="34" t="str">
        <f t="shared" si="50"/>
        <v/>
      </c>
      <c r="AF24" s="34" t="str">
        <f t="shared" si="50"/>
        <v/>
      </c>
      <c r="AG24" s="34" t="str">
        <f t="shared" si="50"/>
        <v/>
      </c>
      <c r="AH24" s="34" t="str">
        <f t="shared" si="50"/>
        <v/>
      </c>
      <c r="AI24" s="34" t="str">
        <f t="shared" si="50"/>
        <v/>
      </c>
      <c r="AJ24" s="34" t="str">
        <f t="shared" si="50"/>
        <v/>
      </c>
      <c r="AK24" s="34">
        <f t="shared" si="46"/>
        <v>0</v>
      </c>
      <c r="AL24" s="35">
        <f>AK24/AK$3</f>
        <v>0</v>
      </c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>
      <c r="A25" s="6" t="s">
        <v>60</v>
      </c>
      <c r="B25" s="10" t="s">
        <v>204</v>
      </c>
      <c r="C25" s="116" t="b">
        <v>1</v>
      </c>
      <c r="D25" s="33"/>
      <c r="E25" s="33"/>
      <c r="F25" s="33"/>
      <c r="G25" s="37" t="s">
        <v>205</v>
      </c>
      <c r="H25" s="33"/>
      <c r="I25" s="34">
        <v>-1458455.0</v>
      </c>
      <c r="J25" s="34">
        <v>-1462033.0</v>
      </c>
      <c r="K25" s="34">
        <v>-1756069.0</v>
      </c>
      <c r="L25" s="34">
        <v>-1559523.0</v>
      </c>
      <c r="M25" s="34">
        <v>-1559949.0</v>
      </c>
      <c r="N25" s="34">
        <v>-1536476.0</v>
      </c>
      <c r="O25" s="34">
        <f t="shared" si="44"/>
        <v>-9332505</v>
      </c>
      <c r="P25" s="33"/>
      <c r="Q25" s="41">
        <v>-1700000.0</v>
      </c>
      <c r="R25" s="41">
        <v>-1700000.0</v>
      </c>
      <c r="S25" s="41">
        <v>-1700000.0</v>
      </c>
      <c r="T25" s="41">
        <v>-1700000.0</v>
      </c>
      <c r="U25" s="41">
        <v>-1700000.0</v>
      </c>
      <c r="V25" s="41">
        <v>-1700000.0</v>
      </c>
      <c r="W25" s="40">
        <f t="shared" si="45"/>
        <v>-19532505</v>
      </c>
      <c r="X25" s="33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>
        <f t="shared" si="46"/>
        <v>0</v>
      </c>
      <c r="AL25" s="33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>
      <c r="A26" s="6" t="s">
        <v>60</v>
      </c>
      <c r="B26" s="10" t="s">
        <v>204</v>
      </c>
      <c r="C26" s="116" t="b">
        <v>1</v>
      </c>
      <c r="D26" s="33"/>
      <c r="E26" s="33"/>
      <c r="F26" s="33"/>
      <c r="G26" s="37" t="s">
        <v>206</v>
      </c>
      <c r="H26" s="33"/>
      <c r="I26" s="34"/>
      <c r="J26" s="34"/>
      <c r="K26" s="34"/>
      <c r="L26" s="34"/>
      <c r="M26" s="34"/>
      <c r="N26" s="34"/>
      <c r="O26" s="34"/>
      <c r="P26" s="33"/>
      <c r="Q26" s="41"/>
      <c r="R26" s="41"/>
      <c r="S26" s="41"/>
      <c r="T26" s="41"/>
      <c r="U26" s="41"/>
      <c r="V26" s="41"/>
      <c r="W26" s="40"/>
      <c r="X26" s="33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3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>
      <c r="A27" s="6" t="s">
        <v>60</v>
      </c>
      <c r="B27" s="10" t="s">
        <v>204</v>
      </c>
      <c r="C27" s="116" t="b">
        <v>1</v>
      </c>
      <c r="D27" s="33"/>
      <c r="E27" s="33"/>
      <c r="F27" s="33"/>
      <c r="G27" s="37" t="s">
        <v>207</v>
      </c>
      <c r="H27" s="33"/>
      <c r="I27" s="34"/>
      <c r="J27" s="34"/>
      <c r="K27" s="34"/>
      <c r="L27" s="34"/>
      <c r="M27" s="34"/>
      <c r="N27" s="34"/>
      <c r="O27" s="34"/>
      <c r="P27" s="33"/>
      <c r="Q27" s="41"/>
      <c r="R27" s="41"/>
      <c r="S27" s="41"/>
      <c r="T27" s="41"/>
      <c r="U27" s="41"/>
      <c r="V27" s="41"/>
      <c r="W27" s="40"/>
      <c r="X27" s="33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3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>
      <c r="A28" s="44"/>
      <c r="B28" s="44"/>
      <c r="C28" s="44"/>
      <c r="D28" s="44" t="s">
        <v>63</v>
      </c>
      <c r="E28" s="44" t="s">
        <v>22</v>
      </c>
      <c r="F28" s="44" t="s">
        <v>63</v>
      </c>
      <c r="G28" s="44"/>
      <c r="H28" s="44"/>
      <c r="I28" s="34">
        <f t="shared" ref="I28:N28" si="51">sum(I29:I32)</f>
        <v>-780179</v>
      </c>
      <c r="J28" s="34">
        <f t="shared" si="51"/>
        <v>-892360</v>
      </c>
      <c r="K28" s="34">
        <f t="shared" si="51"/>
        <v>-904596</v>
      </c>
      <c r="L28" s="34">
        <f t="shared" si="51"/>
        <v>-787904</v>
      </c>
      <c r="M28" s="34">
        <f t="shared" si="51"/>
        <v>-737899</v>
      </c>
      <c r="N28" s="34">
        <f t="shared" si="51"/>
        <v>-59961</v>
      </c>
      <c r="O28" s="34">
        <f t="shared" ref="O28:O33" si="54">SUM(I28:N28)</f>
        <v>-4162899</v>
      </c>
      <c r="P28" s="35">
        <f>O28/O$3</f>
        <v>-0.4091845736</v>
      </c>
      <c r="Q28" s="40">
        <f t="shared" ref="Q28:V28" si="52">sum(Q29:Q32)</f>
        <v>-861212</v>
      </c>
      <c r="R28" s="40">
        <f t="shared" si="52"/>
        <v>-864160</v>
      </c>
      <c r="S28" s="40">
        <f t="shared" si="52"/>
        <v>-865954</v>
      </c>
      <c r="T28" s="40">
        <f t="shared" si="52"/>
        <v>-865250</v>
      </c>
      <c r="U28" s="40">
        <f t="shared" si="52"/>
        <v>-864180</v>
      </c>
      <c r="V28" s="40">
        <f t="shared" si="52"/>
        <v>-867373</v>
      </c>
      <c r="W28" s="40">
        <f t="shared" ref="W28:W33" si="55">SUM(Q28:V28)+O28</f>
        <v>-9351028</v>
      </c>
      <c r="X28" s="35">
        <f>W28/W$3</f>
        <v>-0.382959449</v>
      </c>
      <c r="Y28" s="34">
        <f t="shared" ref="Y28:AJ28" si="53">sum(Y29:Y32)</f>
        <v>-773160</v>
      </c>
      <c r="Z28" s="34">
        <f t="shared" si="53"/>
        <v>-779021.6</v>
      </c>
      <c r="AA28" s="34">
        <f t="shared" si="53"/>
        <v>-783513</v>
      </c>
      <c r="AB28" s="34">
        <f t="shared" si="53"/>
        <v>-784752.3</v>
      </c>
      <c r="AC28" s="34">
        <f t="shared" si="53"/>
        <v>-784726.8</v>
      </c>
      <c r="AD28" s="34">
        <f t="shared" si="53"/>
        <v>-783436.5</v>
      </c>
      <c r="AE28" s="34">
        <f t="shared" si="53"/>
        <v>-779157.6</v>
      </c>
      <c r="AF28" s="34">
        <f t="shared" si="53"/>
        <v>-773719.3</v>
      </c>
      <c r="AG28" s="34">
        <f t="shared" si="53"/>
        <v>-767121.6</v>
      </c>
      <c r="AH28" s="34">
        <f t="shared" si="53"/>
        <v>-757798.8</v>
      </c>
      <c r="AI28" s="34">
        <f t="shared" si="53"/>
        <v>-747422</v>
      </c>
      <c r="AJ28" s="34">
        <f t="shared" si="53"/>
        <v>-735991.2</v>
      </c>
      <c r="AK28" s="34">
        <f t="shared" ref="AK28:AK33" si="57">SUM(Y28:AJ28)</f>
        <v>-9249820.7</v>
      </c>
      <c r="AL28" s="35">
        <f>AK28/AK$3</f>
        <v>-0.2040146607</v>
      </c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44"/>
      <c r="AZ28" s="44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44"/>
      <c r="BN28" s="44"/>
    </row>
    <row r="29">
      <c r="A29" s="33"/>
      <c r="B29" s="33"/>
      <c r="C29" s="33"/>
      <c r="D29" s="33"/>
      <c r="E29" s="33"/>
      <c r="F29" s="33" t="s">
        <v>64</v>
      </c>
      <c r="G29" s="33" t="s">
        <v>65</v>
      </c>
      <c r="H29" s="33" t="s">
        <v>66</v>
      </c>
      <c r="I29" s="34">
        <v>-780179.0</v>
      </c>
      <c r="J29" s="34">
        <v>-892360.0</v>
      </c>
      <c r="K29" s="34">
        <v>-904596.0</v>
      </c>
      <c r="L29" s="34">
        <v>-787904.0</v>
      </c>
      <c r="M29" s="34">
        <v>-737899.0</v>
      </c>
      <c r="N29" s="34">
        <v>-59961.0</v>
      </c>
      <c r="O29" s="34">
        <f t="shared" si="54"/>
        <v>-4162899</v>
      </c>
      <c r="P29" s="33"/>
      <c r="Q29" s="40">
        <v>-700000.0</v>
      </c>
      <c r="R29" s="40">
        <v>-700000.0</v>
      </c>
      <c r="S29" s="40">
        <v>-700000.0</v>
      </c>
      <c r="T29" s="40">
        <v>-700000.0</v>
      </c>
      <c r="U29" s="40">
        <v>-700000.0</v>
      </c>
      <c r="V29" s="40">
        <v>-700000.0</v>
      </c>
      <c r="W29" s="40">
        <f t="shared" si="55"/>
        <v>-8362899</v>
      </c>
      <c r="X29" s="33"/>
      <c r="Y29" s="34">
        <f t="shared" ref="Y29:AJ29" si="56">Y$3*Y89</f>
        <v>-644300</v>
      </c>
      <c r="Z29" s="34">
        <f t="shared" si="56"/>
        <v>-649740</v>
      </c>
      <c r="AA29" s="34">
        <f t="shared" si="56"/>
        <v>-654075</v>
      </c>
      <c r="AB29" s="34">
        <f t="shared" si="56"/>
        <v>-655732.5</v>
      </c>
      <c r="AC29" s="34">
        <f t="shared" si="56"/>
        <v>-656370</v>
      </c>
      <c r="AD29" s="34">
        <f t="shared" si="56"/>
        <v>-655987.5</v>
      </c>
      <c r="AE29" s="34">
        <f t="shared" si="56"/>
        <v>-653140</v>
      </c>
      <c r="AF29" s="34">
        <f t="shared" si="56"/>
        <v>-649357.5</v>
      </c>
      <c r="AG29" s="34">
        <f t="shared" si="56"/>
        <v>-644640</v>
      </c>
      <c r="AH29" s="34">
        <f t="shared" si="56"/>
        <v>-637670</v>
      </c>
      <c r="AI29" s="34">
        <f t="shared" si="56"/>
        <v>-629850</v>
      </c>
      <c r="AJ29" s="34">
        <f t="shared" si="56"/>
        <v>-621180</v>
      </c>
      <c r="AK29" s="34">
        <f t="shared" si="57"/>
        <v>-7752042.5</v>
      </c>
      <c r="AL29" s="33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>
      <c r="A30" s="33"/>
      <c r="B30" s="33"/>
      <c r="C30" s="33"/>
      <c r="D30" s="33"/>
      <c r="E30" s="33"/>
      <c r="F30" s="33" t="s">
        <v>67</v>
      </c>
      <c r="G30" s="33" t="s">
        <v>68</v>
      </c>
      <c r="H30" s="33" t="s">
        <v>69</v>
      </c>
      <c r="I30" s="36">
        <v>0.0</v>
      </c>
      <c r="J30" s="36">
        <v>0.0</v>
      </c>
      <c r="K30" s="36">
        <v>0.0</v>
      </c>
      <c r="L30" s="36">
        <v>0.0</v>
      </c>
      <c r="M30" s="36">
        <v>0.0</v>
      </c>
      <c r="N30" s="34">
        <v>0.0</v>
      </c>
      <c r="O30" s="36">
        <f t="shared" si="54"/>
        <v>0</v>
      </c>
      <c r="P30" s="33"/>
      <c r="Q30" s="40">
        <v>-33376.0</v>
      </c>
      <c r="R30" s="40">
        <v>-33376.0</v>
      </c>
      <c r="S30" s="40">
        <v>-33376.0</v>
      </c>
      <c r="T30" s="40">
        <v>-33376.0</v>
      </c>
      <c r="U30" s="40">
        <v>-33376.0</v>
      </c>
      <c r="V30" s="40">
        <v>-36569.0</v>
      </c>
      <c r="W30" s="40">
        <f t="shared" si="55"/>
        <v>-203449</v>
      </c>
      <c r="X30" s="33"/>
      <c r="Y30" s="34">
        <f t="shared" ref="Y30:AJ30" si="58">Y$3*Y90</f>
        <v>-32215</v>
      </c>
      <c r="Z30" s="34">
        <f t="shared" si="58"/>
        <v>-32653.6</v>
      </c>
      <c r="AA30" s="34">
        <f t="shared" si="58"/>
        <v>-33048</v>
      </c>
      <c r="AB30" s="34">
        <f t="shared" si="58"/>
        <v>-33318.3</v>
      </c>
      <c r="AC30" s="34">
        <f t="shared" si="58"/>
        <v>-33547.8</v>
      </c>
      <c r="AD30" s="34">
        <f t="shared" si="58"/>
        <v>-33736.5</v>
      </c>
      <c r="AE30" s="34">
        <f t="shared" si="58"/>
        <v>-33809.6</v>
      </c>
      <c r="AF30" s="34">
        <f t="shared" si="58"/>
        <v>-33845.3</v>
      </c>
      <c r="AG30" s="34">
        <f t="shared" si="58"/>
        <v>-33843.6</v>
      </c>
      <c r="AH30" s="34">
        <f t="shared" si="58"/>
        <v>-33734.8</v>
      </c>
      <c r="AI30" s="34">
        <f t="shared" si="58"/>
        <v>-33592</v>
      </c>
      <c r="AJ30" s="34">
        <f t="shared" si="58"/>
        <v>-33415.2</v>
      </c>
      <c r="AK30" s="34">
        <f t="shared" si="57"/>
        <v>-400759.7</v>
      </c>
      <c r="AL30" s="33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3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3"/>
    </row>
    <row r="31">
      <c r="A31" s="33"/>
      <c r="B31" s="33"/>
      <c r="C31" s="33"/>
      <c r="D31" s="33"/>
      <c r="E31" s="33"/>
      <c r="F31" s="33" t="s">
        <v>70</v>
      </c>
      <c r="G31" s="33" t="s">
        <v>71</v>
      </c>
      <c r="H31" s="33" t="s">
        <v>72</v>
      </c>
      <c r="I31" s="36">
        <v>0.0</v>
      </c>
      <c r="J31" s="36">
        <v>0.0</v>
      </c>
      <c r="K31" s="36">
        <v>0.0</v>
      </c>
      <c r="L31" s="36">
        <v>0.0</v>
      </c>
      <c r="M31" s="36">
        <v>0.0</v>
      </c>
      <c r="N31" s="34">
        <v>0.0</v>
      </c>
      <c r="O31" s="36">
        <f t="shared" si="54"/>
        <v>0</v>
      </c>
      <c r="P31" s="33"/>
      <c r="Q31" s="40">
        <v>-15167.0</v>
      </c>
      <c r="R31" s="40">
        <v>-18115.0</v>
      </c>
      <c r="S31" s="40">
        <v>-19909.0</v>
      </c>
      <c r="T31" s="40">
        <v>-19205.0</v>
      </c>
      <c r="U31" s="40">
        <v>-18135.0</v>
      </c>
      <c r="V31" s="40">
        <v>-18135.0</v>
      </c>
      <c r="W31" s="40">
        <f t="shared" si="55"/>
        <v>-108666</v>
      </c>
      <c r="X31" s="33"/>
      <c r="Y31" s="34">
        <f t="shared" ref="Y31:AJ31" si="59">Y$3*Y91</f>
        <v>-16107.5</v>
      </c>
      <c r="Z31" s="34">
        <f t="shared" si="59"/>
        <v>-16660</v>
      </c>
      <c r="AA31" s="34">
        <f t="shared" si="59"/>
        <v>-17212.5</v>
      </c>
      <c r="AB31" s="34">
        <f t="shared" si="59"/>
        <v>-17722.5</v>
      </c>
      <c r="AC31" s="34">
        <f t="shared" si="59"/>
        <v>-18232.5</v>
      </c>
      <c r="AD31" s="34">
        <f t="shared" si="59"/>
        <v>-18742.5</v>
      </c>
      <c r="AE31" s="34">
        <f t="shared" si="59"/>
        <v>-19210</v>
      </c>
      <c r="AF31" s="34">
        <f t="shared" si="59"/>
        <v>-19677.5</v>
      </c>
      <c r="AG31" s="34">
        <f t="shared" si="59"/>
        <v>-20145</v>
      </c>
      <c r="AH31" s="34">
        <f t="shared" si="59"/>
        <v>-20570</v>
      </c>
      <c r="AI31" s="34">
        <f t="shared" si="59"/>
        <v>-20995</v>
      </c>
      <c r="AJ31" s="34">
        <f t="shared" si="59"/>
        <v>-21420</v>
      </c>
      <c r="AK31" s="34">
        <f t="shared" si="57"/>
        <v>-226695</v>
      </c>
      <c r="AL31" s="33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>
      <c r="A32" s="33"/>
      <c r="B32" s="33"/>
      <c r="C32" s="33"/>
      <c r="D32" s="33"/>
      <c r="E32" s="33"/>
      <c r="F32" s="33" t="s">
        <v>73</v>
      </c>
      <c r="G32" s="33" t="s">
        <v>74</v>
      </c>
      <c r="H32" s="33" t="s">
        <v>75</v>
      </c>
      <c r="I32" s="36">
        <v>0.0</v>
      </c>
      <c r="J32" s="36">
        <v>0.0</v>
      </c>
      <c r="K32" s="36">
        <v>0.0</v>
      </c>
      <c r="L32" s="36">
        <v>0.0</v>
      </c>
      <c r="M32" s="36">
        <v>0.0</v>
      </c>
      <c r="N32" s="34">
        <v>0.0</v>
      </c>
      <c r="O32" s="36">
        <f t="shared" si="54"/>
        <v>0</v>
      </c>
      <c r="P32" s="33"/>
      <c r="Q32" s="40">
        <v>-112669.0</v>
      </c>
      <c r="R32" s="40">
        <v>-112669.0</v>
      </c>
      <c r="S32" s="40">
        <v>-112669.0</v>
      </c>
      <c r="T32" s="40">
        <v>-112669.0</v>
      </c>
      <c r="U32" s="40">
        <v>-112669.0</v>
      </c>
      <c r="V32" s="40">
        <v>-112669.0</v>
      </c>
      <c r="W32" s="40">
        <f t="shared" si="55"/>
        <v>-676014</v>
      </c>
      <c r="X32" s="33"/>
      <c r="Y32" s="34">
        <f t="shared" ref="Y32:AJ32" si="60">Y$3*Y92</f>
        <v>-80537.5</v>
      </c>
      <c r="Z32" s="34">
        <f t="shared" si="60"/>
        <v>-79968</v>
      </c>
      <c r="AA32" s="34">
        <f t="shared" si="60"/>
        <v>-79177.5</v>
      </c>
      <c r="AB32" s="34">
        <f t="shared" si="60"/>
        <v>-77979</v>
      </c>
      <c r="AC32" s="34">
        <f t="shared" si="60"/>
        <v>-76576.5</v>
      </c>
      <c r="AD32" s="34">
        <f t="shared" si="60"/>
        <v>-74970</v>
      </c>
      <c r="AE32" s="34">
        <f t="shared" si="60"/>
        <v>-72998</v>
      </c>
      <c r="AF32" s="34">
        <f t="shared" si="60"/>
        <v>-70839</v>
      </c>
      <c r="AG32" s="34">
        <f t="shared" si="60"/>
        <v>-68493</v>
      </c>
      <c r="AH32" s="34">
        <f t="shared" si="60"/>
        <v>-65824</v>
      </c>
      <c r="AI32" s="34">
        <f t="shared" si="60"/>
        <v>-62985</v>
      </c>
      <c r="AJ32" s="34">
        <f t="shared" si="60"/>
        <v>-59976</v>
      </c>
      <c r="AK32" s="34">
        <f t="shared" si="57"/>
        <v>-870323.5</v>
      </c>
      <c r="AL32" s="33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3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3"/>
    </row>
    <row r="33">
      <c r="A33" s="33"/>
      <c r="B33" s="33"/>
      <c r="C33" s="33"/>
      <c r="D33" s="33" t="s">
        <v>76</v>
      </c>
      <c r="E33" s="33" t="s">
        <v>22</v>
      </c>
      <c r="F33" s="33" t="s">
        <v>76</v>
      </c>
      <c r="G33" s="33"/>
      <c r="H33" s="33"/>
      <c r="I33" s="34">
        <v>-888744.0</v>
      </c>
      <c r="J33" s="34">
        <v>-861066.0</v>
      </c>
      <c r="K33" s="34">
        <v>-1309550.0</v>
      </c>
      <c r="L33" s="34">
        <v>-955849.0</v>
      </c>
      <c r="M33" s="34">
        <v>-859188.0</v>
      </c>
      <c r="N33" s="34">
        <v>-133820.0</v>
      </c>
      <c r="O33" s="34">
        <f t="shared" si="54"/>
        <v>-5008217</v>
      </c>
      <c r="P33" s="35">
        <f>O33/O$3</f>
        <v>-0.4922735664</v>
      </c>
      <c r="Q33" s="34">
        <f t="shared" ref="Q33:V33" si="61">Q18+Q20+Q22+Q24+Q28</f>
        <v>-1192278</v>
      </c>
      <c r="R33" s="34">
        <f t="shared" si="61"/>
        <v>-872404</v>
      </c>
      <c r="S33" s="34">
        <f t="shared" si="61"/>
        <v>-696293</v>
      </c>
      <c r="T33" s="34">
        <f t="shared" si="61"/>
        <v>-533341</v>
      </c>
      <c r="U33" s="34">
        <f t="shared" si="61"/>
        <v>-302789</v>
      </c>
      <c r="V33" s="34">
        <f t="shared" si="61"/>
        <v>-89133</v>
      </c>
      <c r="W33" s="34">
        <f t="shared" si="55"/>
        <v>-8694455</v>
      </c>
      <c r="X33" s="35">
        <f>W33/W$3</f>
        <v>-0.3560703375</v>
      </c>
      <c r="Y33" s="34">
        <f t="shared" ref="Y33:AJ33" si="62">Y18+Y20+Y22+Y24+Y28</f>
        <v>1891020.5</v>
      </c>
      <c r="Z33" s="34">
        <f t="shared" si="62"/>
        <v>1983206.4</v>
      </c>
      <c r="AA33" s="34">
        <f t="shared" si="62"/>
        <v>2077204.5</v>
      </c>
      <c r="AB33" s="34">
        <f t="shared" si="62"/>
        <v>2167816.2</v>
      </c>
      <c r="AC33" s="34">
        <f t="shared" si="62"/>
        <v>2260100.7</v>
      </c>
      <c r="AD33" s="34">
        <f t="shared" si="62"/>
        <v>2354058</v>
      </c>
      <c r="AE33" s="34">
        <f t="shared" si="62"/>
        <v>2444280.4</v>
      </c>
      <c r="AF33" s="34">
        <f t="shared" si="62"/>
        <v>2536036.2</v>
      </c>
      <c r="AG33" s="34">
        <f t="shared" si="62"/>
        <v>2629325.4</v>
      </c>
      <c r="AH33" s="34">
        <f t="shared" si="62"/>
        <v>2718531.2</v>
      </c>
      <c r="AI33" s="34">
        <f t="shared" si="62"/>
        <v>2809131</v>
      </c>
      <c r="AJ33" s="34">
        <f t="shared" si="62"/>
        <v>2901124.8</v>
      </c>
      <c r="AK33" s="34">
        <f t="shared" si="57"/>
        <v>28771835.3</v>
      </c>
      <c r="AL33" s="35">
        <f>AK33/AK$3</f>
        <v>0.6345935133</v>
      </c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</row>
    <row r="34">
      <c r="A34" s="33"/>
      <c r="B34" s="33"/>
      <c r="C34" s="33"/>
      <c r="D34" s="33" t="s">
        <v>77</v>
      </c>
      <c r="E34" s="33" t="s">
        <v>22</v>
      </c>
      <c r="F34" s="33" t="s">
        <v>77</v>
      </c>
      <c r="G34" s="33"/>
      <c r="H34" s="33"/>
      <c r="I34" s="35">
        <f t="shared" ref="I34:N34" si="63">I33/I3</f>
        <v>-0.5316262159</v>
      </c>
      <c r="J34" s="35">
        <f t="shared" si="63"/>
        <v>-0.4995405276</v>
      </c>
      <c r="K34" s="35">
        <f t="shared" si="63"/>
        <v>-0.7899748509</v>
      </c>
      <c r="L34" s="35">
        <f t="shared" si="63"/>
        <v>-0.5778811868</v>
      </c>
      <c r="M34" s="35">
        <f t="shared" si="63"/>
        <v>-0.4945638659</v>
      </c>
      <c r="N34" s="35">
        <f t="shared" si="63"/>
        <v>-0.0773905807</v>
      </c>
      <c r="O34" s="33"/>
      <c r="P34" s="44"/>
      <c r="Q34" s="35">
        <f t="shared" ref="Q34:V34" si="64">Q33/Q3</f>
        <v>-0.6406132549</v>
      </c>
      <c r="R34" s="35">
        <f t="shared" si="64"/>
        <v>-0.4260615227</v>
      </c>
      <c r="S34" s="35">
        <f t="shared" si="64"/>
        <v>-0.3098421138</v>
      </c>
      <c r="T34" s="35">
        <f t="shared" si="64"/>
        <v>-0.2173795731</v>
      </c>
      <c r="U34" s="35">
        <f t="shared" si="64"/>
        <v>-0.1125149149</v>
      </c>
      <c r="V34" s="35">
        <f t="shared" si="64"/>
        <v>-0.03028077312</v>
      </c>
      <c r="W34" s="33"/>
      <c r="X34" s="44"/>
      <c r="Y34" s="35">
        <f t="shared" ref="Y34:AJ34" si="65">Y33/Y3</f>
        <v>0.587</v>
      </c>
      <c r="Z34" s="35">
        <f t="shared" si="65"/>
        <v>0.5952</v>
      </c>
      <c r="AA34" s="35">
        <f t="shared" si="65"/>
        <v>0.6034</v>
      </c>
      <c r="AB34" s="35">
        <f t="shared" si="65"/>
        <v>0.6116</v>
      </c>
      <c r="AC34" s="35">
        <f t="shared" si="65"/>
        <v>0.6198</v>
      </c>
      <c r="AD34" s="35">
        <f t="shared" si="65"/>
        <v>0.628</v>
      </c>
      <c r="AE34" s="35">
        <f t="shared" si="65"/>
        <v>0.6362</v>
      </c>
      <c r="AF34" s="35">
        <f t="shared" si="65"/>
        <v>0.6444</v>
      </c>
      <c r="AG34" s="35">
        <f t="shared" si="65"/>
        <v>0.6526</v>
      </c>
      <c r="AH34" s="35">
        <f t="shared" si="65"/>
        <v>0.6608</v>
      </c>
      <c r="AI34" s="35">
        <f t="shared" si="65"/>
        <v>0.669</v>
      </c>
      <c r="AJ34" s="35">
        <f t="shared" si="65"/>
        <v>0.6772</v>
      </c>
      <c r="AK34" s="45"/>
      <c r="AL34" s="44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3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3"/>
    </row>
    <row r="35">
      <c r="A35" s="33"/>
      <c r="B35" s="33"/>
      <c r="C35" s="33"/>
      <c r="D35" s="33" t="s">
        <v>78</v>
      </c>
      <c r="E35" s="33" t="s">
        <v>22</v>
      </c>
      <c r="F35" s="33" t="s">
        <v>79</v>
      </c>
      <c r="G35" s="33"/>
      <c r="H35" s="33"/>
      <c r="I35" s="34">
        <f t="shared" ref="I35:N35" si="66">I36</f>
        <v>-1579531</v>
      </c>
      <c r="J35" s="34">
        <f t="shared" si="66"/>
        <v>-725626</v>
      </c>
      <c r="K35" s="34">
        <f t="shared" si="66"/>
        <v>-1396013</v>
      </c>
      <c r="L35" s="34">
        <f t="shared" si="66"/>
        <v>-1578361</v>
      </c>
      <c r="M35" s="34">
        <f t="shared" si="66"/>
        <v>-1606912</v>
      </c>
      <c r="N35" s="34">
        <f t="shared" si="66"/>
        <v>-1526863</v>
      </c>
      <c r="O35" s="34">
        <f t="shared" ref="O35:O37" si="69">SUM(I35:N35)</f>
        <v>-8413306</v>
      </c>
      <c r="P35" s="35">
        <f>O35/O$3</f>
        <v>-0.8269705866</v>
      </c>
      <c r="Q35" s="40">
        <f t="shared" ref="Q35:V35" si="67">Q36</f>
        <v>-2476609</v>
      </c>
      <c r="R35" s="40">
        <f t="shared" si="67"/>
        <v>-2509424</v>
      </c>
      <c r="S35" s="40">
        <f t="shared" si="67"/>
        <v>-2395257</v>
      </c>
      <c r="T35" s="40">
        <f t="shared" si="67"/>
        <v>-2279418</v>
      </c>
      <c r="U35" s="40">
        <f t="shared" si="67"/>
        <v>-2271525</v>
      </c>
      <c r="V35" s="40">
        <f t="shared" si="67"/>
        <v>-2380275</v>
      </c>
      <c r="W35" s="40">
        <f t="shared" ref="W35:W37" si="70">SUM(Q35:V35)+O35</f>
        <v>-22725814</v>
      </c>
      <c r="X35" s="35">
        <f>W35/W$3</f>
        <v>-0.9307067852</v>
      </c>
      <c r="Y35" s="34">
        <f t="shared" ref="Y35:AJ35" si="68">Y36</f>
        <v>-1400000</v>
      </c>
      <c r="Z35" s="34">
        <f t="shared" si="68"/>
        <v>-1400000</v>
      </c>
      <c r="AA35" s="34">
        <f t="shared" si="68"/>
        <v>-1400000</v>
      </c>
      <c r="AB35" s="34">
        <f t="shared" si="68"/>
        <v>-1400000</v>
      </c>
      <c r="AC35" s="34">
        <f t="shared" si="68"/>
        <v>-1400000</v>
      </c>
      <c r="AD35" s="34">
        <f t="shared" si="68"/>
        <v>-1400000</v>
      </c>
      <c r="AE35" s="34">
        <f t="shared" si="68"/>
        <v>-1400000</v>
      </c>
      <c r="AF35" s="34">
        <f t="shared" si="68"/>
        <v>-1400000</v>
      </c>
      <c r="AG35" s="34">
        <f t="shared" si="68"/>
        <v>-1400000</v>
      </c>
      <c r="AH35" s="34">
        <f t="shared" si="68"/>
        <v>-1400000</v>
      </c>
      <c r="AI35" s="34">
        <f t="shared" si="68"/>
        <v>-1400000</v>
      </c>
      <c r="AJ35" s="34">
        <f t="shared" si="68"/>
        <v>-1400000</v>
      </c>
      <c r="AK35" s="34">
        <f t="shared" ref="AK35:AK37" si="72">SUM(Y35:AJ35)</f>
        <v>-16800000</v>
      </c>
      <c r="AL35" s="35">
        <f>AK35/AK$3</f>
        <v>-0.3705419176</v>
      </c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</row>
    <row r="36">
      <c r="A36" s="33"/>
      <c r="B36" s="33"/>
      <c r="C36" s="33"/>
      <c r="D36" s="33"/>
      <c r="E36" s="33"/>
      <c r="F36" s="33" t="s">
        <v>79</v>
      </c>
      <c r="G36" s="33" t="s">
        <v>80</v>
      </c>
      <c r="H36" s="33" t="s">
        <v>81</v>
      </c>
      <c r="I36" s="34">
        <v>-1579531.0</v>
      </c>
      <c r="J36" s="34">
        <v>-725626.0</v>
      </c>
      <c r="K36" s="34">
        <v>-1396013.0</v>
      </c>
      <c r="L36" s="34">
        <v>-1578361.0</v>
      </c>
      <c r="M36" s="34">
        <v>-1606912.0</v>
      </c>
      <c r="N36" s="34">
        <v>-1526863.0</v>
      </c>
      <c r="O36" s="34">
        <f t="shared" si="69"/>
        <v>-8413306</v>
      </c>
      <c r="P36" s="33"/>
      <c r="Q36" s="40">
        <v>-2476609.0</v>
      </c>
      <c r="R36" s="40">
        <v>-2509424.0</v>
      </c>
      <c r="S36" s="40">
        <v>-2395257.0</v>
      </c>
      <c r="T36" s="40">
        <v>-2279418.0</v>
      </c>
      <c r="U36" s="40">
        <v>-2271525.0</v>
      </c>
      <c r="V36" s="40">
        <v>-2380275.0</v>
      </c>
      <c r="W36" s="40">
        <f t="shared" si="70"/>
        <v>-22725814</v>
      </c>
      <c r="X36" s="33"/>
      <c r="Y36" s="34">
        <f t="shared" ref="Y36:AJ36" si="71">Y51*Y94</f>
        <v>-1400000</v>
      </c>
      <c r="Z36" s="34">
        <f t="shared" si="71"/>
        <v>-1400000</v>
      </c>
      <c r="AA36" s="34">
        <f t="shared" si="71"/>
        <v>-1400000</v>
      </c>
      <c r="AB36" s="34">
        <f t="shared" si="71"/>
        <v>-1400000</v>
      </c>
      <c r="AC36" s="34">
        <f t="shared" si="71"/>
        <v>-1400000</v>
      </c>
      <c r="AD36" s="34">
        <f t="shared" si="71"/>
        <v>-1400000</v>
      </c>
      <c r="AE36" s="34">
        <f t="shared" si="71"/>
        <v>-1400000</v>
      </c>
      <c r="AF36" s="34">
        <f t="shared" si="71"/>
        <v>-1400000</v>
      </c>
      <c r="AG36" s="34">
        <f t="shared" si="71"/>
        <v>-1400000</v>
      </c>
      <c r="AH36" s="34">
        <f t="shared" si="71"/>
        <v>-1400000</v>
      </c>
      <c r="AI36" s="34">
        <f t="shared" si="71"/>
        <v>-1400000</v>
      </c>
      <c r="AJ36" s="34">
        <f t="shared" si="71"/>
        <v>-1400000</v>
      </c>
      <c r="AK36" s="34">
        <f t="shared" si="72"/>
        <v>-16800000</v>
      </c>
      <c r="AL36" s="33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>
      <c r="A37" s="33"/>
      <c r="B37" s="33"/>
      <c r="C37" s="33"/>
      <c r="D37" s="33" t="s">
        <v>82</v>
      </c>
      <c r="E37" s="33" t="s">
        <v>22</v>
      </c>
      <c r="F37" s="33" t="s">
        <v>83</v>
      </c>
      <c r="G37" s="33"/>
      <c r="H37" s="33"/>
      <c r="I37" s="34">
        <v>-2468275.0</v>
      </c>
      <c r="J37" s="34">
        <v>-1586692.0</v>
      </c>
      <c r="K37" s="34">
        <v>-2705563.0</v>
      </c>
      <c r="L37" s="34">
        <v>-2534210.0</v>
      </c>
      <c r="M37" s="34">
        <v>-2466100.0</v>
      </c>
      <c r="N37" s="34">
        <v>-1660683.0</v>
      </c>
      <c r="O37" s="34">
        <f t="shared" si="69"/>
        <v>-13421523</v>
      </c>
      <c r="P37" s="35">
        <f>O37/O$3</f>
        <v>-1.319244153</v>
      </c>
      <c r="Q37" s="34">
        <f t="shared" ref="Q37:V37" si="73">Q33+Q35</f>
        <v>-3668887</v>
      </c>
      <c r="R37" s="34">
        <f t="shared" si="73"/>
        <v>-3381828</v>
      </c>
      <c r="S37" s="34">
        <f t="shared" si="73"/>
        <v>-3091550</v>
      </c>
      <c r="T37" s="34">
        <f t="shared" si="73"/>
        <v>-2812759</v>
      </c>
      <c r="U37" s="34">
        <f t="shared" si="73"/>
        <v>-2574314</v>
      </c>
      <c r="V37" s="34">
        <f t="shared" si="73"/>
        <v>-2469408</v>
      </c>
      <c r="W37" s="34">
        <f t="shared" si="70"/>
        <v>-31420269</v>
      </c>
      <c r="X37" s="35">
        <f>W37/W$3</f>
        <v>-1.286777123</v>
      </c>
      <c r="Y37" s="34">
        <f t="shared" ref="Y37:AJ37" si="74">Y33+Y35</f>
        <v>491020.5</v>
      </c>
      <c r="Z37" s="34">
        <f t="shared" si="74"/>
        <v>583206.4</v>
      </c>
      <c r="AA37" s="34">
        <f t="shared" si="74"/>
        <v>677204.5</v>
      </c>
      <c r="AB37" s="34">
        <f t="shared" si="74"/>
        <v>767816.2</v>
      </c>
      <c r="AC37" s="34">
        <f t="shared" si="74"/>
        <v>860100.7</v>
      </c>
      <c r="AD37" s="34">
        <f t="shared" si="74"/>
        <v>954058</v>
      </c>
      <c r="AE37" s="34">
        <f t="shared" si="74"/>
        <v>1044280.4</v>
      </c>
      <c r="AF37" s="34">
        <f t="shared" si="74"/>
        <v>1136036.2</v>
      </c>
      <c r="AG37" s="34">
        <f t="shared" si="74"/>
        <v>1229325.4</v>
      </c>
      <c r="AH37" s="34">
        <f t="shared" si="74"/>
        <v>1318531.2</v>
      </c>
      <c r="AI37" s="34">
        <f t="shared" si="74"/>
        <v>1409131</v>
      </c>
      <c r="AJ37" s="34">
        <f t="shared" si="74"/>
        <v>1501124.8</v>
      </c>
      <c r="AK37" s="34">
        <f t="shared" si="72"/>
        <v>11971835.3</v>
      </c>
      <c r="AL37" s="35">
        <f>AK37/AK$3</f>
        <v>0.2640515958</v>
      </c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>
      <c r="A38" s="33"/>
      <c r="B38" s="33"/>
      <c r="C38" s="33"/>
      <c r="D38" s="33" t="s">
        <v>84</v>
      </c>
      <c r="E38" s="33" t="s">
        <v>22</v>
      </c>
      <c r="F38" s="33" t="s">
        <v>84</v>
      </c>
      <c r="G38" s="33"/>
      <c r="H38" s="33"/>
      <c r="I38" s="35">
        <f t="shared" ref="I38:N38" si="75">I37/I3</f>
        <v>-1.476465324</v>
      </c>
      <c r="J38" s="35">
        <f t="shared" si="75"/>
        <v>-0.9205066264</v>
      </c>
      <c r="K38" s="35">
        <f t="shared" si="75"/>
        <v>-1.632107768</v>
      </c>
      <c r="L38" s="35">
        <f t="shared" si="75"/>
        <v>-1.53211677</v>
      </c>
      <c r="M38" s="35">
        <f t="shared" si="75"/>
        <v>-1.419530941</v>
      </c>
      <c r="N38" s="35">
        <f t="shared" si="75"/>
        <v>-0.9604036894</v>
      </c>
      <c r="O38" s="33"/>
      <c r="P38" s="44"/>
      <c r="Q38" s="35">
        <f t="shared" ref="Q38:V38" si="76">Q37/Q3</f>
        <v>-1.971300018</v>
      </c>
      <c r="R38" s="35">
        <f t="shared" si="76"/>
        <v>-1.651604976</v>
      </c>
      <c r="S38" s="35">
        <f t="shared" si="76"/>
        <v>-1.375703026</v>
      </c>
      <c r="T38" s="35">
        <f t="shared" si="76"/>
        <v>-1.146426678</v>
      </c>
      <c r="U38" s="35">
        <f t="shared" si="76"/>
        <v>-0.9566025207</v>
      </c>
      <c r="V38" s="35">
        <f t="shared" si="76"/>
        <v>-0.8389214252</v>
      </c>
      <c r="W38" s="33"/>
      <c r="X38" s="44"/>
      <c r="Y38" s="35">
        <f t="shared" ref="Y38:AJ38" si="77">Y37/Y3</f>
        <v>0.1524198355</v>
      </c>
      <c r="Z38" s="35">
        <f t="shared" si="77"/>
        <v>0.1750319328</v>
      </c>
      <c r="AA38" s="35">
        <f t="shared" si="77"/>
        <v>0.196718809</v>
      </c>
      <c r="AB38" s="35">
        <f t="shared" si="77"/>
        <v>0.2166218649</v>
      </c>
      <c r="AC38" s="35">
        <f t="shared" si="77"/>
        <v>0.2358702043</v>
      </c>
      <c r="AD38" s="35">
        <f t="shared" si="77"/>
        <v>0.2545172736</v>
      </c>
      <c r="AE38" s="35">
        <f t="shared" si="77"/>
        <v>0.271806455</v>
      </c>
      <c r="AF38" s="35">
        <f t="shared" si="77"/>
        <v>0.288663753</v>
      </c>
      <c r="AG38" s="35">
        <f t="shared" si="77"/>
        <v>0.3051192355</v>
      </c>
      <c r="AH38" s="35">
        <f t="shared" si="77"/>
        <v>0.3204985902</v>
      </c>
      <c r="AI38" s="35">
        <f t="shared" si="77"/>
        <v>0.3355872827</v>
      </c>
      <c r="AJ38" s="35">
        <f t="shared" si="77"/>
        <v>0.3504026144</v>
      </c>
      <c r="AK38" s="45"/>
      <c r="AL38" s="44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</row>
    <row r="39">
      <c r="A39" s="33"/>
      <c r="B39" s="33"/>
      <c r="C39" s="33"/>
      <c r="D39" s="33" t="s">
        <v>85</v>
      </c>
      <c r="E39" s="33" t="s">
        <v>22</v>
      </c>
      <c r="F39" s="33" t="s">
        <v>85</v>
      </c>
      <c r="G39" s="33"/>
      <c r="H39" s="33"/>
      <c r="I39" s="34">
        <f t="shared" ref="I39:N39" si="78">I40</f>
        <v>-8337</v>
      </c>
      <c r="J39" s="34">
        <f t="shared" si="78"/>
        <v>-7888</v>
      </c>
      <c r="K39" s="34">
        <f t="shared" si="78"/>
        <v>-7768</v>
      </c>
      <c r="L39" s="34">
        <f t="shared" si="78"/>
        <v>-8070</v>
      </c>
      <c r="M39" s="34">
        <f t="shared" si="78"/>
        <v>-6831</v>
      </c>
      <c r="N39" s="34">
        <f t="shared" si="78"/>
        <v>21156</v>
      </c>
      <c r="O39" s="34">
        <f t="shared" ref="O39:O41" si="79">SUM(I39:N39)</f>
        <v>-17738</v>
      </c>
      <c r="P39" s="35">
        <f>O39/O$3</f>
        <v>-0.001743524396</v>
      </c>
      <c r="Q39" s="36">
        <v>0.0</v>
      </c>
      <c r="R39" s="36">
        <v>0.0</v>
      </c>
      <c r="S39" s="36">
        <v>0.0</v>
      </c>
      <c r="T39" s="36">
        <v>0.0</v>
      </c>
      <c r="U39" s="36">
        <v>0.0</v>
      </c>
      <c r="V39" s="36">
        <v>0.0</v>
      </c>
      <c r="W39" s="34">
        <f t="shared" ref="W39:W41" si="80">SUM(Q39:V39)+O39</f>
        <v>-17738</v>
      </c>
      <c r="X39" s="35">
        <f>W39/W$3</f>
        <v>-0.0007264372117</v>
      </c>
      <c r="Y39" s="36">
        <v>0.0</v>
      </c>
      <c r="Z39" s="36">
        <v>0.0</v>
      </c>
      <c r="AA39" s="36">
        <v>0.0</v>
      </c>
      <c r="AB39" s="36">
        <v>0.0</v>
      </c>
      <c r="AC39" s="36">
        <v>0.0</v>
      </c>
      <c r="AD39" s="36">
        <v>0.0</v>
      </c>
      <c r="AE39" s="36">
        <v>0.0</v>
      </c>
      <c r="AF39" s="36">
        <v>0.0</v>
      </c>
      <c r="AG39" s="36">
        <v>0.0</v>
      </c>
      <c r="AH39" s="36">
        <v>0.0</v>
      </c>
      <c r="AI39" s="36">
        <v>0.0</v>
      </c>
      <c r="AJ39" s="36">
        <v>0.0</v>
      </c>
      <c r="AK39" s="34">
        <f t="shared" ref="AK39:AK41" si="81">SUM(Y39:AJ39)</f>
        <v>0</v>
      </c>
      <c r="AL39" s="35">
        <f>AK39/AK$3</f>
        <v>0</v>
      </c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>
      <c r="A40" s="33"/>
      <c r="B40" s="33"/>
      <c r="C40" s="33"/>
      <c r="D40" s="33"/>
      <c r="E40" s="33"/>
      <c r="F40" s="33" t="s">
        <v>85</v>
      </c>
      <c r="G40" s="33" t="s">
        <v>86</v>
      </c>
      <c r="H40" s="33"/>
      <c r="I40" s="34">
        <v>-8337.0</v>
      </c>
      <c r="J40" s="34">
        <v>-7888.0</v>
      </c>
      <c r="K40" s="34">
        <v>-7768.0</v>
      </c>
      <c r="L40" s="34">
        <v>-8070.0</v>
      </c>
      <c r="M40" s="34">
        <v>-6831.0</v>
      </c>
      <c r="N40" s="34">
        <v>21156.0</v>
      </c>
      <c r="O40" s="34">
        <f t="shared" si="79"/>
        <v>-17738</v>
      </c>
      <c r="P40" s="33"/>
      <c r="Q40" s="36">
        <v>0.0</v>
      </c>
      <c r="R40" s="36">
        <v>0.0</v>
      </c>
      <c r="S40" s="36">
        <v>0.0</v>
      </c>
      <c r="T40" s="36">
        <v>0.0</v>
      </c>
      <c r="U40" s="36">
        <v>0.0</v>
      </c>
      <c r="V40" s="36">
        <v>0.0</v>
      </c>
      <c r="W40" s="34">
        <f t="shared" si="80"/>
        <v>-17738</v>
      </c>
      <c r="X40" s="33"/>
      <c r="Y40" s="36">
        <v>0.0</v>
      </c>
      <c r="Z40" s="36">
        <v>0.0</v>
      </c>
      <c r="AA40" s="36">
        <v>0.0</v>
      </c>
      <c r="AB40" s="36">
        <v>0.0</v>
      </c>
      <c r="AC40" s="36">
        <v>0.0</v>
      </c>
      <c r="AD40" s="36">
        <v>0.0</v>
      </c>
      <c r="AE40" s="36">
        <v>0.0</v>
      </c>
      <c r="AF40" s="36">
        <v>0.0</v>
      </c>
      <c r="AG40" s="36">
        <v>0.0</v>
      </c>
      <c r="AH40" s="36">
        <v>0.0</v>
      </c>
      <c r="AI40" s="36">
        <v>0.0</v>
      </c>
      <c r="AJ40" s="36">
        <v>0.0</v>
      </c>
      <c r="AK40" s="34">
        <f t="shared" si="81"/>
        <v>0</v>
      </c>
      <c r="AL40" s="33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</row>
    <row r="41">
      <c r="A41" s="44"/>
      <c r="B41" s="44"/>
      <c r="C41" s="44"/>
      <c r="D41" s="44" t="s">
        <v>87</v>
      </c>
      <c r="E41" s="44" t="s">
        <v>22</v>
      </c>
      <c r="F41" s="44" t="s">
        <v>88</v>
      </c>
      <c r="G41" s="44"/>
      <c r="H41" s="44"/>
      <c r="I41" s="34">
        <v>-2476612.0</v>
      </c>
      <c r="J41" s="34">
        <v>-1594580.0</v>
      </c>
      <c r="K41" s="34">
        <v>-2713331.0</v>
      </c>
      <c r="L41" s="34">
        <v>-2542280.0</v>
      </c>
      <c r="M41" s="34">
        <v>-2472931.0</v>
      </c>
      <c r="N41" s="34">
        <v>-1639527.0</v>
      </c>
      <c r="O41" s="34">
        <f t="shared" si="79"/>
        <v>-13439261</v>
      </c>
      <c r="P41" s="35">
        <f>O41/O$3</f>
        <v>-1.320987677</v>
      </c>
      <c r="Q41" s="34">
        <f t="shared" ref="Q41:V41" si="82">Q37+Q39</f>
        <v>-3668887</v>
      </c>
      <c r="R41" s="34">
        <f t="shared" si="82"/>
        <v>-3381828</v>
      </c>
      <c r="S41" s="34">
        <f t="shared" si="82"/>
        <v>-3091550</v>
      </c>
      <c r="T41" s="34">
        <f t="shared" si="82"/>
        <v>-2812759</v>
      </c>
      <c r="U41" s="34">
        <f t="shared" si="82"/>
        <v>-2574314</v>
      </c>
      <c r="V41" s="34">
        <f t="shared" si="82"/>
        <v>-2469408</v>
      </c>
      <c r="W41" s="34">
        <f t="shared" si="80"/>
        <v>-31438007</v>
      </c>
      <c r="X41" s="35">
        <f>W41/W$3</f>
        <v>-1.28750356</v>
      </c>
      <c r="Y41" s="34">
        <f t="shared" ref="Y41:AJ41" si="83">Y37+Y39</f>
        <v>491020.5</v>
      </c>
      <c r="Z41" s="34">
        <f t="shared" si="83"/>
        <v>583206.4</v>
      </c>
      <c r="AA41" s="34">
        <f t="shared" si="83"/>
        <v>677204.5</v>
      </c>
      <c r="AB41" s="34">
        <f t="shared" si="83"/>
        <v>767816.2</v>
      </c>
      <c r="AC41" s="34">
        <f t="shared" si="83"/>
        <v>860100.7</v>
      </c>
      <c r="AD41" s="34">
        <f t="shared" si="83"/>
        <v>954058</v>
      </c>
      <c r="AE41" s="34">
        <f t="shared" si="83"/>
        <v>1044280.4</v>
      </c>
      <c r="AF41" s="34">
        <f t="shared" si="83"/>
        <v>1136036.2</v>
      </c>
      <c r="AG41" s="34">
        <f t="shared" si="83"/>
        <v>1229325.4</v>
      </c>
      <c r="AH41" s="34">
        <f t="shared" si="83"/>
        <v>1318531.2</v>
      </c>
      <c r="AI41" s="34">
        <f t="shared" si="83"/>
        <v>1409131</v>
      </c>
      <c r="AJ41" s="34">
        <f t="shared" si="83"/>
        <v>1501124.8</v>
      </c>
      <c r="AK41" s="34">
        <f t="shared" si="81"/>
        <v>11971835.3</v>
      </c>
      <c r="AL41" s="35">
        <f>AK41/AK$3</f>
        <v>0.2640515958</v>
      </c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44"/>
      <c r="AZ41" s="44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44"/>
      <c r="BN41" s="44"/>
    </row>
    <row r="42">
      <c r="A42" s="33"/>
      <c r="B42" s="33"/>
      <c r="C42" s="33"/>
      <c r="D42" s="33" t="s">
        <v>89</v>
      </c>
      <c r="E42" s="33" t="s">
        <v>22</v>
      </c>
      <c r="F42" s="33" t="s">
        <v>90</v>
      </c>
      <c r="G42" s="33"/>
      <c r="H42" s="33"/>
      <c r="I42" s="35">
        <f t="shared" ref="I42:N42" si="84">I41/I3</f>
        <v>-1.481452326</v>
      </c>
      <c r="J42" s="35">
        <f t="shared" si="84"/>
        <v>-0.9250827863</v>
      </c>
      <c r="K42" s="35">
        <f t="shared" si="84"/>
        <v>-1.636793748</v>
      </c>
      <c r="L42" s="35">
        <f t="shared" si="84"/>
        <v>-1.53699568</v>
      </c>
      <c r="M42" s="35">
        <f t="shared" si="84"/>
        <v>-1.423462985</v>
      </c>
      <c r="N42" s="35">
        <f t="shared" si="84"/>
        <v>-0.9481687834</v>
      </c>
      <c r="O42" s="33"/>
      <c r="P42" s="33"/>
      <c r="Q42" s="35">
        <f t="shared" ref="Q42:V42" si="85">Q41/Q3</f>
        <v>-1.971300018</v>
      </c>
      <c r="R42" s="35">
        <f t="shared" si="85"/>
        <v>-1.651604976</v>
      </c>
      <c r="S42" s="35">
        <f t="shared" si="85"/>
        <v>-1.375703026</v>
      </c>
      <c r="T42" s="35">
        <f t="shared" si="85"/>
        <v>-1.146426678</v>
      </c>
      <c r="U42" s="35">
        <f t="shared" si="85"/>
        <v>-0.9566025207</v>
      </c>
      <c r="V42" s="35">
        <f t="shared" si="85"/>
        <v>-0.8389214252</v>
      </c>
      <c r="W42" s="33"/>
      <c r="X42" s="33"/>
      <c r="Y42" s="35">
        <f t="shared" ref="Y42:AJ42" si="86">Y41/Y3</f>
        <v>0.1524198355</v>
      </c>
      <c r="Z42" s="35">
        <f t="shared" si="86"/>
        <v>0.1750319328</v>
      </c>
      <c r="AA42" s="35">
        <f t="shared" si="86"/>
        <v>0.196718809</v>
      </c>
      <c r="AB42" s="35">
        <f t="shared" si="86"/>
        <v>0.2166218649</v>
      </c>
      <c r="AC42" s="35">
        <f t="shared" si="86"/>
        <v>0.2358702043</v>
      </c>
      <c r="AD42" s="35">
        <f t="shared" si="86"/>
        <v>0.2545172736</v>
      </c>
      <c r="AE42" s="35">
        <f t="shared" si="86"/>
        <v>0.271806455</v>
      </c>
      <c r="AF42" s="35">
        <f t="shared" si="86"/>
        <v>0.288663753</v>
      </c>
      <c r="AG42" s="35">
        <f t="shared" si="86"/>
        <v>0.3051192355</v>
      </c>
      <c r="AH42" s="35">
        <f t="shared" si="86"/>
        <v>0.3204985902</v>
      </c>
      <c r="AI42" s="35">
        <f t="shared" si="86"/>
        <v>0.3355872827</v>
      </c>
      <c r="AJ42" s="35">
        <f t="shared" si="86"/>
        <v>0.3504026144</v>
      </c>
      <c r="AK42" s="45"/>
      <c r="AL42" s="33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3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3"/>
    </row>
    <row r="44">
      <c r="A44" s="46"/>
      <c r="B44" s="46"/>
      <c r="C44" s="46"/>
      <c r="D44" s="46" t="s">
        <v>91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</row>
    <row r="45">
      <c r="A45" s="44"/>
      <c r="B45" s="44"/>
      <c r="C45" s="44"/>
      <c r="D45" s="44" t="s">
        <v>92</v>
      </c>
      <c r="E45" s="44" t="s">
        <v>93</v>
      </c>
      <c r="F45" s="44" t="s">
        <v>92</v>
      </c>
      <c r="G45" s="44"/>
      <c r="H45" s="44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3"/>
      <c r="AZ45" s="33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3"/>
      <c r="BN45" s="33"/>
    </row>
    <row r="46">
      <c r="A46" s="33"/>
      <c r="B46" s="33"/>
      <c r="C46" s="33"/>
      <c r="D46" s="33" t="s">
        <v>94</v>
      </c>
      <c r="E46" s="33" t="s">
        <v>93</v>
      </c>
      <c r="F46" s="33" t="s">
        <v>94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</row>
    <row r="47">
      <c r="A47" s="33"/>
      <c r="B47" s="33"/>
      <c r="C47" s="33"/>
      <c r="D47" s="33" t="s">
        <v>95</v>
      </c>
      <c r="E47" s="33" t="s">
        <v>93</v>
      </c>
      <c r="F47" s="33" t="s">
        <v>95</v>
      </c>
      <c r="G47" s="37" t="s">
        <v>96</v>
      </c>
      <c r="H47" s="33"/>
      <c r="I47" s="36">
        <f t="shared" ref="I47:N47" si="87">I48</f>
        <v>976</v>
      </c>
      <c r="J47" s="36">
        <f t="shared" si="87"/>
        <v>988</v>
      </c>
      <c r="K47" s="36">
        <f t="shared" si="87"/>
        <v>988</v>
      </c>
      <c r="L47" s="36">
        <f t="shared" si="87"/>
        <v>1005</v>
      </c>
      <c r="M47" s="36">
        <f t="shared" si="87"/>
        <v>1042</v>
      </c>
      <c r="N47" s="36">
        <f t="shared" si="87"/>
        <v>1094</v>
      </c>
      <c r="O47" s="33"/>
      <c r="P47" s="33"/>
      <c r="Q47" s="36">
        <f t="shared" ref="Q47:V47" si="88">Q48</f>
        <v>1174</v>
      </c>
      <c r="R47" s="36">
        <f t="shared" si="88"/>
        <v>1287</v>
      </c>
      <c r="S47" s="36">
        <f t="shared" si="88"/>
        <v>1408</v>
      </c>
      <c r="T47" s="36">
        <f t="shared" si="88"/>
        <v>1533</v>
      </c>
      <c r="U47" s="36">
        <f t="shared" si="88"/>
        <v>1677</v>
      </c>
      <c r="V47" s="36">
        <f t="shared" si="88"/>
        <v>1830</v>
      </c>
      <c r="W47" s="33"/>
      <c r="X47" s="33"/>
      <c r="Y47" s="36">
        <f t="shared" ref="Y47:AJ47" si="89">Y48</f>
        <v>1895</v>
      </c>
      <c r="Z47" s="36">
        <f t="shared" si="89"/>
        <v>1960</v>
      </c>
      <c r="AA47" s="36">
        <f t="shared" si="89"/>
        <v>2025</v>
      </c>
      <c r="AB47" s="36">
        <f t="shared" si="89"/>
        <v>2085</v>
      </c>
      <c r="AC47" s="36">
        <f t="shared" si="89"/>
        <v>2145</v>
      </c>
      <c r="AD47" s="36">
        <f t="shared" si="89"/>
        <v>2205</v>
      </c>
      <c r="AE47" s="36">
        <f t="shared" si="89"/>
        <v>2260</v>
      </c>
      <c r="AF47" s="36">
        <f t="shared" si="89"/>
        <v>2315</v>
      </c>
      <c r="AG47" s="36">
        <f t="shared" si="89"/>
        <v>2370</v>
      </c>
      <c r="AH47" s="36">
        <f t="shared" si="89"/>
        <v>2420</v>
      </c>
      <c r="AI47" s="36">
        <f t="shared" si="89"/>
        <v>2470</v>
      </c>
      <c r="AJ47" s="36">
        <f t="shared" si="89"/>
        <v>2520</v>
      </c>
      <c r="AK47" s="33"/>
      <c r="AL47" s="33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3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3"/>
    </row>
    <row r="48">
      <c r="A48" s="33"/>
      <c r="B48" s="33"/>
      <c r="C48" s="33"/>
      <c r="D48" s="33"/>
      <c r="E48" s="33" t="s">
        <v>97</v>
      </c>
      <c r="F48" s="33" t="s">
        <v>98</v>
      </c>
      <c r="G48" s="38"/>
      <c r="H48" s="33"/>
      <c r="I48" s="36">
        <v>976.0</v>
      </c>
      <c r="J48" s="36">
        <f t="shared" ref="J48:N48" si="90">sum(J50:J52)</f>
        <v>988</v>
      </c>
      <c r="K48" s="36">
        <f t="shared" si="90"/>
        <v>988</v>
      </c>
      <c r="L48" s="36">
        <f t="shared" si="90"/>
        <v>1005</v>
      </c>
      <c r="M48" s="36">
        <f t="shared" si="90"/>
        <v>1042</v>
      </c>
      <c r="N48" s="36">
        <f t="shared" si="90"/>
        <v>1094</v>
      </c>
      <c r="O48" s="33"/>
      <c r="P48" s="33"/>
      <c r="Q48" s="36">
        <f t="shared" ref="Q48:V48" si="91">sum(Q50:Q52)</f>
        <v>1174</v>
      </c>
      <c r="R48" s="36">
        <f t="shared" si="91"/>
        <v>1287</v>
      </c>
      <c r="S48" s="36">
        <f t="shared" si="91"/>
        <v>1408</v>
      </c>
      <c r="T48" s="36">
        <f t="shared" si="91"/>
        <v>1533</v>
      </c>
      <c r="U48" s="36">
        <f t="shared" si="91"/>
        <v>1677</v>
      </c>
      <c r="V48" s="36">
        <f t="shared" si="91"/>
        <v>1830</v>
      </c>
      <c r="W48" s="33"/>
      <c r="X48" s="33"/>
      <c r="Y48" s="36">
        <f t="shared" ref="Y48:AJ48" si="92">sum(Y50:Y52)</f>
        <v>1895</v>
      </c>
      <c r="Z48" s="36">
        <f t="shared" si="92"/>
        <v>1960</v>
      </c>
      <c r="AA48" s="36">
        <f t="shared" si="92"/>
        <v>2025</v>
      </c>
      <c r="AB48" s="36">
        <f t="shared" si="92"/>
        <v>2085</v>
      </c>
      <c r="AC48" s="36">
        <f t="shared" si="92"/>
        <v>2145</v>
      </c>
      <c r="AD48" s="36">
        <f t="shared" si="92"/>
        <v>2205</v>
      </c>
      <c r="AE48" s="36">
        <f t="shared" si="92"/>
        <v>2260</v>
      </c>
      <c r="AF48" s="36">
        <f t="shared" si="92"/>
        <v>2315</v>
      </c>
      <c r="AG48" s="36">
        <f t="shared" si="92"/>
        <v>2370</v>
      </c>
      <c r="AH48" s="36">
        <f t="shared" si="92"/>
        <v>2420</v>
      </c>
      <c r="AI48" s="36">
        <f t="shared" si="92"/>
        <v>2470</v>
      </c>
      <c r="AJ48" s="36">
        <f t="shared" si="92"/>
        <v>2520</v>
      </c>
      <c r="AK48" s="33"/>
      <c r="AL48" s="33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</row>
    <row r="49">
      <c r="A49" s="44"/>
      <c r="B49" s="44"/>
      <c r="C49" s="44"/>
      <c r="D49" s="44"/>
      <c r="E49" s="44"/>
      <c r="F49" s="37" t="s">
        <v>98</v>
      </c>
      <c r="G49" s="37" t="s">
        <v>99</v>
      </c>
      <c r="H49" s="44"/>
      <c r="I49" s="35"/>
      <c r="J49" s="35"/>
      <c r="K49" s="35"/>
      <c r="L49" s="35"/>
      <c r="M49" s="35"/>
      <c r="N49" s="35"/>
      <c r="O49" s="44"/>
      <c r="P49" s="44"/>
      <c r="Q49" s="35"/>
      <c r="R49" s="35"/>
      <c r="S49" s="35"/>
      <c r="T49" s="35"/>
      <c r="U49" s="35"/>
      <c r="V49" s="35"/>
      <c r="W49" s="44"/>
      <c r="X49" s="44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44"/>
      <c r="AL49" s="44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44"/>
      <c r="AZ49" s="44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44"/>
      <c r="BN49" s="44"/>
    </row>
    <row r="50">
      <c r="A50" s="44"/>
      <c r="B50" s="44"/>
      <c r="C50" s="44"/>
      <c r="D50" s="44"/>
      <c r="E50" s="44"/>
      <c r="F50" s="44" t="s">
        <v>100</v>
      </c>
      <c r="G50" s="37" t="s">
        <v>101</v>
      </c>
      <c r="H50" s="44"/>
      <c r="I50" s="36">
        <v>988.0</v>
      </c>
      <c r="J50" s="36">
        <f t="shared" ref="J50:N50" si="93">I48</f>
        <v>976</v>
      </c>
      <c r="K50" s="36">
        <f t="shared" si="93"/>
        <v>988</v>
      </c>
      <c r="L50" s="36">
        <f t="shared" si="93"/>
        <v>988</v>
      </c>
      <c r="M50" s="36">
        <f t="shared" si="93"/>
        <v>1005</v>
      </c>
      <c r="N50" s="36">
        <f t="shared" si="93"/>
        <v>1042</v>
      </c>
      <c r="O50" s="33"/>
      <c r="P50" s="33"/>
      <c r="Q50" s="36">
        <f>N48</f>
        <v>1094</v>
      </c>
      <c r="R50" s="36">
        <f t="shared" ref="R50:V50" si="94">Q48</f>
        <v>1174</v>
      </c>
      <c r="S50" s="36">
        <f t="shared" si="94"/>
        <v>1287</v>
      </c>
      <c r="T50" s="36">
        <f t="shared" si="94"/>
        <v>1408</v>
      </c>
      <c r="U50" s="36">
        <f t="shared" si="94"/>
        <v>1533</v>
      </c>
      <c r="V50" s="36">
        <f t="shared" si="94"/>
        <v>1677</v>
      </c>
      <c r="W50" s="33"/>
      <c r="X50" s="33"/>
      <c r="Y50" s="36">
        <f>V48</f>
        <v>1830</v>
      </c>
      <c r="Z50" s="36">
        <f t="shared" ref="Z50:AJ50" si="95">Y48</f>
        <v>1895</v>
      </c>
      <c r="AA50" s="36">
        <f t="shared" si="95"/>
        <v>1960</v>
      </c>
      <c r="AB50" s="36">
        <f t="shared" si="95"/>
        <v>2025</v>
      </c>
      <c r="AC50" s="36">
        <f t="shared" si="95"/>
        <v>2085</v>
      </c>
      <c r="AD50" s="36">
        <f t="shared" si="95"/>
        <v>2145</v>
      </c>
      <c r="AE50" s="36">
        <f t="shared" si="95"/>
        <v>2205</v>
      </c>
      <c r="AF50" s="36">
        <f t="shared" si="95"/>
        <v>2260</v>
      </c>
      <c r="AG50" s="36">
        <f t="shared" si="95"/>
        <v>2315</v>
      </c>
      <c r="AH50" s="36">
        <f t="shared" si="95"/>
        <v>2370</v>
      </c>
      <c r="AI50" s="36">
        <f t="shared" si="95"/>
        <v>2420</v>
      </c>
      <c r="AJ50" s="36">
        <f t="shared" si="95"/>
        <v>2470</v>
      </c>
      <c r="AK50" s="33"/>
      <c r="AL50" s="33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44"/>
      <c r="AZ50" s="44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44"/>
      <c r="BN50" s="44"/>
    </row>
    <row r="51">
      <c r="A51" s="38"/>
      <c r="B51" s="38"/>
      <c r="C51" s="38"/>
      <c r="D51" s="38"/>
      <c r="E51" s="38"/>
      <c r="F51" s="38" t="s">
        <v>102</v>
      </c>
      <c r="G51" s="37" t="s">
        <v>103</v>
      </c>
      <c r="H51" s="38"/>
      <c r="I51" s="49">
        <v>16.0</v>
      </c>
      <c r="J51" s="49">
        <v>23.0</v>
      </c>
      <c r="K51" s="49">
        <v>38.0</v>
      </c>
      <c r="L51" s="49">
        <v>37.0</v>
      </c>
      <c r="M51" s="49">
        <v>56.0</v>
      </c>
      <c r="N51" s="49">
        <v>72.0</v>
      </c>
      <c r="O51" s="38"/>
      <c r="P51" s="38"/>
      <c r="Q51" s="50">
        <v>100.0</v>
      </c>
      <c r="R51" s="50">
        <v>133.0</v>
      </c>
      <c r="S51" s="50">
        <v>146.0</v>
      </c>
      <c r="T51" s="50">
        <v>150.0</v>
      </c>
      <c r="U51" s="50">
        <v>174.0</v>
      </c>
      <c r="V51" s="50">
        <v>183.0</v>
      </c>
      <c r="W51" s="38"/>
      <c r="X51" s="38"/>
      <c r="Y51" s="50">
        <v>100.0</v>
      </c>
      <c r="Z51" s="50">
        <v>100.0</v>
      </c>
      <c r="AA51" s="50">
        <v>100.0</v>
      </c>
      <c r="AB51" s="50">
        <v>100.0</v>
      </c>
      <c r="AC51" s="50">
        <v>100.0</v>
      </c>
      <c r="AD51" s="50">
        <v>100.0</v>
      </c>
      <c r="AE51" s="50">
        <v>100.0</v>
      </c>
      <c r="AF51" s="50">
        <v>100.0</v>
      </c>
      <c r="AG51" s="50">
        <v>100.0</v>
      </c>
      <c r="AH51" s="50">
        <v>100.0</v>
      </c>
      <c r="AI51" s="50">
        <v>100.0</v>
      </c>
      <c r="AJ51" s="50">
        <v>100.0</v>
      </c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</row>
    <row r="52">
      <c r="A52" s="51"/>
      <c r="B52" s="51"/>
      <c r="C52" s="51"/>
      <c r="D52" s="51"/>
      <c r="E52" s="38"/>
      <c r="F52" s="38" t="s">
        <v>104</v>
      </c>
      <c r="G52" s="37" t="s">
        <v>105</v>
      </c>
      <c r="H52" s="38"/>
      <c r="I52" s="52">
        <v>-28.0</v>
      </c>
      <c r="J52" s="52">
        <v>-11.0</v>
      </c>
      <c r="K52" s="52">
        <v>-38.0</v>
      </c>
      <c r="L52" s="52">
        <v>-20.0</v>
      </c>
      <c r="M52" s="52">
        <v>-19.0</v>
      </c>
      <c r="N52" s="52">
        <v>-20.0</v>
      </c>
      <c r="O52" s="38"/>
      <c r="P52" s="38"/>
      <c r="Q52" s="50">
        <v>-20.0</v>
      </c>
      <c r="R52" s="50">
        <v>-20.0</v>
      </c>
      <c r="S52" s="50">
        <v>-25.0</v>
      </c>
      <c r="T52" s="50">
        <v>-25.0</v>
      </c>
      <c r="U52" s="50">
        <v>-30.0</v>
      </c>
      <c r="V52" s="50">
        <v>-30.0</v>
      </c>
      <c r="W52" s="38"/>
      <c r="X52" s="38"/>
      <c r="Y52" s="50">
        <v>-35.0</v>
      </c>
      <c r="Z52" s="50">
        <v>-35.0</v>
      </c>
      <c r="AA52" s="50">
        <v>-35.0</v>
      </c>
      <c r="AB52" s="50">
        <v>-40.0</v>
      </c>
      <c r="AC52" s="50">
        <v>-40.0</v>
      </c>
      <c r="AD52" s="50">
        <v>-40.0</v>
      </c>
      <c r="AE52" s="50">
        <v>-45.0</v>
      </c>
      <c r="AF52" s="50">
        <v>-45.0</v>
      </c>
      <c r="AG52" s="50">
        <v>-45.0</v>
      </c>
      <c r="AH52" s="50">
        <v>-50.0</v>
      </c>
      <c r="AI52" s="50">
        <v>-50.0</v>
      </c>
      <c r="AJ52" s="50">
        <v>-50.0</v>
      </c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</row>
    <row r="53">
      <c r="A53" s="38"/>
      <c r="B53" s="38"/>
      <c r="C53" s="38"/>
      <c r="D53" s="38"/>
      <c r="E53" s="38"/>
      <c r="F53" s="38" t="s">
        <v>106</v>
      </c>
      <c r="G53" s="37" t="s">
        <v>107</v>
      </c>
      <c r="H53" s="53" t="s">
        <v>108</v>
      </c>
      <c r="I53" s="35">
        <v>-0.029</v>
      </c>
      <c r="J53" s="35">
        <f t="shared" ref="J53:N53" si="96">J52/J50</f>
        <v>-0.0112704918</v>
      </c>
      <c r="K53" s="35">
        <f t="shared" si="96"/>
        <v>-0.03846153846</v>
      </c>
      <c r="L53" s="35">
        <f t="shared" si="96"/>
        <v>-0.02024291498</v>
      </c>
      <c r="M53" s="35">
        <f t="shared" si="96"/>
        <v>-0.01890547264</v>
      </c>
      <c r="N53" s="35">
        <f t="shared" si="96"/>
        <v>-0.01919385797</v>
      </c>
      <c r="O53" s="38"/>
      <c r="P53" s="38"/>
      <c r="Q53" s="35">
        <f t="shared" ref="Q53:V53" si="97">Q52/Q50</f>
        <v>-0.01828153565</v>
      </c>
      <c r="R53" s="35">
        <f t="shared" si="97"/>
        <v>-0.01703577513</v>
      </c>
      <c r="S53" s="35">
        <f t="shared" si="97"/>
        <v>-0.01942501943</v>
      </c>
      <c r="T53" s="35">
        <f t="shared" si="97"/>
        <v>-0.01775568182</v>
      </c>
      <c r="U53" s="35">
        <f t="shared" si="97"/>
        <v>-0.01956947162</v>
      </c>
      <c r="V53" s="35">
        <f t="shared" si="97"/>
        <v>-0.01788908766</v>
      </c>
      <c r="W53" s="38"/>
      <c r="X53" s="38"/>
      <c r="Y53" s="35">
        <f t="shared" ref="Y53:AJ53" si="98">Y52/Y50</f>
        <v>-0.01912568306</v>
      </c>
      <c r="Z53" s="35">
        <f t="shared" si="98"/>
        <v>-0.01846965699</v>
      </c>
      <c r="AA53" s="35">
        <f t="shared" si="98"/>
        <v>-0.01785714286</v>
      </c>
      <c r="AB53" s="35">
        <f t="shared" si="98"/>
        <v>-0.01975308642</v>
      </c>
      <c r="AC53" s="35">
        <f t="shared" si="98"/>
        <v>-0.01918465228</v>
      </c>
      <c r="AD53" s="35">
        <f t="shared" si="98"/>
        <v>-0.01864801865</v>
      </c>
      <c r="AE53" s="35">
        <f t="shared" si="98"/>
        <v>-0.02040816327</v>
      </c>
      <c r="AF53" s="35">
        <f t="shared" si="98"/>
        <v>-0.01991150442</v>
      </c>
      <c r="AG53" s="35">
        <f t="shared" si="98"/>
        <v>-0.01943844492</v>
      </c>
      <c r="AH53" s="35">
        <f t="shared" si="98"/>
        <v>-0.02109704641</v>
      </c>
      <c r="AI53" s="35">
        <f t="shared" si="98"/>
        <v>-0.02066115702</v>
      </c>
      <c r="AJ53" s="35">
        <f t="shared" si="98"/>
        <v>-0.02024291498</v>
      </c>
      <c r="AK53" s="38"/>
      <c r="AL53" s="38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38"/>
      <c r="AZ53" s="38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38"/>
      <c r="BN53" s="38"/>
    </row>
    <row r="54">
      <c r="A54" s="38"/>
      <c r="B54" s="38"/>
      <c r="C54" s="38"/>
      <c r="D54" s="38"/>
      <c r="E54" s="38"/>
      <c r="F54" s="38"/>
      <c r="G54" s="37"/>
      <c r="H54" s="38"/>
      <c r="I54" s="35"/>
      <c r="J54" s="35"/>
      <c r="K54" s="35"/>
      <c r="L54" s="35"/>
      <c r="M54" s="35"/>
      <c r="N54" s="35"/>
      <c r="O54" s="38"/>
      <c r="P54" s="38"/>
      <c r="Q54" s="35"/>
      <c r="R54" s="35"/>
      <c r="S54" s="35"/>
      <c r="T54" s="35"/>
      <c r="U54" s="35"/>
      <c r="V54" s="35"/>
      <c r="W54" s="38"/>
      <c r="X54" s="3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8"/>
      <c r="AL54" s="38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38"/>
      <c r="AZ54" s="38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38"/>
      <c r="BN54" s="38"/>
    </row>
    <row r="55">
      <c r="A55" s="38"/>
      <c r="B55" s="38"/>
      <c r="C55" s="38"/>
      <c r="D55" s="38"/>
      <c r="E55" s="38"/>
      <c r="F55" s="33" t="s">
        <v>98</v>
      </c>
      <c r="G55" s="37" t="s">
        <v>109</v>
      </c>
      <c r="H55" s="38"/>
      <c r="I55" s="35"/>
      <c r="J55" s="35"/>
      <c r="K55" s="35"/>
      <c r="L55" s="35"/>
      <c r="M55" s="35"/>
      <c r="N55" s="35"/>
      <c r="O55" s="38"/>
      <c r="P55" s="38"/>
      <c r="Q55" s="35"/>
      <c r="R55" s="35"/>
      <c r="S55" s="35"/>
      <c r="T55" s="35"/>
      <c r="U55" s="35"/>
      <c r="V55" s="35"/>
      <c r="W55" s="38"/>
      <c r="X55" s="38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8"/>
      <c r="AL55" s="38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38"/>
      <c r="AZ55" s="38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38"/>
      <c r="BN55" s="38"/>
    </row>
    <row r="56">
      <c r="A56" s="38"/>
      <c r="B56" s="38"/>
      <c r="C56" s="38"/>
      <c r="D56" s="38"/>
      <c r="E56" s="38"/>
      <c r="F56" s="44" t="s">
        <v>100</v>
      </c>
      <c r="G56" s="37" t="s">
        <v>110</v>
      </c>
      <c r="H56" s="38"/>
      <c r="I56" s="35"/>
      <c r="J56" s="35"/>
      <c r="K56" s="35"/>
      <c r="L56" s="35"/>
      <c r="M56" s="35"/>
      <c r="N56" s="35"/>
      <c r="O56" s="38"/>
      <c r="P56" s="38"/>
      <c r="Q56" s="35"/>
      <c r="R56" s="35"/>
      <c r="S56" s="35"/>
      <c r="T56" s="35"/>
      <c r="U56" s="35"/>
      <c r="V56" s="35"/>
      <c r="W56" s="38"/>
      <c r="X56" s="38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8"/>
      <c r="AL56" s="38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38"/>
      <c r="AZ56" s="38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38"/>
      <c r="BN56" s="38"/>
    </row>
    <row r="57">
      <c r="A57" s="38"/>
      <c r="B57" s="38"/>
      <c r="C57" s="38"/>
      <c r="D57" s="38"/>
      <c r="E57" s="38"/>
      <c r="F57" s="38" t="s">
        <v>102</v>
      </c>
      <c r="G57" s="37" t="s">
        <v>111</v>
      </c>
      <c r="H57" s="38"/>
      <c r="I57" s="35"/>
      <c r="J57" s="35"/>
      <c r="K57" s="35"/>
      <c r="L57" s="35"/>
      <c r="M57" s="35"/>
      <c r="N57" s="35"/>
      <c r="O57" s="38"/>
      <c r="P57" s="38"/>
      <c r="Q57" s="35"/>
      <c r="R57" s="35"/>
      <c r="S57" s="35"/>
      <c r="T57" s="35"/>
      <c r="U57" s="35"/>
      <c r="V57" s="35"/>
      <c r="W57" s="38"/>
      <c r="X57" s="3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8"/>
      <c r="AL57" s="38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38"/>
      <c r="AZ57" s="38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38"/>
      <c r="BN57" s="38"/>
    </row>
    <row r="58">
      <c r="A58" s="38"/>
      <c r="B58" s="38"/>
      <c r="C58" s="38"/>
      <c r="D58" s="38"/>
      <c r="E58" s="38"/>
      <c r="F58" s="38" t="s">
        <v>104</v>
      </c>
      <c r="G58" s="37" t="s">
        <v>112</v>
      </c>
      <c r="H58" s="38"/>
      <c r="I58" s="35"/>
      <c r="J58" s="35"/>
      <c r="K58" s="35"/>
      <c r="L58" s="35"/>
      <c r="M58" s="35"/>
      <c r="N58" s="35"/>
      <c r="O58" s="38"/>
      <c r="P58" s="38"/>
      <c r="Q58" s="35"/>
      <c r="R58" s="35"/>
      <c r="S58" s="35"/>
      <c r="T58" s="35"/>
      <c r="U58" s="35"/>
      <c r="V58" s="35"/>
      <c r="W58" s="38"/>
      <c r="X58" s="38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8"/>
      <c r="AL58" s="38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38"/>
      <c r="AZ58" s="38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38"/>
      <c r="BN58" s="38"/>
    </row>
    <row r="59">
      <c r="A59" s="38"/>
      <c r="B59" s="38"/>
      <c r="C59" s="38"/>
      <c r="D59" s="38"/>
      <c r="E59" s="38"/>
      <c r="F59" s="38" t="s">
        <v>106</v>
      </c>
      <c r="G59" s="37" t="s">
        <v>113</v>
      </c>
      <c r="H59" s="53" t="s">
        <v>108</v>
      </c>
      <c r="I59" s="35"/>
      <c r="J59" s="35"/>
      <c r="K59" s="35"/>
      <c r="L59" s="35"/>
      <c r="M59" s="35"/>
      <c r="N59" s="35"/>
      <c r="O59" s="38"/>
      <c r="P59" s="38"/>
      <c r="Q59" s="35"/>
      <c r="R59" s="35"/>
      <c r="S59" s="35"/>
      <c r="T59" s="35"/>
      <c r="U59" s="35"/>
      <c r="V59" s="35"/>
      <c r="W59" s="38"/>
      <c r="X59" s="3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8"/>
      <c r="AL59" s="38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38"/>
      <c r="AZ59" s="38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38"/>
      <c r="BN59" s="38"/>
    </row>
    <row r="60">
      <c r="A60" s="38"/>
      <c r="B60" s="38"/>
      <c r="C60" s="38"/>
      <c r="D60" s="38" t="s">
        <v>114</v>
      </c>
      <c r="E60" s="38" t="s">
        <v>93</v>
      </c>
      <c r="F60" s="38" t="s">
        <v>115</v>
      </c>
      <c r="G60" s="53" t="s">
        <v>116</v>
      </c>
      <c r="H60" s="38"/>
      <c r="I60" s="52">
        <f t="shared" ref="I60:N60" si="99">I61</f>
        <v>1712</v>
      </c>
      <c r="J60" s="52">
        <f t="shared" si="99"/>
        <v>1760</v>
      </c>
      <c r="K60" s="52">
        <f t="shared" si="99"/>
        <v>1696</v>
      </c>
      <c r="L60" s="52">
        <f t="shared" si="99"/>
        <v>1669</v>
      </c>
      <c r="M60" s="52">
        <f t="shared" si="99"/>
        <v>1701</v>
      </c>
      <c r="N60" s="52">
        <f t="shared" si="99"/>
        <v>1629</v>
      </c>
      <c r="O60" s="38"/>
      <c r="P60" s="38"/>
      <c r="Q60" s="52">
        <f t="shared" ref="Q60:V60" si="100">Q61</f>
        <v>1650</v>
      </c>
      <c r="R60" s="52">
        <f t="shared" si="100"/>
        <v>1650</v>
      </c>
      <c r="S60" s="52">
        <f t="shared" si="100"/>
        <v>1650</v>
      </c>
      <c r="T60" s="52">
        <f t="shared" si="100"/>
        <v>1650</v>
      </c>
      <c r="U60" s="52">
        <f t="shared" si="100"/>
        <v>1650</v>
      </c>
      <c r="V60" s="52">
        <f t="shared" si="100"/>
        <v>1650</v>
      </c>
      <c r="W60" s="38"/>
      <c r="X60" s="38"/>
      <c r="Y60" s="52">
        <f t="shared" ref="Y60:AJ60" si="101">Y61</f>
        <v>1700</v>
      </c>
      <c r="Z60" s="52">
        <f t="shared" si="101"/>
        <v>1700</v>
      </c>
      <c r="AA60" s="52">
        <f t="shared" si="101"/>
        <v>1700</v>
      </c>
      <c r="AB60" s="52">
        <f t="shared" si="101"/>
        <v>1700</v>
      </c>
      <c r="AC60" s="52">
        <f t="shared" si="101"/>
        <v>1700</v>
      </c>
      <c r="AD60" s="52">
        <f t="shared" si="101"/>
        <v>1700</v>
      </c>
      <c r="AE60" s="52">
        <f t="shared" si="101"/>
        <v>1700</v>
      </c>
      <c r="AF60" s="52">
        <f t="shared" si="101"/>
        <v>1700</v>
      </c>
      <c r="AG60" s="52">
        <f t="shared" si="101"/>
        <v>1700</v>
      </c>
      <c r="AH60" s="52">
        <f t="shared" si="101"/>
        <v>1700</v>
      </c>
      <c r="AI60" s="52">
        <f t="shared" si="101"/>
        <v>1700</v>
      </c>
      <c r="AJ60" s="52">
        <f t="shared" si="101"/>
        <v>1700</v>
      </c>
      <c r="AK60" s="38"/>
      <c r="AL60" s="38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38"/>
      <c r="AZ60" s="38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38"/>
      <c r="BN60" s="38"/>
    </row>
    <row r="61">
      <c r="A61" s="38"/>
      <c r="B61" s="38"/>
      <c r="C61" s="38"/>
      <c r="D61" s="38"/>
      <c r="E61" s="38"/>
      <c r="F61" s="38" t="s">
        <v>117</v>
      </c>
      <c r="G61" s="53" t="s">
        <v>118</v>
      </c>
      <c r="H61" s="38"/>
      <c r="I61" s="52">
        <v>1712.0</v>
      </c>
      <c r="J61" s="52">
        <v>1760.0</v>
      </c>
      <c r="K61" s="52">
        <v>1696.0</v>
      </c>
      <c r="L61" s="52">
        <v>1669.0</v>
      </c>
      <c r="M61" s="52">
        <v>1701.0</v>
      </c>
      <c r="N61" s="52">
        <v>1629.0</v>
      </c>
      <c r="O61" s="38"/>
      <c r="P61" s="38"/>
      <c r="Q61" s="52">
        <v>1650.0</v>
      </c>
      <c r="R61" s="52">
        <v>1650.0</v>
      </c>
      <c r="S61" s="52">
        <v>1650.0</v>
      </c>
      <c r="T61" s="52">
        <v>1650.0</v>
      </c>
      <c r="U61" s="52">
        <v>1650.0</v>
      </c>
      <c r="V61" s="52">
        <v>1650.0</v>
      </c>
      <c r="W61" s="38"/>
      <c r="X61" s="38"/>
      <c r="Y61" s="52">
        <v>1700.0</v>
      </c>
      <c r="Z61" s="52">
        <v>1700.0</v>
      </c>
      <c r="AA61" s="52">
        <v>1700.0</v>
      </c>
      <c r="AB61" s="52">
        <v>1700.0</v>
      </c>
      <c r="AC61" s="52">
        <v>1700.0</v>
      </c>
      <c r="AD61" s="52">
        <v>1700.0</v>
      </c>
      <c r="AE61" s="52">
        <v>1700.0</v>
      </c>
      <c r="AF61" s="52">
        <v>1700.0</v>
      </c>
      <c r="AG61" s="52">
        <v>1700.0</v>
      </c>
      <c r="AH61" s="52">
        <v>1700.0</v>
      </c>
      <c r="AI61" s="52">
        <v>1700.0</v>
      </c>
      <c r="AJ61" s="52">
        <v>1700.0</v>
      </c>
      <c r="AK61" s="38"/>
      <c r="AL61" s="38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38"/>
      <c r="AZ61" s="38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38"/>
      <c r="BN61" s="38"/>
    </row>
    <row r="62">
      <c r="A62" s="38"/>
      <c r="B62" s="38"/>
      <c r="C62" s="38"/>
      <c r="D62" s="38"/>
      <c r="E62" s="38"/>
      <c r="F62" s="38"/>
      <c r="G62" s="53" t="s">
        <v>119</v>
      </c>
      <c r="H62" s="38"/>
      <c r="I62" s="52"/>
      <c r="J62" s="52"/>
      <c r="K62" s="52"/>
      <c r="L62" s="52"/>
      <c r="M62" s="52"/>
      <c r="N62" s="52"/>
      <c r="O62" s="38"/>
      <c r="P62" s="38"/>
      <c r="Q62" s="52"/>
      <c r="R62" s="52"/>
      <c r="S62" s="52"/>
      <c r="T62" s="52"/>
      <c r="U62" s="52"/>
      <c r="V62" s="52"/>
      <c r="W62" s="38"/>
      <c r="X62" s="38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38"/>
      <c r="AL62" s="38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38"/>
      <c r="AZ62" s="38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38"/>
      <c r="BN62" s="38"/>
    </row>
    <row r="63">
      <c r="A63" s="53"/>
      <c r="B63" s="53"/>
      <c r="C63" s="53"/>
      <c r="D63" s="53"/>
      <c r="E63" s="53"/>
      <c r="F63" s="53"/>
      <c r="G63" s="53"/>
      <c r="H63" s="38"/>
      <c r="I63" s="55"/>
      <c r="J63" s="55"/>
      <c r="K63" s="55"/>
      <c r="L63" s="55"/>
      <c r="M63" s="55"/>
      <c r="N63" s="55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</row>
    <row r="64">
      <c r="A64" s="53"/>
      <c r="B64" s="53"/>
      <c r="C64" s="53"/>
      <c r="D64" s="53" t="s">
        <v>120</v>
      </c>
      <c r="E64" s="53" t="s">
        <v>93</v>
      </c>
      <c r="F64" s="53" t="s">
        <v>121</v>
      </c>
      <c r="G64" s="53" t="s">
        <v>122</v>
      </c>
      <c r="H64" s="38"/>
      <c r="I64" s="55"/>
      <c r="J64" s="55"/>
      <c r="K64" s="55"/>
      <c r="L64" s="55"/>
      <c r="M64" s="55"/>
      <c r="N64" s="55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</row>
    <row r="65">
      <c r="A65" s="38"/>
      <c r="B65" s="38"/>
      <c r="C65" s="38"/>
      <c r="D65" s="38"/>
      <c r="E65" s="38"/>
      <c r="F65" s="53" t="s">
        <v>123</v>
      </c>
      <c r="G65" s="53" t="s">
        <v>124</v>
      </c>
      <c r="H65" s="38"/>
      <c r="I65" s="55"/>
      <c r="J65" s="55"/>
      <c r="K65" s="55"/>
      <c r="L65" s="55"/>
      <c r="M65" s="55"/>
      <c r="N65" s="55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</row>
    <row r="66">
      <c r="A66" s="38"/>
      <c r="B66" s="38"/>
      <c r="C66" s="38"/>
      <c r="D66" s="38"/>
      <c r="E66" s="38"/>
      <c r="F66" s="53" t="s">
        <v>125</v>
      </c>
      <c r="G66" s="53" t="s">
        <v>126</v>
      </c>
      <c r="H66" s="38"/>
      <c r="I66" s="55"/>
      <c r="J66" s="55"/>
      <c r="K66" s="55"/>
      <c r="L66" s="55"/>
      <c r="M66" s="55"/>
      <c r="N66" s="55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</row>
    <row r="67">
      <c r="A67" s="38"/>
      <c r="B67" s="38"/>
      <c r="C67" s="38"/>
      <c r="D67" s="38"/>
      <c r="E67" s="38"/>
      <c r="F67" s="53" t="s">
        <v>127</v>
      </c>
      <c r="G67" s="53" t="s">
        <v>128</v>
      </c>
      <c r="H67" s="38"/>
      <c r="I67" s="55"/>
      <c r="J67" s="55"/>
      <c r="K67" s="55"/>
      <c r="L67" s="55"/>
      <c r="M67" s="55"/>
      <c r="N67" s="55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</row>
    <row r="68">
      <c r="A68" s="38"/>
      <c r="B68" s="38"/>
      <c r="C68" s="38"/>
      <c r="D68" s="38"/>
      <c r="E68" s="38"/>
      <c r="F68" s="53" t="s">
        <v>129</v>
      </c>
      <c r="G68" s="53" t="s">
        <v>130</v>
      </c>
      <c r="H68" s="38"/>
      <c r="I68" s="55"/>
      <c r="J68" s="55"/>
      <c r="K68" s="55"/>
      <c r="L68" s="55"/>
      <c r="M68" s="55"/>
      <c r="N68" s="55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</row>
    <row r="69">
      <c r="A69" s="38"/>
      <c r="B69" s="38"/>
      <c r="C69" s="38"/>
      <c r="D69" s="38"/>
      <c r="E69" s="38"/>
      <c r="F69" s="53" t="s">
        <v>131</v>
      </c>
      <c r="G69" s="53" t="s">
        <v>132</v>
      </c>
      <c r="H69" s="38"/>
      <c r="I69" s="55"/>
      <c r="J69" s="55"/>
      <c r="K69" s="55"/>
      <c r="L69" s="55"/>
      <c r="M69" s="55"/>
      <c r="N69" s="55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</row>
    <row r="70">
      <c r="A70" s="38"/>
      <c r="B70" s="38"/>
      <c r="C70" s="38"/>
      <c r="D70" s="38"/>
      <c r="E70" s="38"/>
      <c r="F70" s="53" t="s">
        <v>133</v>
      </c>
      <c r="G70" s="53" t="s">
        <v>134</v>
      </c>
      <c r="H70" s="38"/>
      <c r="I70" s="55"/>
      <c r="J70" s="55"/>
      <c r="K70" s="55"/>
      <c r="L70" s="55"/>
      <c r="M70" s="55"/>
      <c r="N70" s="55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</row>
    <row r="71">
      <c r="A71" s="38"/>
      <c r="B71" s="38"/>
      <c r="C71" s="38"/>
      <c r="D71" s="38"/>
      <c r="E71" s="38"/>
      <c r="F71" s="53" t="s">
        <v>127</v>
      </c>
      <c r="G71" s="53" t="s">
        <v>128</v>
      </c>
      <c r="H71" s="38"/>
      <c r="I71" s="55"/>
      <c r="J71" s="55"/>
      <c r="K71" s="55"/>
      <c r="L71" s="55"/>
      <c r="M71" s="55"/>
      <c r="N71" s="55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</row>
    <row r="72">
      <c r="A72" s="38"/>
      <c r="B72" s="38"/>
      <c r="C72" s="38"/>
      <c r="D72" s="38"/>
      <c r="E72" s="38"/>
      <c r="F72" s="53" t="s">
        <v>135</v>
      </c>
      <c r="G72" s="53" t="s">
        <v>130</v>
      </c>
      <c r="H72" s="38"/>
      <c r="I72" s="55"/>
      <c r="J72" s="55"/>
      <c r="K72" s="55"/>
      <c r="L72" s="55"/>
      <c r="M72" s="55"/>
      <c r="N72" s="55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</row>
    <row r="73">
      <c r="A73" s="38"/>
      <c r="B73" s="38"/>
      <c r="C73" s="38"/>
      <c r="D73" s="38"/>
      <c r="E73" s="38"/>
      <c r="F73" s="38"/>
      <c r="G73" s="53"/>
      <c r="H73" s="38"/>
      <c r="I73" s="55"/>
      <c r="J73" s="55"/>
      <c r="K73" s="55"/>
      <c r="L73" s="55"/>
      <c r="M73" s="55"/>
      <c r="N73" s="55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</row>
    <row r="74">
      <c r="A74" s="38"/>
      <c r="B74" s="38"/>
      <c r="C74" s="38"/>
      <c r="D74" s="38" t="s">
        <v>136</v>
      </c>
      <c r="E74" s="38" t="s">
        <v>93</v>
      </c>
      <c r="F74" s="38" t="s">
        <v>136</v>
      </c>
      <c r="G74" s="38"/>
      <c r="H74" s="38"/>
      <c r="I74" s="35">
        <f t="shared" ref="I74:O74" si="102">I75</f>
        <v>-0.05351829764</v>
      </c>
      <c r="J74" s="35">
        <f t="shared" si="102"/>
        <v>-0.04609808112</v>
      </c>
      <c r="K74" s="35">
        <f t="shared" si="102"/>
        <v>-0.04607377281</v>
      </c>
      <c r="L74" s="35">
        <f t="shared" si="102"/>
        <v>-0.04320404726</v>
      </c>
      <c r="M74" s="35">
        <f t="shared" si="102"/>
        <v>-0.06467986443</v>
      </c>
      <c r="N74" s="35">
        <f t="shared" si="102"/>
        <v>-0.03599222971</v>
      </c>
      <c r="O74" s="35">
        <f t="shared" si="102"/>
        <v>-0.04829831901</v>
      </c>
      <c r="P74" s="38"/>
      <c r="Q74" s="35">
        <f t="shared" ref="Q74:W74" si="103">Q75</f>
        <v>-0.06218463736</v>
      </c>
      <c r="R74" s="35">
        <f t="shared" si="103"/>
        <v>-0.06765087534</v>
      </c>
      <c r="S74" s="35">
        <f t="shared" si="103"/>
        <v>-0.04765110795</v>
      </c>
      <c r="T74" s="35">
        <f t="shared" si="103"/>
        <v>-0.04413489132</v>
      </c>
      <c r="U74" s="35">
        <f t="shared" si="103"/>
        <v>-0.04064172991</v>
      </c>
      <c r="V74" s="35">
        <f t="shared" si="103"/>
        <v>-0.03759370909</v>
      </c>
      <c r="W74" s="35">
        <f t="shared" si="103"/>
        <v>-0.04836741653</v>
      </c>
      <c r="X74" s="38"/>
      <c r="Y74" s="56">
        <v>-0.048</v>
      </c>
      <c r="Z74" s="56">
        <v>-0.048</v>
      </c>
      <c r="AA74" s="56">
        <v>-0.048</v>
      </c>
      <c r="AB74" s="56">
        <v>-0.048</v>
      </c>
      <c r="AC74" s="56">
        <v>-0.048</v>
      </c>
      <c r="AD74" s="56">
        <v>-0.048</v>
      </c>
      <c r="AE74" s="56">
        <v>-0.048</v>
      </c>
      <c r="AF74" s="56">
        <v>-0.048</v>
      </c>
      <c r="AG74" s="56">
        <v>-0.048</v>
      </c>
      <c r="AH74" s="56">
        <v>-0.048</v>
      </c>
      <c r="AI74" s="56">
        <v>-0.048</v>
      </c>
      <c r="AJ74" s="56">
        <v>-0.048</v>
      </c>
      <c r="AK74" s="38"/>
      <c r="AL74" s="38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38"/>
      <c r="AZ74" s="38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38"/>
      <c r="BN74" s="38"/>
    </row>
    <row r="75">
      <c r="A75" s="38"/>
      <c r="B75" s="38"/>
      <c r="C75" s="38"/>
      <c r="D75" s="38"/>
      <c r="E75" s="38"/>
      <c r="F75" s="38" t="s">
        <v>136</v>
      </c>
      <c r="G75" s="38" t="s">
        <v>137</v>
      </c>
      <c r="H75" s="38"/>
      <c r="I75" s="35">
        <f t="shared" ref="I75:O75" si="104">I11/I3</f>
        <v>-0.05351829764</v>
      </c>
      <c r="J75" s="35">
        <f t="shared" si="104"/>
        <v>-0.04609808112</v>
      </c>
      <c r="K75" s="35">
        <f t="shared" si="104"/>
        <v>-0.04607377281</v>
      </c>
      <c r="L75" s="35">
        <f t="shared" si="104"/>
        <v>-0.04320404726</v>
      </c>
      <c r="M75" s="35">
        <f t="shared" si="104"/>
        <v>-0.06467986443</v>
      </c>
      <c r="N75" s="35">
        <f t="shared" si="104"/>
        <v>-0.03599222971</v>
      </c>
      <c r="O75" s="35">
        <f t="shared" si="104"/>
        <v>-0.04829831901</v>
      </c>
      <c r="P75" s="38"/>
      <c r="Q75" s="35">
        <f t="shared" ref="Q75:W75" si="105">Q11/Q3</f>
        <v>-0.06218463736</v>
      </c>
      <c r="R75" s="35">
        <f t="shared" si="105"/>
        <v>-0.06765087534</v>
      </c>
      <c r="S75" s="35">
        <f t="shared" si="105"/>
        <v>-0.04765110795</v>
      </c>
      <c r="T75" s="35">
        <f t="shared" si="105"/>
        <v>-0.04413489132</v>
      </c>
      <c r="U75" s="35">
        <f t="shared" si="105"/>
        <v>-0.04064172991</v>
      </c>
      <c r="V75" s="35">
        <f t="shared" si="105"/>
        <v>-0.03759370909</v>
      </c>
      <c r="W75" s="35">
        <f t="shared" si="105"/>
        <v>-0.04836741653</v>
      </c>
      <c r="X75" s="38"/>
      <c r="Y75" s="56">
        <v>-0.048</v>
      </c>
      <c r="Z75" s="56">
        <v>-0.048</v>
      </c>
      <c r="AA75" s="56">
        <v>-0.048</v>
      </c>
      <c r="AB75" s="56">
        <v>-0.048</v>
      </c>
      <c r="AC75" s="56">
        <v>-0.048</v>
      </c>
      <c r="AD75" s="56">
        <v>-0.048</v>
      </c>
      <c r="AE75" s="56">
        <v>-0.048</v>
      </c>
      <c r="AF75" s="56">
        <v>-0.048</v>
      </c>
      <c r="AG75" s="56">
        <v>-0.048</v>
      </c>
      <c r="AH75" s="56">
        <v>-0.048</v>
      </c>
      <c r="AI75" s="56">
        <v>-0.048</v>
      </c>
      <c r="AJ75" s="56">
        <v>-0.048</v>
      </c>
      <c r="AK75" s="38"/>
      <c r="AL75" s="38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38"/>
      <c r="AZ75" s="38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38"/>
      <c r="BN75" s="38"/>
    </row>
    <row r="76">
      <c r="A76" s="38"/>
      <c r="B76" s="38"/>
      <c r="C76" s="38"/>
      <c r="D76" s="38" t="s">
        <v>138</v>
      </c>
      <c r="E76" s="38" t="s">
        <v>93</v>
      </c>
      <c r="F76" s="38" t="s">
        <v>138</v>
      </c>
      <c r="G76" s="38"/>
      <c r="H76" s="38"/>
      <c r="I76" s="35">
        <f t="shared" ref="I76:O76" si="106">I12/I3</f>
        <v>-0.1611781933</v>
      </c>
      <c r="J76" s="35">
        <f t="shared" si="106"/>
        <v>-0.1409472326</v>
      </c>
      <c r="K76" s="35">
        <f t="shared" si="106"/>
        <v>-0.1787549217</v>
      </c>
      <c r="L76" s="35">
        <f t="shared" si="106"/>
        <v>-0.1733476093</v>
      </c>
      <c r="M76" s="35">
        <f t="shared" si="106"/>
        <v>-0.1415403761</v>
      </c>
      <c r="N76" s="35">
        <f t="shared" si="106"/>
        <v>-0.1654985597</v>
      </c>
      <c r="O76" s="35">
        <f t="shared" si="106"/>
        <v>-0.1599739169</v>
      </c>
      <c r="P76" s="57"/>
      <c r="Q76" s="35">
        <f t="shared" ref="Q76:W76" si="107">Q12/Q3</f>
        <v>-0.1829136916</v>
      </c>
      <c r="R76" s="35">
        <f t="shared" si="107"/>
        <v>-0.09875507973</v>
      </c>
      <c r="S76" s="35">
        <f t="shared" si="107"/>
        <v>-0.1136472962</v>
      </c>
      <c r="T76" s="35">
        <f t="shared" si="107"/>
        <v>-0.1215385688</v>
      </c>
      <c r="U76" s="35">
        <f t="shared" si="107"/>
        <v>-0.1134208638</v>
      </c>
      <c r="V76" s="35">
        <f t="shared" si="107"/>
        <v>-0.1156528288</v>
      </c>
      <c r="W76" s="35">
        <f t="shared" si="107"/>
        <v>-0.1379896929</v>
      </c>
      <c r="X76" s="38"/>
      <c r="Y76" s="56">
        <f t="shared" ref="Y76:AJ76" si="108">sum(Y77:Y79)</f>
        <v>-0.12</v>
      </c>
      <c r="Z76" s="56">
        <f t="shared" si="108"/>
        <v>-0.118</v>
      </c>
      <c r="AA76" s="56">
        <f t="shared" si="108"/>
        <v>-0.116</v>
      </c>
      <c r="AB76" s="56">
        <f t="shared" si="108"/>
        <v>-0.114</v>
      </c>
      <c r="AC76" s="56">
        <f t="shared" si="108"/>
        <v>-0.112</v>
      </c>
      <c r="AD76" s="56">
        <f t="shared" si="108"/>
        <v>-0.11</v>
      </c>
      <c r="AE76" s="56">
        <f t="shared" si="108"/>
        <v>-0.108</v>
      </c>
      <c r="AF76" s="56">
        <f t="shared" si="108"/>
        <v>-0.106</v>
      </c>
      <c r="AG76" s="56">
        <f t="shared" si="108"/>
        <v>-0.104</v>
      </c>
      <c r="AH76" s="56">
        <f t="shared" si="108"/>
        <v>-0.102</v>
      </c>
      <c r="AI76" s="56">
        <f t="shared" si="108"/>
        <v>-0.1</v>
      </c>
      <c r="AJ76" s="56">
        <f t="shared" si="108"/>
        <v>-0.098</v>
      </c>
      <c r="AK76" s="38"/>
      <c r="AL76" s="38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38"/>
      <c r="AZ76" s="38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38"/>
      <c r="BN76" s="38"/>
    </row>
    <row r="77">
      <c r="A77" s="38"/>
      <c r="B77" s="38"/>
      <c r="C77" s="38"/>
      <c r="D77" s="38"/>
      <c r="E77" s="38"/>
      <c r="F77" s="38" t="s">
        <v>139</v>
      </c>
      <c r="G77" s="38" t="s">
        <v>140</v>
      </c>
      <c r="H77" s="38"/>
      <c r="I77" s="35">
        <f t="shared" ref="I77:O77" si="109">I13/I3</f>
        <v>-0.1611781933</v>
      </c>
      <c r="J77" s="35">
        <f t="shared" si="109"/>
        <v>-0.1409472326</v>
      </c>
      <c r="K77" s="35">
        <f t="shared" si="109"/>
        <v>-0.1787549217</v>
      </c>
      <c r="L77" s="35">
        <f t="shared" si="109"/>
        <v>-0.1733476093</v>
      </c>
      <c r="M77" s="35">
        <f t="shared" si="109"/>
        <v>-0.1415403761</v>
      </c>
      <c r="N77" s="35">
        <f t="shared" si="109"/>
        <v>-0.1654985597</v>
      </c>
      <c r="O77" s="35">
        <f t="shared" si="109"/>
        <v>-0.1599739169</v>
      </c>
      <c r="P77" s="57"/>
      <c r="Q77" s="35">
        <f t="shared" ref="Q77:W77" si="110">Q13/Q3</f>
        <v>-0.1829136916</v>
      </c>
      <c r="R77" s="35">
        <f t="shared" si="110"/>
        <v>-0.09875507973</v>
      </c>
      <c r="S77" s="35">
        <f t="shared" si="110"/>
        <v>-0.1136472962</v>
      </c>
      <c r="T77" s="35">
        <f t="shared" si="110"/>
        <v>-0.1215385688</v>
      </c>
      <c r="U77" s="35">
        <f t="shared" si="110"/>
        <v>-0.1134208638</v>
      </c>
      <c r="V77" s="35">
        <f t="shared" si="110"/>
        <v>-0.1156528288</v>
      </c>
      <c r="W77" s="35">
        <f t="shared" si="110"/>
        <v>-0.1379896929</v>
      </c>
      <c r="X77" s="38"/>
      <c r="Y77" s="56">
        <v>-0.12</v>
      </c>
      <c r="Z77" s="56">
        <v>-0.118</v>
      </c>
      <c r="AA77" s="56">
        <v>-0.116</v>
      </c>
      <c r="AB77" s="56">
        <v>-0.114</v>
      </c>
      <c r="AC77" s="56">
        <v>-0.112</v>
      </c>
      <c r="AD77" s="56">
        <v>-0.11</v>
      </c>
      <c r="AE77" s="56">
        <v>-0.108</v>
      </c>
      <c r="AF77" s="56">
        <v>-0.106</v>
      </c>
      <c r="AG77" s="56">
        <v>-0.104</v>
      </c>
      <c r="AH77" s="56">
        <v>-0.102</v>
      </c>
      <c r="AI77" s="56">
        <v>-0.1</v>
      </c>
      <c r="AJ77" s="56">
        <v>-0.098</v>
      </c>
      <c r="AK77" s="38"/>
      <c r="AL77" s="38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38"/>
      <c r="AZ77" s="38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38"/>
      <c r="BN77" s="38"/>
    </row>
    <row r="78">
      <c r="A78" s="38"/>
      <c r="B78" s="38"/>
      <c r="C78" s="38"/>
      <c r="D78" s="38"/>
      <c r="E78" s="38"/>
      <c r="F78" s="38" t="s">
        <v>141</v>
      </c>
      <c r="G78" s="38" t="s">
        <v>142</v>
      </c>
      <c r="H78" s="38"/>
      <c r="I78" s="35">
        <f t="shared" ref="I78:O78" si="111">I14/I3</f>
        <v>0</v>
      </c>
      <c r="J78" s="35">
        <f t="shared" si="111"/>
        <v>0</v>
      </c>
      <c r="K78" s="35">
        <f t="shared" si="111"/>
        <v>0</v>
      </c>
      <c r="L78" s="35">
        <f t="shared" si="111"/>
        <v>0</v>
      </c>
      <c r="M78" s="35">
        <f t="shared" si="111"/>
        <v>0</v>
      </c>
      <c r="N78" s="35">
        <f t="shared" si="111"/>
        <v>0</v>
      </c>
      <c r="O78" s="35">
        <f t="shared" si="111"/>
        <v>0</v>
      </c>
      <c r="P78" s="44"/>
      <c r="Q78" s="35">
        <f t="shared" ref="Q78:W78" si="112">Q14/Q3</f>
        <v>0</v>
      </c>
      <c r="R78" s="35">
        <f t="shared" si="112"/>
        <v>0</v>
      </c>
      <c r="S78" s="35">
        <f t="shared" si="112"/>
        <v>0</v>
      </c>
      <c r="T78" s="35">
        <f t="shared" si="112"/>
        <v>0</v>
      </c>
      <c r="U78" s="35">
        <f t="shared" si="112"/>
        <v>0</v>
      </c>
      <c r="V78" s="35">
        <f t="shared" si="112"/>
        <v>0</v>
      </c>
      <c r="W78" s="35">
        <f t="shared" si="112"/>
        <v>0</v>
      </c>
      <c r="X78" s="38"/>
      <c r="Y78" s="56">
        <v>0.0</v>
      </c>
      <c r="Z78" s="56">
        <v>0.0</v>
      </c>
      <c r="AA78" s="56">
        <v>0.0</v>
      </c>
      <c r="AB78" s="56">
        <v>0.0</v>
      </c>
      <c r="AC78" s="56">
        <v>0.0</v>
      </c>
      <c r="AD78" s="56">
        <v>0.0</v>
      </c>
      <c r="AE78" s="56">
        <v>0.0</v>
      </c>
      <c r="AF78" s="56">
        <v>0.0</v>
      </c>
      <c r="AG78" s="56">
        <v>0.0</v>
      </c>
      <c r="AH78" s="56">
        <v>0.0</v>
      </c>
      <c r="AI78" s="56">
        <v>0.0</v>
      </c>
      <c r="AJ78" s="56">
        <v>0.0</v>
      </c>
      <c r="AK78" s="38"/>
      <c r="AL78" s="38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8"/>
      <c r="AZ78" s="38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8"/>
      <c r="BN78" s="38"/>
    </row>
    <row r="79">
      <c r="A79" s="38"/>
      <c r="B79" s="38"/>
      <c r="C79" s="38"/>
      <c r="D79" s="38"/>
      <c r="E79" s="38"/>
      <c r="F79" s="38" t="s">
        <v>143</v>
      </c>
      <c r="G79" s="38" t="s">
        <v>144</v>
      </c>
      <c r="H79" s="38"/>
      <c r="I79" s="35">
        <f t="shared" ref="I79:O79" si="113">I15/I3</f>
        <v>0</v>
      </c>
      <c r="J79" s="35">
        <f t="shared" si="113"/>
        <v>0</v>
      </c>
      <c r="K79" s="35">
        <f t="shared" si="113"/>
        <v>0</v>
      </c>
      <c r="L79" s="35">
        <f t="shared" si="113"/>
        <v>0</v>
      </c>
      <c r="M79" s="35">
        <f t="shared" si="113"/>
        <v>0</v>
      </c>
      <c r="N79" s="35">
        <f t="shared" si="113"/>
        <v>0</v>
      </c>
      <c r="O79" s="35">
        <f t="shared" si="113"/>
        <v>0</v>
      </c>
      <c r="P79" s="38"/>
      <c r="Q79" s="35">
        <f t="shared" ref="Q79:W79" si="114">Q15/Q3</f>
        <v>0</v>
      </c>
      <c r="R79" s="35">
        <f t="shared" si="114"/>
        <v>0</v>
      </c>
      <c r="S79" s="35">
        <f t="shared" si="114"/>
        <v>0</v>
      </c>
      <c r="T79" s="35">
        <f t="shared" si="114"/>
        <v>0</v>
      </c>
      <c r="U79" s="35">
        <f t="shared" si="114"/>
        <v>0</v>
      </c>
      <c r="V79" s="35">
        <f t="shared" si="114"/>
        <v>0</v>
      </c>
      <c r="W79" s="35">
        <f t="shared" si="114"/>
        <v>0</v>
      </c>
      <c r="X79" s="38"/>
      <c r="Y79" s="56">
        <v>0.0</v>
      </c>
      <c r="Z79" s="56">
        <v>0.0</v>
      </c>
      <c r="AA79" s="56">
        <v>0.0</v>
      </c>
      <c r="AB79" s="56">
        <v>0.0</v>
      </c>
      <c r="AC79" s="56">
        <v>0.0</v>
      </c>
      <c r="AD79" s="56">
        <v>0.0</v>
      </c>
      <c r="AE79" s="56">
        <v>0.0</v>
      </c>
      <c r="AF79" s="56">
        <v>0.0</v>
      </c>
      <c r="AG79" s="56">
        <v>0.0</v>
      </c>
      <c r="AH79" s="56">
        <v>0.0</v>
      </c>
      <c r="AI79" s="56">
        <v>0.0</v>
      </c>
      <c r="AJ79" s="56">
        <v>0.0</v>
      </c>
      <c r="AK79" s="38"/>
      <c r="AL79" s="38"/>
      <c r="AM79" s="55"/>
      <c r="AN79" s="55"/>
      <c r="AO79" s="55"/>
      <c r="AP79" s="55"/>
      <c r="AQ79" s="55"/>
      <c r="AR79" s="55"/>
      <c r="AS79" s="38"/>
      <c r="AT79" s="38"/>
      <c r="AU79" s="38"/>
      <c r="AV79" s="38"/>
      <c r="AW79" s="38"/>
      <c r="AX79" s="38"/>
      <c r="AY79" s="38"/>
      <c r="AZ79" s="38"/>
      <c r="BA79" s="55"/>
      <c r="BB79" s="55"/>
      <c r="BC79" s="55"/>
      <c r="BD79" s="55"/>
      <c r="BE79" s="55"/>
      <c r="BF79" s="55"/>
      <c r="BG79" s="38"/>
      <c r="BH79" s="38"/>
      <c r="BI79" s="38"/>
      <c r="BJ79" s="38"/>
      <c r="BK79" s="38"/>
      <c r="BL79" s="38"/>
      <c r="BM79" s="38"/>
      <c r="BN79" s="38"/>
    </row>
    <row r="80">
      <c r="A80" s="38"/>
      <c r="B80" s="38"/>
      <c r="C80" s="38"/>
      <c r="D80" s="38" t="s">
        <v>145</v>
      </c>
      <c r="E80" s="38" t="s">
        <v>93</v>
      </c>
      <c r="F80" s="38" t="s">
        <v>145</v>
      </c>
      <c r="G80" s="38"/>
      <c r="H80" s="38"/>
      <c r="I80" s="35">
        <f t="shared" ref="I80:O80" si="115">I16/I3</f>
        <v>0</v>
      </c>
      <c r="J80" s="35">
        <f t="shared" si="115"/>
        <v>0</v>
      </c>
      <c r="K80" s="35">
        <f t="shared" si="115"/>
        <v>0</v>
      </c>
      <c r="L80" s="35">
        <f t="shared" si="115"/>
        <v>0</v>
      </c>
      <c r="M80" s="35">
        <f t="shared" si="115"/>
        <v>0</v>
      </c>
      <c r="N80" s="35">
        <f t="shared" si="115"/>
        <v>0</v>
      </c>
      <c r="O80" s="35">
        <f t="shared" si="115"/>
        <v>0</v>
      </c>
      <c r="P80" s="38"/>
      <c r="Q80" s="35">
        <f t="shared" ref="Q80:W80" si="116">Q16/Q3</f>
        <v>-0.01937080871</v>
      </c>
      <c r="R80" s="35">
        <f t="shared" si="116"/>
        <v>-0.00738034412</v>
      </c>
      <c r="S80" s="35">
        <f t="shared" si="116"/>
        <v>-0.006724660485</v>
      </c>
      <c r="T80" s="35">
        <f t="shared" si="116"/>
        <v>-0.006159361663</v>
      </c>
      <c r="U80" s="35">
        <f t="shared" si="116"/>
        <v>-0.005615545459</v>
      </c>
      <c r="V80" s="35">
        <f t="shared" si="116"/>
        <v>-0.004831579273</v>
      </c>
      <c r="W80" s="35">
        <f t="shared" si="116"/>
        <v>-0.004534478574</v>
      </c>
      <c r="X80" s="38"/>
      <c r="Y80" s="35">
        <f t="shared" ref="Y80:AJ80" si="117">Y81</f>
        <v>-0.005</v>
      </c>
      <c r="Z80" s="35">
        <f t="shared" si="117"/>
        <v>-0.005</v>
      </c>
      <c r="AA80" s="35">
        <f t="shared" si="117"/>
        <v>-0.005</v>
      </c>
      <c r="AB80" s="35">
        <f t="shared" si="117"/>
        <v>-0.005</v>
      </c>
      <c r="AC80" s="35">
        <f t="shared" si="117"/>
        <v>-0.005</v>
      </c>
      <c r="AD80" s="35">
        <f t="shared" si="117"/>
        <v>-0.005</v>
      </c>
      <c r="AE80" s="35">
        <f t="shared" si="117"/>
        <v>-0.005</v>
      </c>
      <c r="AF80" s="35">
        <f t="shared" si="117"/>
        <v>-0.005</v>
      </c>
      <c r="AG80" s="35">
        <f t="shared" si="117"/>
        <v>-0.005</v>
      </c>
      <c r="AH80" s="35">
        <f t="shared" si="117"/>
        <v>-0.005</v>
      </c>
      <c r="AI80" s="35">
        <f t="shared" si="117"/>
        <v>-0.005</v>
      </c>
      <c r="AJ80" s="35">
        <f t="shared" si="117"/>
        <v>-0.005</v>
      </c>
      <c r="AK80" s="38"/>
      <c r="AL80" s="38"/>
      <c r="AM80" s="55"/>
      <c r="AN80" s="55"/>
      <c r="AO80" s="55"/>
      <c r="AP80" s="55"/>
      <c r="AQ80" s="55"/>
      <c r="AR80" s="55"/>
      <c r="AS80" s="38"/>
      <c r="AT80" s="38"/>
      <c r="AU80" s="38"/>
      <c r="AV80" s="38"/>
      <c r="AW80" s="38"/>
      <c r="AX80" s="38"/>
      <c r="AY80" s="38"/>
      <c r="AZ80" s="38"/>
      <c r="BA80" s="55"/>
      <c r="BB80" s="55"/>
      <c r="BC80" s="55"/>
      <c r="BD80" s="55"/>
      <c r="BE80" s="55"/>
      <c r="BF80" s="55"/>
      <c r="BG80" s="38"/>
      <c r="BH80" s="38"/>
      <c r="BI80" s="38"/>
      <c r="BJ80" s="38"/>
      <c r="BK80" s="38"/>
      <c r="BL80" s="38"/>
      <c r="BM80" s="38"/>
      <c r="BN80" s="38"/>
    </row>
    <row r="81">
      <c r="A81" s="38"/>
      <c r="B81" s="38"/>
      <c r="C81" s="38"/>
      <c r="D81" s="38"/>
      <c r="E81" s="38"/>
      <c r="F81" s="38" t="s">
        <v>145</v>
      </c>
      <c r="G81" s="38" t="s">
        <v>146</v>
      </c>
      <c r="H81" s="38"/>
      <c r="I81" s="35">
        <f t="shared" ref="I81:O81" si="118">I17/I3</f>
        <v>0</v>
      </c>
      <c r="J81" s="35">
        <f t="shared" si="118"/>
        <v>0</v>
      </c>
      <c r="K81" s="35">
        <f t="shared" si="118"/>
        <v>0</v>
      </c>
      <c r="L81" s="35">
        <f t="shared" si="118"/>
        <v>0</v>
      </c>
      <c r="M81" s="35">
        <f t="shared" si="118"/>
        <v>0</v>
      </c>
      <c r="N81" s="35">
        <f t="shared" si="118"/>
        <v>0</v>
      </c>
      <c r="O81" s="35">
        <f t="shared" si="118"/>
        <v>0</v>
      </c>
      <c r="P81" s="38"/>
      <c r="Q81" s="35">
        <f t="shared" ref="Q81:W81" si="119">Q17/Q3</f>
        <v>-0.01937080871</v>
      </c>
      <c r="R81" s="35">
        <f t="shared" si="119"/>
        <v>-0.00738034412</v>
      </c>
      <c r="S81" s="35">
        <f t="shared" si="119"/>
        <v>-0.006724660485</v>
      </c>
      <c r="T81" s="35">
        <f t="shared" si="119"/>
        <v>-0.006159361663</v>
      </c>
      <c r="U81" s="35">
        <f t="shared" si="119"/>
        <v>-0.005615545459</v>
      </c>
      <c r="V81" s="35">
        <f t="shared" si="119"/>
        <v>-0.004831579273</v>
      </c>
      <c r="W81" s="35">
        <f t="shared" si="119"/>
        <v>-0.004534478574</v>
      </c>
      <c r="X81" s="38"/>
      <c r="Y81" s="35">
        <v>-0.005</v>
      </c>
      <c r="Z81" s="35">
        <v>-0.005</v>
      </c>
      <c r="AA81" s="35">
        <v>-0.005</v>
      </c>
      <c r="AB81" s="35">
        <v>-0.005</v>
      </c>
      <c r="AC81" s="35">
        <v>-0.005</v>
      </c>
      <c r="AD81" s="35">
        <v>-0.005</v>
      </c>
      <c r="AE81" s="35">
        <v>-0.005</v>
      </c>
      <c r="AF81" s="35">
        <v>-0.005</v>
      </c>
      <c r="AG81" s="35">
        <v>-0.005</v>
      </c>
      <c r="AH81" s="35">
        <v>-0.005</v>
      </c>
      <c r="AI81" s="35">
        <v>-0.005</v>
      </c>
      <c r="AJ81" s="35">
        <v>-0.005</v>
      </c>
      <c r="AK81" s="38"/>
      <c r="AL81" s="38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38"/>
      <c r="AZ81" s="38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38"/>
      <c r="BN81" s="38"/>
    </row>
    <row r="82">
      <c r="A82" s="38"/>
      <c r="B82" s="38"/>
      <c r="C82" s="38"/>
      <c r="D82" s="38" t="s">
        <v>147</v>
      </c>
      <c r="E82" s="38" t="s">
        <v>93</v>
      </c>
      <c r="F82" s="38" t="s">
        <v>147</v>
      </c>
      <c r="G82" s="38"/>
      <c r="H82" s="38"/>
      <c r="I82" s="52">
        <v>0.0</v>
      </c>
      <c r="J82" s="52">
        <v>0.0</v>
      </c>
      <c r="K82" s="52">
        <v>0.0</v>
      </c>
      <c r="L82" s="52">
        <v>0.0</v>
      </c>
      <c r="M82" s="52">
        <v>0.0</v>
      </c>
      <c r="N82" s="52">
        <v>0.0</v>
      </c>
      <c r="O82" s="59">
        <v>0.0</v>
      </c>
      <c r="P82" s="38"/>
      <c r="Q82" s="52">
        <v>0.0</v>
      </c>
      <c r="R82" s="52">
        <v>0.0</v>
      </c>
      <c r="S82" s="52">
        <v>0.0</v>
      </c>
      <c r="T82" s="52">
        <v>0.0</v>
      </c>
      <c r="U82" s="52">
        <v>0.0</v>
      </c>
      <c r="V82" s="52">
        <v>0.0</v>
      </c>
      <c r="W82" s="38"/>
      <c r="X82" s="38"/>
      <c r="Y82" s="52">
        <v>0.0</v>
      </c>
      <c r="Z82" s="52">
        <v>0.0</v>
      </c>
      <c r="AA82" s="52">
        <v>0.0</v>
      </c>
      <c r="AB82" s="52">
        <v>0.0</v>
      </c>
      <c r="AC82" s="52">
        <v>0.0</v>
      </c>
      <c r="AD82" s="52">
        <v>0.0</v>
      </c>
      <c r="AE82" s="52">
        <v>0.0</v>
      </c>
      <c r="AF82" s="52">
        <v>0.0</v>
      </c>
      <c r="AG82" s="52">
        <v>0.0</v>
      </c>
      <c r="AH82" s="52">
        <v>0.0</v>
      </c>
      <c r="AI82" s="52">
        <v>0.0</v>
      </c>
      <c r="AJ82" s="52">
        <v>0.0</v>
      </c>
      <c r="AK82" s="38"/>
      <c r="AL82" s="38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38"/>
      <c r="AZ82" s="38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38"/>
      <c r="BN82" s="38"/>
    </row>
    <row r="83">
      <c r="A83" s="38"/>
      <c r="B83" s="38"/>
      <c r="C83" s="38"/>
      <c r="D83" s="38"/>
      <c r="E83" s="38"/>
      <c r="F83" s="38" t="s">
        <v>147</v>
      </c>
      <c r="G83" s="38" t="s">
        <v>148</v>
      </c>
      <c r="H83" s="38"/>
      <c r="I83" s="52">
        <v>0.0</v>
      </c>
      <c r="J83" s="52">
        <v>0.0</v>
      </c>
      <c r="K83" s="52">
        <v>0.0</v>
      </c>
      <c r="L83" s="52">
        <v>0.0</v>
      </c>
      <c r="M83" s="52">
        <v>0.0</v>
      </c>
      <c r="N83" s="52">
        <v>0.0</v>
      </c>
      <c r="O83" s="59">
        <v>0.0</v>
      </c>
      <c r="P83" s="38"/>
      <c r="Q83" s="52">
        <v>0.0</v>
      </c>
      <c r="R83" s="52">
        <v>0.0</v>
      </c>
      <c r="S83" s="52">
        <v>0.0</v>
      </c>
      <c r="T83" s="52">
        <v>0.0</v>
      </c>
      <c r="U83" s="52">
        <v>0.0</v>
      </c>
      <c r="V83" s="52">
        <v>0.0</v>
      </c>
      <c r="W83" s="38"/>
      <c r="X83" s="38"/>
      <c r="Y83" s="52">
        <v>0.0</v>
      </c>
      <c r="Z83" s="52">
        <v>0.0</v>
      </c>
      <c r="AA83" s="52">
        <v>0.0</v>
      </c>
      <c r="AB83" s="52">
        <v>0.0</v>
      </c>
      <c r="AC83" s="52">
        <v>0.0</v>
      </c>
      <c r="AD83" s="52">
        <v>0.0</v>
      </c>
      <c r="AE83" s="52">
        <v>0.0</v>
      </c>
      <c r="AF83" s="52">
        <v>0.0</v>
      </c>
      <c r="AG83" s="52">
        <v>0.0</v>
      </c>
      <c r="AH83" s="52">
        <v>0.0</v>
      </c>
      <c r="AI83" s="52">
        <v>0.0</v>
      </c>
      <c r="AJ83" s="52">
        <v>0.0</v>
      </c>
      <c r="AK83" s="38"/>
      <c r="AL83" s="38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38"/>
      <c r="AZ83" s="38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38"/>
      <c r="BN83" s="38"/>
    </row>
    <row r="84">
      <c r="A84" s="38"/>
      <c r="B84" s="38"/>
      <c r="C84" s="38"/>
      <c r="D84" s="38" t="s">
        <v>149</v>
      </c>
      <c r="E84" s="38" t="s">
        <v>93</v>
      </c>
      <c r="F84" s="38" t="s">
        <v>150</v>
      </c>
      <c r="G84" s="38"/>
      <c r="H84" s="38"/>
      <c r="I84" s="52">
        <v>0.0</v>
      </c>
      <c r="J84" s="52">
        <v>0.0</v>
      </c>
      <c r="K84" s="52">
        <v>0.0</v>
      </c>
      <c r="L84" s="52">
        <v>0.0</v>
      </c>
      <c r="M84" s="52">
        <v>0.0</v>
      </c>
      <c r="N84" s="52">
        <v>0.0</v>
      </c>
      <c r="O84" s="59">
        <v>0.0</v>
      </c>
      <c r="P84" s="38"/>
      <c r="Q84" s="52">
        <v>0.0</v>
      </c>
      <c r="R84" s="52">
        <v>0.0</v>
      </c>
      <c r="S84" s="52">
        <v>0.0</v>
      </c>
      <c r="T84" s="52">
        <v>0.0</v>
      </c>
      <c r="U84" s="52">
        <v>0.0</v>
      </c>
      <c r="V84" s="52">
        <v>0.0</v>
      </c>
      <c r="W84" s="38"/>
      <c r="X84" s="38"/>
      <c r="Y84" s="52">
        <v>0.0</v>
      </c>
      <c r="Z84" s="52">
        <v>0.0</v>
      </c>
      <c r="AA84" s="52">
        <v>0.0</v>
      </c>
      <c r="AB84" s="52">
        <v>0.0</v>
      </c>
      <c r="AC84" s="52">
        <v>0.0</v>
      </c>
      <c r="AD84" s="52">
        <v>0.0</v>
      </c>
      <c r="AE84" s="52">
        <v>0.0</v>
      </c>
      <c r="AF84" s="52">
        <v>0.0</v>
      </c>
      <c r="AG84" s="52">
        <v>0.0</v>
      </c>
      <c r="AH84" s="52">
        <v>0.0</v>
      </c>
      <c r="AI84" s="52">
        <v>0.0</v>
      </c>
      <c r="AJ84" s="52">
        <v>0.0</v>
      </c>
      <c r="AK84" s="38"/>
      <c r="AL84" s="38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38"/>
      <c r="AZ84" s="38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38"/>
      <c r="BN84" s="38"/>
    </row>
    <row r="85">
      <c r="A85" s="38"/>
      <c r="B85" s="38"/>
      <c r="C85" s="38"/>
      <c r="D85" s="38"/>
      <c r="E85" s="38"/>
      <c r="F85" s="38" t="s">
        <v>150</v>
      </c>
      <c r="G85" s="38" t="s">
        <v>151</v>
      </c>
      <c r="H85" s="38"/>
      <c r="I85" s="52">
        <v>0.0</v>
      </c>
      <c r="J85" s="52">
        <v>0.0</v>
      </c>
      <c r="K85" s="52">
        <v>0.0</v>
      </c>
      <c r="L85" s="52">
        <v>0.0</v>
      </c>
      <c r="M85" s="52">
        <v>0.0</v>
      </c>
      <c r="N85" s="52">
        <v>0.0</v>
      </c>
      <c r="O85" s="59">
        <v>0.0</v>
      </c>
      <c r="P85" s="38"/>
      <c r="Q85" s="52">
        <v>0.0</v>
      </c>
      <c r="R85" s="52">
        <v>0.0</v>
      </c>
      <c r="S85" s="52">
        <v>0.0</v>
      </c>
      <c r="T85" s="52">
        <v>0.0</v>
      </c>
      <c r="U85" s="52">
        <v>0.0</v>
      </c>
      <c r="V85" s="52">
        <v>0.0</v>
      </c>
      <c r="W85" s="38"/>
      <c r="X85" s="38"/>
      <c r="Y85" s="52">
        <v>0.0</v>
      </c>
      <c r="Z85" s="52">
        <v>0.0</v>
      </c>
      <c r="AA85" s="52">
        <v>0.0</v>
      </c>
      <c r="AB85" s="52">
        <v>0.0</v>
      </c>
      <c r="AC85" s="52">
        <v>0.0</v>
      </c>
      <c r="AD85" s="52">
        <v>0.0</v>
      </c>
      <c r="AE85" s="52">
        <v>0.0</v>
      </c>
      <c r="AF85" s="52">
        <v>0.0</v>
      </c>
      <c r="AG85" s="52">
        <v>0.0</v>
      </c>
      <c r="AH85" s="52">
        <v>0.0</v>
      </c>
      <c r="AI85" s="52">
        <v>0.0</v>
      </c>
      <c r="AJ85" s="52">
        <v>0.0</v>
      </c>
      <c r="AK85" s="38"/>
      <c r="AL85" s="38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38"/>
      <c r="AZ85" s="38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38"/>
      <c r="BN85" s="38"/>
    </row>
    <row r="86">
      <c r="A86" s="38"/>
      <c r="B86" s="38"/>
      <c r="C86" s="38"/>
      <c r="D86" s="38" t="s">
        <v>152</v>
      </c>
      <c r="E86" s="38" t="s">
        <v>93</v>
      </c>
      <c r="F86" s="38" t="s">
        <v>152</v>
      </c>
      <c r="G86" s="38"/>
      <c r="H86" s="38"/>
      <c r="I86" s="35">
        <f t="shared" ref="I86:O86" si="120">I24/I3</f>
        <v>-0.8724142304</v>
      </c>
      <c r="J86" s="35">
        <f t="shared" si="120"/>
        <v>-0.8481867083</v>
      </c>
      <c r="K86" s="35">
        <f t="shared" si="120"/>
        <v>-1.059333623</v>
      </c>
      <c r="L86" s="35">
        <f t="shared" si="120"/>
        <v>-0.9428466233</v>
      </c>
      <c r="M86" s="35">
        <f t="shared" si="120"/>
        <v>-0.8979343381</v>
      </c>
      <c r="N86" s="35">
        <f t="shared" si="120"/>
        <v>-0.8885724844</v>
      </c>
      <c r="O86" s="35">
        <f t="shared" si="120"/>
        <v>-0.9173215777</v>
      </c>
      <c r="P86" s="38"/>
      <c r="Q86" s="35">
        <f t="shared" ref="Q86:W86" si="121">Q24/Q3</f>
        <v>-0.9134132588</v>
      </c>
      <c r="R86" s="35">
        <f t="shared" si="121"/>
        <v>-0.8302398758</v>
      </c>
      <c r="S86" s="35">
        <f t="shared" si="121"/>
        <v>-0.7564798058</v>
      </c>
      <c r="T86" s="35">
        <f t="shared" si="121"/>
        <v>-0.692887429</v>
      </c>
      <c r="U86" s="35">
        <f t="shared" si="121"/>
        <v>-0.6317117046</v>
      </c>
      <c r="V86" s="35">
        <f t="shared" si="121"/>
        <v>-0.5775337339</v>
      </c>
      <c r="W86" s="35">
        <f t="shared" si="121"/>
        <v>-0.7999288798</v>
      </c>
      <c r="X86" s="38"/>
      <c r="Y86" s="61">
        <f t="shared" ref="Y86:AJ86" si="122">Y87</f>
        <v>-0.55</v>
      </c>
      <c r="Z86" s="61">
        <f t="shared" si="122"/>
        <v>-0.53</v>
      </c>
      <c r="AA86" s="61">
        <f t="shared" si="122"/>
        <v>-0.51</v>
      </c>
      <c r="AB86" s="61">
        <f t="shared" si="122"/>
        <v>-0.49</v>
      </c>
      <c r="AC86" s="61">
        <f t="shared" si="122"/>
        <v>-0.47</v>
      </c>
      <c r="AD86" s="61">
        <f t="shared" si="122"/>
        <v>-0.45</v>
      </c>
      <c r="AE86" s="61">
        <f t="shared" si="122"/>
        <v>-0.45</v>
      </c>
      <c r="AF86" s="61">
        <f t="shared" si="122"/>
        <v>-0.45</v>
      </c>
      <c r="AG86" s="61">
        <f t="shared" si="122"/>
        <v>-0.43</v>
      </c>
      <c r="AH86" s="61">
        <f t="shared" si="122"/>
        <v>-0.43</v>
      </c>
      <c r="AI86" s="61">
        <f t="shared" si="122"/>
        <v>-0.4</v>
      </c>
      <c r="AJ86" s="61">
        <f t="shared" si="122"/>
        <v>-0.38</v>
      </c>
      <c r="AK86" s="38"/>
      <c r="AL86" s="38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38"/>
      <c r="AZ86" s="38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38"/>
      <c r="BN86" s="38"/>
    </row>
    <row r="87">
      <c r="A87" s="38"/>
      <c r="B87" s="38"/>
      <c r="C87" s="38"/>
      <c r="D87" s="38"/>
      <c r="E87" s="38"/>
      <c r="F87" s="38" t="s">
        <v>152</v>
      </c>
      <c r="G87" s="38" t="s">
        <v>153</v>
      </c>
      <c r="H87" s="38"/>
      <c r="I87" s="35">
        <f t="shared" ref="I87:O87" si="123">I25/I3</f>
        <v>-0.8724142304</v>
      </c>
      <c r="J87" s="35">
        <f t="shared" si="123"/>
        <v>-0.8481867083</v>
      </c>
      <c r="K87" s="35">
        <f t="shared" si="123"/>
        <v>-1.059333623</v>
      </c>
      <c r="L87" s="35">
        <f t="shared" si="123"/>
        <v>-0.9428466233</v>
      </c>
      <c r="M87" s="35">
        <f t="shared" si="123"/>
        <v>-0.8979343381</v>
      </c>
      <c r="N87" s="35">
        <f t="shared" si="123"/>
        <v>-0.8885724844</v>
      </c>
      <c r="O87" s="35">
        <f t="shared" si="123"/>
        <v>-0.9173215777</v>
      </c>
      <c r="P87" s="38"/>
      <c r="Q87" s="35">
        <f t="shared" ref="Q87:W87" si="124">Q25/Q3</f>
        <v>-0.9134132588</v>
      </c>
      <c r="R87" s="35">
        <f t="shared" si="124"/>
        <v>-0.8302398758</v>
      </c>
      <c r="S87" s="35">
        <f t="shared" si="124"/>
        <v>-0.7564798058</v>
      </c>
      <c r="T87" s="35">
        <f t="shared" si="124"/>
        <v>-0.692887429</v>
      </c>
      <c r="U87" s="35">
        <f t="shared" si="124"/>
        <v>-0.6317117046</v>
      </c>
      <c r="V87" s="35">
        <f t="shared" si="124"/>
        <v>-0.5775337339</v>
      </c>
      <c r="W87" s="35">
        <f t="shared" si="124"/>
        <v>-0.7999288798</v>
      </c>
      <c r="X87" s="38"/>
      <c r="Y87" s="61">
        <v>-0.55</v>
      </c>
      <c r="Z87" s="61">
        <v>-0.53</v>
      </c>
      <c r="AA87" s="61">
        <v>-0.51</v>
      </c>
      <c r="AB87" s="61">
        <v>-0.49</v>
      </c>
      <c r="AC87" s="61">
        <v>-0.47</v>
      </c>
      <c r="AD87" s="61">
        <v>-0.45</v>
      </c>
      <c r="AE87" s="61">
        <v>-0.45</v>
      </c>
      <c r="AF87" s="61">
        <v>-0.45</v>
      </c>
      <c r="AG87" s="61">
        <v>-0.43</v>
      </c>
      <c r="AH87" s="61">
        <v>-0.43</v>
      </c>
      <c r="AI87" s="61">
        <v>-0.4</v>
      </c>
      <c r="AJ87" s="61">
        <v>-0.38</v>
      </c>
      <c r="AK87" s="38"/>
      <c r="AL87" s="38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38"/>
      <c r="AZ87" s="38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38"/>
      <c r="BN87" s="38"/>
    </row>
    <row r="88">
      <c r="A88" s="38"/>
      <c r="B88" s="38"/>
      <c r="C88" s="38"/>
      <c r="D88" s="38" t="s">
        <v>154</v>
      </c>
      <c r="E88" s="38" t="s">
        <v>93</v>
      </c>
      <c r="F88" s="38" t="s">
        <v>154</v>
      </c>
      <c r="G88" s="38"/>
      <c r="H88" s="38"/>
      <c r="I88" s="35">
        <f t="shared" ref="I88:O88" si="125">I28/I3</f>
        <v>-0.4666851304</v>
      </c>
      <c r="J88" s="35">
        <f t="shared" si="125"/>
        <v>-0.5176954904</v>
      </c>
      <c r="K88" s="35">
        <f t="shared" si="125"/>
        <v>-0.5456898096</v>
      </c>
      <c r="L88" s="35">
        <f t="shared" si="125"/>
        <v>-0.4763460532</v>
      </c>
      <c r="M88" s="35">
        <f t="shared" si="125"/>
        <v>-0.4247477643</v>
      </c>
      <c r="N88" s="35">
        <f t="shared" si="125"/>
        <v>-0.03467655514</v>
      </c>
      <c r="O88" s="35">
        <f t="shared" si="125"/>
        <v>-0.4091845736</v>
      </c>
      <c r="P88" s="38"/>
      <c r="Q88" s="35">
        <f t="shared" ref="Q88:W88" si="126">Q28/Q3</f>
        <v>-0.4627308585</v>
      </c>
      <c r="R88" s="35">
        <f t="shared" si="126"/>
        <v>-0.4220353477</v>
      </c>
      <c r="S88" s="35">
        <f t="shared" si="126"/>
        <v>-0.3853392434</v>
      </c>
      <c r="T88" s="35">
        <f t="shared" si="126"/>
        <v>-0.3526593223</v>
      </c>
      <c r="U88" s="35">
        <f t="shared" si="126"/>
        <v>-0.3211250711</v>
      </c>
      <c r="V88" s="35">
        <f t="shared" si="126"/>
        <v>-0.294668922</v>
      </c>
      <c r="W88" s="35">
        <f t="shared" si="126"/>
        <v>-0.382959449</v>
      </c>
      <c r="X88" s="38"/>
      <c r="Y88" s="56">
        <f t="shared" ref="Y88:AJ88" si="127">sum(Y89:Y92)</f>
        <v>-0.24</v>
      </c>
      <c r="Z88" s="56">
        <f t="shared" si="127"/>
        <v>-0.2338</v>
      </c>
      <c r="AA88" s="56">
        <f t="shared" si="127"/>
        <v>-0.2276</v>
      </c>
      <c r="AB88" s="56">
        <f t="shared" si="127"/>
        <v>-0.2214</v>
      </c>
      <c r="AC88" s="56">
        <f t="shared" si="127"/>
        <v>-0.2152</v>
      </c>
      <c r="AD88" s="56">
        <f t="shared" si="127"/>
        <v>-0.209</v>
      </c>
      <c r="AE88" s="56">
        <f t="shared" si="127"/>
        <v>-0.2028</v>
      </c>
      <c r="AF88" s="56">
        <f t="shared" si="127"/>
        <v>-0.1966</v>
      </c>
      <c r="AG88" s="56">
        <f t="shared" si="127"/>
        <v>-0.1904</v>
      </c>
      <c r="AH88" s="56">
        <f t="shared" si="127"/>
        <v>-0.1842</v>
      </c>
      <c r="AI88" s="56">
        <f t="shared" si="127"/>
        <v>-0.178</v>
      </c>
      <c r="AJ88" s="56">
        <f t="shared" si="127"/>
        <v>-0.1718</v>
      </c>
      <c r="AK88" s="38"/>
      <c r="AL88" s="38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38"/>
      <c r="AZ88" s="38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38"/>
      <c r="BN88" s="38"/>
    </row>
    <row r="89">
      <c r="A89" s="38"/>
      <c r="B89" s="38"/>
      <c r="C89" s="38"/>
      <c r="D89" s="38"/>
      <c r="E89" s="38"/>
      <c r="F89" s="38" t="s">
        <v>155</v>
      </c>
      <c r="G89" s="38" t="s">
        <v>156</v>
      </c>
      <c r="H89" s="38"/>
      <c r="I89" s="35">
        <f t="shared" ref="I89:O89" si="128">I29/I3</f>
        <v>-0.4666851304</v>
      </c>
      <c r="J89" s="35">
        <f t="shared" si="128"/>
        <v>-0.5176954904</v>
      </c>
      <c r="K89" s="35">
        <f t="shared" si="128"/>
        <v>-0.5456898096</v>
      </c>
      <c r="L89" s="35">
        <f t="shared" si="128"/>
        <v>-0.4763460532</v>
      </c>
      <c r="M89" s="35">
        <f t="shared" si="128"/>
        <v>-0.4247477643</v>
      </c>
      <c r="N89" s="35">
        <f t="shared" si="128"/>
        <v>-0.03467655514</v>
      </c>
      <c r="O89" s="35">
        <f t="shared" si="128"/>
        <v>-0.4091845736</v>
      </c>
      <c r="P89" s="44"/>
      <c r="Q89" s="35">
        <f t="shared" ref="Q89:W89" si="129">Q29/Q3</f>
        <v>-0.3761113419</v>
      </c>
      <c r="R89" s="35">
        <f t="shared" si="129"/>
        <v>-0.3418634783</v>
      </c>
      <c r="S89" s="35">
        <f t="shared" si="129"/>
        <v>-0.3114916847</v>
      </c>
      <c r="T89" s="35">
        <f t="shared" si="129"/>
        <v>-0.2853065884</v>
      </c>
      <c r="U89" s="35">
        <f t="shared" si="129"/>
        <v>-0.2601165843</v>
      </c>
      <c r="V89" s="35">
        <f t="shared" si="129"/>
        <v>-0.2378080081</v>
      </c>
      <c r="W89" s="35">
        <f t="shared" si="129"/>
        <v>-0.3424918836</v>
      </c>
      <c r="X89" s="44"/>
      <c r="Y89" s="56">
        <v>-0.2</v>
      </c>
      <c r="Z89" s="56">
        <v>-0.195</v>
      </c>
      <c r="AA89" s="56">
        <v>-0.19</v>
      </c>
      <c r="AB89" s="56">
        <v>-0.185</v>
      </c>
      <c r="AC89" s="56">
        <v>-0.18</v>
      </c>
      <c r="AD89" s="56">
        <v>-0.175</v>
      </c>
      <c r="AE89" s="56">
        <v>-0.17</v>
      </c>
      <c r="AF89" s="56">
        <v>-0.165</v>
      </c>
      <c r="AG89" s="56">
        <v>-0.16</v>
      </c>
      <c r="AH89" s="56">
        <v>-0.155</v>
      </c>
      <c r="AI89" s="56">
        <v>-0.15</v>
      </c>
      <c r="AJ89" s="56">
        <v>-0.145</v>
      </c>
      <c r="AK89" s="38"/>
      <c r="AL89" s="38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8"/>
      <c r="AZ89" s="38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8"/>
      <c r="BN89" s="38"/>
    </row>
    <row r="90">
      <c r="A90" s="38"/>
      <c r="B90" s="38"/>
      <c r="C90" s="38"/>
      <c r="D90" s="38"/>
      <c r="E90" s="38"/>
      <c r="F90" s="38" t="s">
        <v>157</v>
      </c>
      <c r="G90" s="38" t="s">
        <v>158</v>
      </c>
      <c r="H90" s="38"/>
      <c r="I90" s="35">
        <f t="shared" ref="I90:O90" si="130">I30/I3</f>
        <v>0</v>
      </c>
      <c r="J90" s="35">
        <f t="shared" si="130"/>
        <v>0</v>
      </c>
      <c r="K90" s="35">
        <f t="shared" si="130"/>
        <v>0</v>
      </c>
      <c r="L90" s="35">
        <f t="shared" si="130"/>
        <v>0</v>
      </c>
      <c r="M90" s="35">
        <f t="shared" si="130"/>
        <v>0</v>
      </c>
      <c r="N90" s="35">
        <f t="shared" si="130"/>
        <v>0</v>
      </c>
      <c r="O90" s="35">
        <f t="shared" si="130"/>
        <v>0</v>
      </c>
      <c r="P90" s="38"/>
      <c r="Q90" s="35">
        <f t="shared" ref="Q90:W90" si="131">Q30/Q3</f>
        <v>-0.01793298878</v>
      </c>
      <c r="R90" s="35">
        <f t="shared" si="131"/>
        <v>-0.01630005064</v>
      </c>
      <c r="S90" s="35">
        <f t="shared" si="131"/>
        <v>-0.01485192353</v>
      </c>
      <c r="T90" s="35">
        <f t="shared" si="131"/>
        <v>-0.01360341814</v>
      </c>
      <c r="U90" s="35">
        <f t="shared" si="131"/>
        <v>-0.01240235874</v>
      </c>
      <c r="V90" s="35">
        <f t="shared" si="131"/>
        <v>-0.01242343007</v>
      </c>
      <c r="W90" s="35">
        <f t="shared" si="131"/>
        <v>-0.008331994829</v>
      </c>
      <c r="X90" s="38"/>
      <c r="Y90" s="56">
        <v>-0.01</v>
      </c>
      <c r="Z90" s="56">
        <v>-0.0098</v>
      </c>
      <c r="AA90" s="56">
        <v>-0.0096</v>
      </c>
      <c r="AB90" s="56">
        <v>-0.0094</v>
      </c>
      <c r="AC90" s="56">
        <v>-0.0092</v>
      </c>
      <c r="AD90" s="56">
        <v>-0.009</v>
      </c>
      <c r="AE90" s="56">
        <v>-0.00880000000000001</v>
      </c>
      <c r="AF90" s="56">
        <v>-0.00860000000000001</v>
      </c>
      <c r="AG90" s="56">
        <v>-0.00840000000000001</v>
      </c>
      <c r="AH90" s="56">
        <v>-0.00820000000000001</v>
      </c>
      <c r="AI90" s="56">
        <v>-0.00800000000000001</v>
      </c>
      <c r="AJ90" s="56">
        <v>-0.00780000000000001</v>
      </c>
      <c r="AK90" s="38"/>
      <c r="AL90" s="38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38"/>
      <c r="AZ90" s="38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38"/>
      <c r="BN90" s="38"/>
    </row>
    <row r="91">
      <c r="A91" s="38"/>
      <c r="B91" s="38"/>
      <c r="C91" s="38"/>
      <c r="D91" s="38"/>
      <c r="E91" s="38"/>
      <c r="F91" s="38" t="s">
        <v>159</v>
      </c>
      <c r="G91" s="38" t="s">
        <v>160</v>
      </c>
      <c r="H91" s="38"/>
      <c r="I91" s="35">
        <f t="shared" ref="I91:O91" si="132">I31/I3</f>
        <v>0</v>
      </c>
      <c r="J91" s="35">
        <f t="shared" si="132"/>
        <v>0</v>
      </c>
      <c r="K91" s="35">
        <f t="shared" si="132"/>
        <v>0</v>
      </c>
      <c r="L91" s="35">
        <f t="shared" si="132"/>
        <v>0</v>
      </c>
      <c r="M91" s="35">
        <f t="shared" si="132"/>
        <v>0</v>
      </c>
      <c r="N91" s="35">
        <f t="shared" si="132"/>
        <v>0</v>
      </c>
      <c r="O91" s="35">
        <f t="shared" si="132"/>
        <v>0</v>
      </c>
      <c r="P91" s="38"/>
      <c r="Q91" s="35">
        <f t="shared" ref="Q91:W91" si="133">Q31/Q3</f>
        <v>-0.008149258174</v>
      </c>
      <c r="R91" s="35">
        <f t="shared" si="133"/>
        <v>-0.008846938442</v>
      </c>
      <c r="S91" s="35">
        <f t="shared" si="133"/>
        <v>-0.008859268502</v>
      </c>
      <c r="T91" s="35">
        <f t="shared" si="133"/>
        <v>-0.007827590044</v>
      </c>
      <c r="U91" s="35">
        <f t="shared" si="133"/>
        <v>-0.006738877508</v>
      </c>
      <c r="V91" s="35">
        <f t="shared" si="133"/>
        <v>-0.006160926038</v>
      </c>
      <c r="W91" s="35">
        <f t="shared" si="133"/>
        <v>-0.004450277711</v>
      </c>
      <c r="X91" s="38"/>
      <c r="Y91" s="56">
        <v>-0.005</v>
      </c>
      <c r="Z91" s="56">
        <v>-0.005</v>
      </c>
      <c r="AA91" s="56">
        <v>-0.005</v>
      </c>
      <c r="AB91" s="56">
        <v>-0.005</v>
      </c>
      <c r="AC91" s="56">
        <v>-0.005</v>
      </c>
      <c r="AD91" s="56">
        <v>-0.005</v>
      </c>
      <c r="AE91" s="56">
        <v>-0.005</v>
      </c>
      <c r="AF91" s="56">
        <v>-0.005</v>
      </c>
      <c r="AG91" s="56">
        <v>-0.005</v>
      </c>
      <c r="AH91" s="56">
        <v>-0.005</v>
      </c>
      <c r="AI91" s="56">
        <v>-0.005</v>
      </c>
      <c r="AJ91" s="56">
        <v>-0.005</v>
      </c>
      <c r="AK91" s="38"/>
      <c r="AL91" s="38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38"/>
      <c r="AZ91" s="38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38"/>
      <c r="BN91" s="38"/>
    </row>
    <row r="92">
      <c r="A92" s="38"/>
      <c r="B92" s="38"/>
      <c r="C92" s="38"/>
      <c r="D92" s="38"/>
      <c r="E92" s="38"/>
      <c r="F92" s="38" t="s">
        <v>161</v>
      </c>
      <c r="G92" s="38" t="s">
        <v>162</v>
      </c>
      <c r="H92" s="38"/>
      <c r="I92" s="35">
        <f t="shared" ref="I92:O92" si="134">I32/I3</f>
        <v>0</v>
      </c>
      <c r="J92" s="35">
        <f t="shared" si="134"/>
        <v>0</v>
      </c>
      <c r="K92" s="35">
        <f t="shared" si="134"/>
        <v>0</v>
      </c>
      <c r="L92" s="35">
        <f t="shared" si="134"/>
        <v>0</v>
      </c>
      <c r="M92" s="35">
        <f t="shared" si="134"/>
        <v>0</v>
      </c>
      <c r="N92" s="35">
        <f t="shared" si="134"/>
        <v>0</v>
      </c>
      <c r="O92" s="35">
        <f t="shared" si="134"/>
        <v>0</v>
      </c>
      <c r="P92" s="38"/>
      <c r="Q92" s="35">
        <f t="shared" ref="Q92:W92" si="135">Q32/Q3</f>
        <v>-0.06053726968</v>
      </c>
      <c r="R92" s="35">
        <f t="shared" si="135"/>
        <v>-0.05502488034</v>
      </c>
      <c r="S92" s="35">
        <f t="shared" si="135"/>
        <v>-0.05013636661</v>
      </c>
      <c r="T92" s="35">
        <f t="shared" si="135"/>
        <v>-0.04592172573</v>
      </c>
      <c r="U92" s="35">
        <f t="shared" si="135"/>
        <v>-0.04186725062</v>
      </c>
      <c r="V92" s="35">
        <f t="shared" si="135"/>
        <v>-0.0382765578</v>
      </c>
      <c r="W92" s="35">
        <f t="shared" si="135"/>
        <v>-0.02768529289</v>
      </c>
      <c r="X92" s="38"/>
      <c r="Y92" s="56">
        <v>-0.025</v>
      </c>
      <c r="Z92" s="56">
        <v>-0.024</v>
      </c>
      <c r="AA92" s="56">
        <v>-0.023</v>
      </c>
      <c r="AB92" s="56">
        <v>-0.022</v>
      </c>
      <c r="AC92" s="56">
        <v>-0.021</v>
      </c>
      <c r="AD92" s="56">
        <v>-0.02</v>
      </c>
      <c r="AE92" s="56">
        <v>-0.019</v>
      </c>
      <c r="AF92" s="56">
        <v>-0.018</v>
      </c>
      <c r="AG92" s="56">
        <v>-0.017</v>
      </c>
      <c r="AH92" s="56">
        <v>-0.016</v>
      </c>
      <c r="AI92" s="56">
        <v>-0.015</v>
      </c>
      <c r="AJ92" s="56">
        <v>-0.014</v>
      </c>
      <c r="AK92" s="38"/>
      <c r="AL92" s="38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38"/>
      <c r="AZ92" s="38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38"/>
      <c r="BN92" s="38"/>
    </row>
    <row r="93">
      <c r="A93" s="38"/>
      <c r="B93" s="38"/>
      <c r="C93" s="38"/>
      <c r="D93" s="38" t="s">
        <v>163</v>
      </c>
      <c r="E93" s="38" t="s">
        <v>93</v>
      </c>
      <c r="F93" s="38" t="s">
        <v>163</v>
      </c>
      <c r="G93" s="38"/>
      <c r="H93" s="38"/>
      <c r="I93" s="34">
        <f t="shared" ref="I93:N93" si="136">I35/I51</f>
        <v>-98720.6875</v>
      </c>
      <c r="J93" s="34">
        <f t="shared" si="136"/>
        <v>-31548.95652</v>
      </c>
      <c r="K93" s="34">
        <f t="shared" si="136"/>
        <v>-36737.18421</v>
      </c>
      <c r="L93" s="34">
        <f t="shared" si="136"/>
        <v>-42658.40541</v>
      </c>
      <c r="M93" s="34">
        <f t="shared" si="136"/>
        <v>-28694.85714</v>
      </c>
      <c r="N93" s="34">
        <f t="shared" si="136"/>
        <v>-21206.43056</v>
      </c>
      <c r="O93" s="38"/>
      <c r="P93" s="38"/>
      <c r="Q93" s="34">
        <f t="shared" ref="Q93:V93" si="137">Q35/Q51</f>
        <v>-24766.09</v>
      </c>
      <c r="R93" s="34">
        <f t="shared" si="137"/>
        <v>-18867.84962</v>
      </c>
      <c r="S93" s="34">
        <f t="shared" si="137"/>
        <v>-16405.86986</v>
      </c>
      <c r="T93" s="34">
        <f t="shared" si="137"/>
        <v>-15196.12</v>
      </c>
      <c r="U93" s="34">
        <f t="shared" si="137"/>
        <v>-13054.74138</v>
      </c>
      <c r="V93" s="34">
        <f t="shared" si="137"/>
        <v>-13006.96721</v>
      </c>
      <c r="W93" s="38"/>
      <c r="X93" s="38"/>
      <c r="Y93" s="34">
        <f t="shared" ref="Y93:AJ93" si="138">Y94</f>
        <v>-14000</v>
      </c>
      <c r="Z93" s="34">
        <f t="shared" si="138"/>
        <v>-14000</v>
      </c>
      <c r="AA93" s="34">
        <f t="shared" si="138"/>
        <v>-14000</v>
      </c>
      <c r="AB93" s="34">
        <f t="shared" si="138"/>
        <v>-14000</v>
      </c>
      <c r="AC93" s="34">
        <f t="shared" si="138"/>
        <v>-14000</v>
      </c>
      <c r="AD93" s="34">
        <f t="shared" si="138"/>
        <v>-14000</v>
      </c>
      <c r="AE93" s="34">
        <f t="shared" si="138"/>
        <v>-14000</v>
      </c>
      <c r="AF93" s="34">
        <f t="shared" si="138"/>
        <v>-14000</v>
      </c>
      <c r="AG93" s="34">
        <f t="shared" si="138"/>
        <v>-14000</v>
      </c>
      <c r="AH93" s="34">
        <f t="shared" si="138"/>
        <v>-14000</v>
      </c>
      <c r="AI93" s="34">
        <f t="shared" si="138"/>
        <v>-14000</v>
      </c>
      <c r="AJ93" s="34">
        <f t="shared" si="138"/>
        <v>-14000</v>
      </c>
      <c r="AK93" s="38"/>
      <c r="AL93" s="38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8"/>
      <c r="AZ93" s="38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8"/>
      <c r="BN93" s="38"/>
    </row>
    <row r="94">
      <c r="A94" s="38"/>
      <c r="B94" s="38"/>
      <c r="C94" s="38"/>
      <c r="D94" s="38"/>
      <c r="E94" s="38"/>
      <c r="F94" s="38" t="s">
        <v>164</v>
      </c>
      <c r="G94" s="38" t="s">
        <v>165</v>
      </c>
      <c r="H94" s="38"/>
      <c r="I94" s="34">
        <f t="shared" ref="I94:N94" si="139">I36/I51</f>
        <v>-98720.6875</v>
      </c>
      <c r="J94" s="34">
        <f t="shared" si="139"/>
        <v>-31548.95652</v>
      </c>
      <c r="K94" s="34">
        <f t="shared" si="139"/>
        <v>-36737.18421</v>
      </c>
      <c r="L94" s="34">
        <f t="shared" si="139"/>
        <v>-42658.40541</v>
      </c>
      <c r="M94" s="34">
        <f t="shared" si="139"/>
        <v>-28694.85714</v>
      </c>
      <c r="N94" s="34">
        <f t="shared" si="139"/>
        <v>-21206.43056</v>
      </c>
      <c r="O94" s="38"/>
      <c r="P94" s="38"/>
      <c r="Q94" s="34">
        <f t="shared" ref="Q94:V94" si="140">Q36/Q51</f>
        <v>-24766.09</v>
      </c>
      <c r="R94" s="34">
        <f t="shared" si="140"/>
        <v>-18867.84962</v>
      </c>
      <c r="S94" s="34">
        <f t="shared" si="140"/>
        <v>-16405.86986</v>
      </c>
      <c r="T94" s="34">
        <f t="shared" si="140"/>
        <v>-15196.12</v>
      </c>
      <c r="U94" s="34">
        <f t="shared" si="140"/>
        <v>-13054.74138</v>
      </c>
      <c r="V94" s="34">
        <f t="shared" si="140"/>
        <v>-13006.96721</v>
      </c>
      <c r="W94" s="38"/>
      <c r="X94" s="38"/>
      <c r="Y94" s="34">
        <v>-14000.0</v>
      </c>
      <c r="Z94" s="34">
        <v>-14000.0</v>
      </c>
      <c r="AA94" s="34">
        <v>-14000.0</v>
      </c>
      <c r="AB94" s="34">
        <v>-14000.0</v>
      </c>
      <c r="AC94" s="34">
        <v>-14000.0</v>
      </c>
      <c r="AD94" s="34">
        <v>-14000.0</v>
      </c>
      <c r="AE94" s="34">
        <v>-14000.0</v>
      </c>
      <c r="AF94" s="34">
        <v>-14000.0</v>
      </c>
      <c r="AG94" s="34">
        <v>-14000.0</v>
      </c>
      <c r="AH94" s="34">
        <v>-14000.0</v>
      </c>
      <c r="AI94" s="34">
        <v>-14000.0</v>
      </c>
      <c r="AJ94" s="34">
        <v>-14000.0</v>
      </c>
      <c r="AK94" s="38"/>
      <c r="AL94" s="38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8"/>
      <c r="AZ94" s="38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8"/>
      <c r="BN94" s="38"/>
    </row>
    <row r="95">
      <c r="A95" s="38"/>
      <c r="B95" s="38"/>
      <c r="C95" s="38"/>
      <c r="D95" s="38" t="s">
        <v>138</v>
      </c>
      <c r="E95" s="38" t="s">
        <v>93</v>
      </c>
      <c r="F95" s="38" t="s">
        <v>138</v>
      </c>
      <c r="G95" s="38"/>
      <c r="H95" s="38"/>
      <c r="I95" s="35">
        <f t="shared" ref="I95:N95" si="141">I19/I$3</f>
        <v>0.0000004697504938</v>
      </c>
      <c r="J95" s="35">
        <f t="shared" si="141"/>
        <v>0.0000004716291351</v>
      </c>
      <c r="K95" s="35">
        <f t="shared" si="141"/>
        <v>0.0000004676154683</v>
      </c>
      <c r="L95" s="35">
        <f t="shared" si="141"/>
        <v>0.0000004736522803</v>
      </c>
      <c r="M95" s="35">
        <f t="shared" si="141"/>
        <v>0.0000004569137215</v>
      </c>
      <c r="N95" s="35">
        <f t="shared" si="141"/>
        <v>0.0000004617926431</v>
      </c>
      <c r="O95" s="38"/>
      <c r="P95" s="38"/>
      <c r="Q95" s="35">
        <f t="shared" ref="Q95:V95" si="142">Q19/Q$3</f>
        <v>0.0000003952021423</v>
      </c>
      <c r="R95" s="35">
        <f t="shared" si="142"/>
        <v>0.0000004035032708</v>
      </c>
      <c r="S95" s="35">
        <f t="shared" si="142"/>
        <v>0.0000003702198532</v>
      </c>
      <c r="T95" s="35">
        <f t="shared" si="142"/>
        <v>0.0000003375450747</v>
      </c>
      <c r="U95" s="35">
        <f t="shared" si="142"/>
        <v>0.000000312259503</v>
      </c>
      <c r="V95" s="35">
        <f t="shared" si="142"/>
        <v>0.0000002860225227</v>
      </c>
      <c r="W95" s="38"/>
      <c r="X95" s="38"/>
      <c r="Y95" s="35">
        <f t="shared" ref="Y95:AJ95" si="143">sum(Y96:Y98)</f>
        <v>-0.164</v>
      </c>
      <c r="Z95" s="35">
        <f t="shared" si="143"/>
        <v>-0.163</v>
      </c>
      <c r="AA95" s="35">
        <f t="shared" si="143"/>
        <v>-0.162</v>
      </c>
      <c r="AB95" s="35">
        <f t="shared" si="143"/>
        <v>-0.161</v>
      </c>
      <c r="AC95" s="35">
        <f t="shared" si="143"/>
        <v>-0.16</v>
      </c>
      <c r="AD95" s="35">
        <f t="shared" si="143"/>
        <v>-0.159</v>
      </c>
      <c r="AE95" s="35">
        <f t="shared" si="143"/>
        <v>-0.158</v>
      </c>
      <c r="AF95" s="35">
        <f t="shared" si="143"/>
        <v>-0.157</v>
      </c>
      <c r="AG95" s="35">
        <f t="shared" si="143"/>
        <v>-0.156</v>
      </c>
      <c r="AH95" s="35">
        <f t="shared" si="143"/>
        <v>-0.155</v>
      </c>
      <c r="AI95" s="35">
        <f t="shared" si="143"/>
        <v>-0.154</v>
      </c>
      <c r="AJ95" s="35">
        <f t="shared" si="143"/>
        <v>-0.153</v>
      </c>
      <c r="AK95" s="38"/>
      <c r="AL95" s="38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8"/>
      <c r="AZ95" s="38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8"/>
      <c r="BN95" s="38"/>
    </row>
    <row r="96">
      <c r="A96" s="38"/>
      <c r="B96" s="38"/>
      <c r="C96" s="38"/>
      <c r="D96" s="38"/>
      <c r="E96" s="38"/>
      <c r="F96" s="38" t="s">
        <v>139</v>
      </c>
      <c r="G96" s="38" t="s">
        <v>140</v>
      </c>
      <c r="H96" s="38"/>
      <c r="I96" s="35">
        <f t="shared" ref="I96:N96" si="144">I20/I$3</f>
        <v>0.001794530987</v>
      </c>
      <c r="J96" s="35">
        <f t="shared" si="144"/>
        <v>0.02575830357</v>
      </c>
      <c r="K96" s="35">
        <f t="shared" si="144"/>
        <v>0.01749400227</v>
      </c>
      <c r="L96" s="35">
        <f t="shared" si="144"/>
        <v>0.01709794941</v>
      </c>
      <c r="M96" s="35">
        <f t="shared" si="144"/>
        <v>0.01462069093</v>
      </c>
      <c r="N96" s="35">
        <f t="shared" si="144"/>
        <v>0.01239278698</v>
      </c>
      <c r="O96" s="38"/>
      <c r="P96" s="38"/>
      <c r="Q96" s="35">
        <f t="shared" ref="Q96:V96" si="145">Q20/Q$3</f>
        <v>0</v>
      </c>
      <c r="R96" s="35">
        <f t="shared" si="145"/>
        <v>0</v>
      </c>
      <c r="S96" s="35">
        <f t="shared" si="145"/>
        <v>0</v>
      </c>
      <c r="T96" s="35">
        <f t="shared" si="145"/>
        <v>0</v>
      </c>
      <c r="U96" s="35">
        <f t="shared" si="145"/>
        <v>0</v>
      </c>
      <c r="V96" s="35">
        <f t="shared" si="145"/>
        <v>0</v>
      </c>
      <c r="W96" s="38"/>
      <c r="X96" s="38"/>
      <c r="Y96" s="35">
        <v>-0.099</v>
      </c>
      <c r="Z96" s="35">
        <v>-0.098</v>
      </c>
      <c r="AA96" s="35">
        <v>-0.097</v>
      </c>
      <c r="AB96" s="35">
        <v>-0.096</v>
      </c>
      <c r="AC96" s="35">
        <v>-0.095</v>
      </c>
      <c r="AD96" s="35">
        <v>-0.094</v>
      </c>
      <c r="AE96" s="35">
        <v>-0.093</v>
      </c>
      <c r="AF96" s="35">
        <v>-0.092</v>
      </c>
      <c r="AG96" s="35">
        <v>-0.091</v>
      </c>
      <c r="AH96" s="35">
        <v>-0.09</v>
      </c>
      <c r="AI96" s="35">
        <v>-0.089</v>
      </c>
      <c r="AJ96" s="35">
        <v>-0.088</v>
      </c>
      <c r="AK96" s="38"/>
      <c r="AL96" s="38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8"/>
      <c r="AZ96" s="38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8"/>
      <c r="BN96" s="38"/>
    </row>
    <row r="97">
      <c r="A97" s="38"/>
      <c r="B97" s="38"/>
      <c r="C97" s="38"/>
      <c r="D97" s="38"/>
      <c r="E97" s="38"/>
      <c r="F97" s="38" t="s">
        <v>141</v>
      </c>
      <c r="G97" s="38" t="s">
        <v>142</v>
      </c>
      <c r="H97" s="38"/>
      <c r="I97" s="35">
        <f t="shared" ref="I97:N97" si="146">I21/I$3</f>
        <v>0.001794530987</v>
      </c>
      <c r="J97" s="35">
        <f t="shared" si="146"/>
        <v>0.02575830357</v>
      </c>
      <c r="K97" s="35">
        <f t="shared" si="146"/>
        <v>0.01749400227</v>
      </c>
      <c r="L97" s="35">
        <f t="shared" si="146"/>
        <v>0.01709794941</v>
      </c>
      <c r="M97" s="35">
        <f t="shared" si="146"/>
        <v>0.01462069093</v>
      </c>
      <c r="N97" s="35">
        <f t="shared" si="146"/>
        <v>0.01239278698</v>
      </c>
      <c r="O97" s="38"/>
      <c r="P97" s="38"/>
      <c r="Q97" s="35">
        <f t="shared" ref="Q97:V97" si="147">Q21/Q$3</f>
        <v>0</v>
      </c>
      <c r="R97" s="35">
        <f t="shared" si="147"/>
        <v>0</v>
      </c>
      <c r="S97" s="35">
        <f t="shared" si="147"/>
        <v>0</v>
      </c>
      <c r="T97" s="35">
        <f t="shared" si="147"/>
        <v>0</v>
      </c>
      <c r="U97" s="35">
        <f t="shared" si="147"/>
        <v>0</v>
      </c>
      <c r="V97" s="35">
        <f t="shared" si="147"/>
        <v>0</v>
      </c>
      <c r="W97" s="38"/>
      <c r="X97" s="38"/>
      <c r="Y97" s="35">
        <v>-0.03</v>
      </c>
      <c r="Z97" s="35">
        <v>-0.03</v>
      </c>
      <c r="AA97" s="35">
        <v>-0.03</v>
      </c>
      <c r="AB97" s="35">
        <v>-0.03</v>
      </c>
      <c r="AC97" s="35">
        <v>-0.03</v>
      </c>
      <c r="AD97" s="35">
        <v>-0.03</v>
      </c>
      <c r="AE97" s="35">
        <v>-0.03</v>
      </c>
      <c r="AF97" s="35">
        <v>-0.03</v>
      </c>
      <c r="AG97" s="35">
        <v>-0.03</v>
      </c>
      <c r="AH97" s="35">
        <v>-0.03</v>
      </c>
      <c r="AI97" s="35">
        <v>-0.03</v>
      </c>
      <c r="AJ97" s="35">
        <v>-0.03</v>
      </c>
      <c r="AK97" s="38"/>
      <c r="AL97" s="38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8"/>
      <c r="AZ97" s="38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8"/>
      <c r="BN97" s="38"/>
    </row>
    <row r="98">
      <c r="A98" s="38"/>
      <c r="B98" s="38"/>
      <c r="C98" s="38"/>
      <c r="D98" s="38"/>
      <c r="E98" s="38"/>
      <c r="F98" s="38" t="s">
        <v>143</v>
      </c>
      <c r="G98" s="38" t="s">
        <v>144</v>
      </c>
      <c r="H98" s="38"/>
      <c r="I98" s="35">
        <f t="shared" ref="I98:N98" si="148">I22/I$3</f>
        <v>0.02037510483</v>
      </c>
      <c r="J98" s="35">
        <f t="shared" si="148"/>
        <v>0.02762868129</v>
      </c>
      <c r="K98" s="35">
        <f t="shared" si="148"/>
        <v>0.02238327429</v>
      </c>
      <c r="L98" s="35">
        <f t="shared" si="148"/>
        <v>0.04076519687</v>
      </c>
      <c r="M98" s="35">
        <f t="shared" si="148"/>
        <v>0.01971778613</v>
      </c>
      <c r="N98" s="35">
        <f t="shared" si="148"/>
        <v>0.03495646129</v>
      </c>
      <c r="O98" s="38"/>
      <c r="P98" s="38"/>
      <c r="Q98" s="35">
        <f t="shared" ref="Q98:V98" si="149">Q22/Q$3</f>
        <v>0</v>
      </c>
      <c r="R98" s="35">
        <f t="shared" si="149"/>
        <v>0</v>
      </c>
      <c r="S98" s="35">
        <f t="shared" si="149"/>
        <v>0</v>
      </c>
      <c r="T98" s="35">
        <f t="shared" si="149"/>
        <v>0</v>
      </c>
      <c r="U98" s="35">
        <f t="shared" si="149"/>
        <v>0</v>
      </c>
      <c r="V98" s="35">
        <f t="shared" si="149"/>
        <v>0</v>
      </c>
      <c r="W98" s="38"/>
      <c r="X98" s="38"/>
      <c r="Y98" s="35">
        <v>-0.035</v>
      </c>
      <c r="Z98" s="35">
        <v>-0.035</v>
      </c>
      <c r="AA98" s="35">
        <v>-0.035</v>
      </c>
      <c r="AB98" s="35">
        <v>-0.035</v>
      </c>
      <c r="AC98" s="35">
        <v>-0.035</v>
      </c>
      <c r="AD98" s="35">
        <v>-0.035</v>
      </c>
      <c r="AE98" s="35">
        <v>-0.035</v>
      </c>
      <c r="AF98" s="35">
        <v>-0.035</v>
      </c>
      <c r="AG98" s="35">
        <v>-0.035</v>
      </c>
      <c r="AH98" s="35">
        <v>-0.035</v>
      </c>
      <c r="AI98" s="35">
        <v>-0.035</v>
      </c>
      <c r="AJ98" s="35">
        <v>-0.035</v>
      </c>
      <c r="AK98" s="38"/>
      <c r="AL98" s="38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8"/>
      <c r="AZ98" s="38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8"/>
      <c r="BN98" s="38"/>
    </row>
    <row r="99">
      <c r="A99" s="38"/>
      <c r="B99" s="38"/>
      <c r="C99" s="38"/>
      <c r="D99" s="38" t="s">
        <v>145</v>
      </c>
      <c r="E99" s="38" t="s">
        <v>93</v>
      </c>
      <c r="F99" s="38" t="s">
        <v>145</v>
      </c>
      <c r="G99" s="38"/>
      <c r="H99" s="38"/>
      <c r="I99" s="35">
        <f t="shared" ref="I99:N99" si="150">I23/I$3</f>
        <v>0.02037510483</v>
      </c>
      <c r="J99" s="35">
        <f t="shared" si="150"/>
        <v>0.02762868129</v>
      </c>
      <c r="K99" s="35">
        <f t="shared" si="150"/>
        <v>0.02238327429</v>
      </c>
      <c r="L99" s="35">
        <f t="shared" si="150"/>
        <v>0.04076519687</v>
      </c>
      <c r="M99" s="35">
        <f t="shared" si="150"/>
        <v>0.01971778613</v>
      </c>
      <c r="N99" s="35">
        <f t="shared" si="150"/>
        <v>0.03495646129</v>
      </c>
      <c r="O99" s="38"/>
      <c r="P99" s="38"/>
      <c r="Q99" s="35">
        <f t="shared" ref="Q99:V99" si="151">Q23/Q$3</f>
        <v>0</v>
      </c>
      <c r="R99" s="35">
        <f t="shared" si="151"/>
        <v>0</v>
      </c>
      <c r="S99" s="35">
        <f t="shared" si="151"/>
        <v>0</v>
      </c>
      <c r="T99" s="35">
        <f t="shared" si="151"/>
        <v>0</v>
      </c>
      <c r="U99" s="35">
        <f t="shared" si="151"/>
        <v>0</v>
      </c>
      <c r="V99" s="35">
        <f t="shared" si="151"/>
        <v>0</v>
      </c>
      <c r="W99" s="38"/>
      <c r="X99" s="38"/>
      <c r="Y99" s="35">
        <f t="shared" ref="Y99:AJ99" si="152">Y100</f>
        <v>-0.009</v>
      </c>
      <c r="Z99" s="35">
        <f t="shared" si="152"/>
        <v>-0.009</v>
      </c>
      <c r="AA99" s="35">
        <f t="shared" si="152"/>
        <v>-0.009</v>
      </c>
      <c r="AB99" s="35">
        <f t="shared" si="152"/>
        <v>-0.009</v>
      </c>
      <c r="AC99" s="35">
        <f t="shared" si="152"/>
        <v>-0.009</v>
      </c>
      <c r="AD99" s="35">
        <f t="shared" si="152"/>
        <v>-0.009</v>
      </c>
      <c r="AE99" s="35">
        <f t="shared" si="152"/>
        <v>-0.009</v>
      </c>
      <c r="AF99" s="35">
        <f t="shared" si="152"/>
        <v>-0.009</v>
      </c>
      <c r="AG99" s="35">
        <f t="shared" si="152"/>
        <v>-0.009</v>
      </c>
      <c r="AH99" s="35">
        <f t="shared" si="152"/>
        <v>-0.009</v>
      </c>
      <c r="AI99" s="35">
        <f t="shared" si="152"/>
        <v>-0.009</v>
      </c>
      <c r="AJ99" s="35">
        <f t="shared" si="152"/>
        <v>-0.009</v>
      </c>
      <c r="AK99" s="38"/>
      <c r="AL99" s="38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8"/>
      <c r="AZ99" s="38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8"/>
      <c r="BN99" s="38"/>
    </row>
    <row r="100">
      <c r="A100" s="38"/>
      <c r="B100" s="38"/>
      <c r="C100" s="38"/>
      <c r="D100" s="38"/>
      <c r="E100" s="38"/>
      <c r="F100" s="38" t="s">
        <v>145</v>
      </c>
      <c r="G100" s="38" t="s">
        <v>146</v>
      </c>
      <c r="H100" s="38"/>
      <c r="I100" s="35">
        <f t="shared" ref="I100:N100" si="153">I24/I$3</f>
        <v>-0.8724142304</v>
      </c>
      <c r="J100" s="35">
        <f t="shared" si="153"/>
        <v>-0.8481867083</v>
      </c>
      <c r="K100" s="35">
        <f t="shared" si="153"/>
        <v>-1.059333623</v>
      </c>
      <c r="L100" s="35">
        <f t="shared" si="153"/>
        <v>-0.9428466233</v>
      </c>
      <c r="M100" s="35">
        <f t="shared" si="153"/>
        <v>-0.8979343381</v>
      </c>
      <c r="N100" s="35">
        <f t="shared" si="153"/>
        <v>-0.8885724844</v>
      </c>
      <c r="O100" s="38"/>
      <c r="P100" s="38"/>
      <c r="Q100" s="35">
        <f t="shared" ref="Q100:V100" si="154">Q24/Q$3</f>
        <v>-0.9134132588</v>
      </c>
      <c r="R100" s="35">
        <f t="shared" si="154"/>
        <v>-0.8302398758</v>
      </c>
      <c r="S100" s="35">
        <f t="shared" si="154"/>
        <v>-0.7564798058</v>
      </c>
      <c r="T100" s="35">
        <f t="shared" si="154"/>
        <v>-0.692887429</v>
      </c>
      <c r="U100" s="35">
        <f t="shared" si="154"/>
        <v>-0.6317117046</v>
      </c>
      <c r="V100" s="35">
        <f t="shared" si="154"/>
        <v>-0.5775337339</v>
      </c>
      <c r="W100" s="38"/>
      <c r="X100" s="38"/>
      <c r="Y100" s="35">
        <v>-0.009</v>
      </c>
      <c r="Z100" s="35">
        <v>-0.009</v>
      </c>
      <c r="AA100" s="35">
        <v>-0.009</v>
      </c>
      <c r="AB100" s="35">
        <v>-0.009</v>
      </c>
      <c r="AC100" s="35">
        <v>-0.009</v>
      </c>
      <c r="AD100" s="35">
        <v>-0.009</v>
      </c>
      <c r="AE100" s="35">
        <v>-0.009</v>
      </c>
      <c r="AF100" s="35">
        <v>-0.009</v>
      </c>
      <c r="AG100" s="35">
        <v>-0.009</v>
      </c>
      <c r="AH100" s="35">
        <v>-0.009</v>
      </c>
      <c r="AI100" s="35">
        <v>-0.009</v>
      </c>
      <c r="AJ100" s="35">
        <v>-0.009</v>
      </c>
      <c r="AK100" s="38"/>
      <c r="AL100" s="38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8"/>
      <c r="AZ100" s="38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8"/>
      <c r="BN100" s="38"/>
    </row>
    <row r="101">
      <c r="A101" s="38"/>
      <c r="B101" s="38"/>
      <c r="C101" s="38"/>
      <c r="D101" s="38" t="s">
        <v>147</v>
      </c>
      <c r="E101" s="38" t="s">
        <v>93</v>
      </c>
      <c r="F101" s="38" t="s">
        <v>147</v>
      </c>
      <c r="G101" s="38"/>
      <c r="H101" s="38"/>
      <c r="I101" s="52">
        <f t="shared" ref="I101:N101" si="155">I102</f>
        <v>0</v>
      </c>
      <c r="J101" s="52">
        <f t="shared" si="155"/>
        <v>0</v>
      </c>
      <c r="K101" s="52">
        <f t="shared" si="155"/>
        <v>0</v>
      </c>
      <c r="L101" s="52">
        <f t="shared" si="155"/>
        <v>0</v>
      </c>
      <c r="M101" s="52">
        <f t="shared" si="155"/>
        <v>0</v>
      </c>
      <c r="N101" s="52">
        <f t="shared" si="155"/>
        <v>0</v>
      </c>
      <c r="O101" s="38"/>
      <c r="P101" s="38"/>
      <c r="Q101" s="52">
        <f t="shared" ref="Q101:V101" si="156">Q102</f>
        <v>182468.5714</v>
      </c>
      <c r="R101" s="52">
        <f t="shared" si="156"/>
        <v>337967.425</v>
      </c>
      <c r="S101" s="52">
        <f t="shared" si="156"/>
        <v>293680.546</v>
      </c>
      <c r="T101" s="52">
        <f t="shared" si="156"/>
        <v>274612.416</v>
      </c>
      <c r="U101" s="52">
        <f t="shared" si="156"/>
        <v>294266.8472</v>
      </c>
      <c r="V101" s="52">
        <f t="shared" si="156"/>
        <v>316196.3297</v>
      </c>
      <c r="W101" s="38"/>
      <c r="X101" s="38"/>
      <c r="Y101" s="52">
        <f t="shared" ref="Y101:AJ101" si="157">Y102</f>
        <v>2350</v>
      </c>
      <c r="Z101" s="52">
        <f t="shared" si="157"/>
        <v>2350</v>
      </c>
      <c r="AA101" s="52">
        <f t="shared" si="157"/>
        <v>2350</v>
      </c>
      <c r="AB101" s="52">
        <f t="shared" si="157"/>
        <v>2350</v>
      </c>
      <c r="AC101" s="52">
        <f t="shared" si="157"/>
        <v>2350</v>
      </c>
      <c r="AD101" s="52">
        <f t="shared" si="157"/>
        <v>2350</v>
      </c>
      <c r="AE101" s="52">
        <f t="shared" si="157"/>
        <v>2350</v>
      </c>
      <c r="AF101" s="52">
        <f t="shared" si="157"/>
        <v>2350</v>
      </c>
      <c r="AG101" s="52">
        <f t="shared" si="157"/>
        <v>2350</v>
      </c>
      <c r="AH101" s="52">
        <f t="shared" si="157"/>
        <v>2350</v>
      </c>
      <c r="AI101" s="52">
        <f t="shared" si="157"/>
        <v>2350</v>
      </c>
      <c r="AJ101" s="52">
        <f t="shared" si="157"/>
        <v>2350</v>
      </c>
      <c r="AK101" s="38"/>
      <c r="AL101" s="38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38"/>
      <c r="AZ101" s="38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38"/>
      <c r="BN101" s="38"/>
    </row>
    <row r="102">
      <c r="A102" s="38"/>
      <c r="B102" s="38"/>
      <c r="C102" s="38"/>
      <c r="D102" s="38"/>
      <c r="E102" s="38"/>
      <c r="F102" s="38" t="s">
        <v>147</v>
      </c>
      <c r="G102" s="38" t="s">
        <v>148</v>
      </c>
      <c r="H102" s="38"/>
      <c r="I102" s="52">
        <f t="shared" ref="I102:N102" si="158">I30/I$76</f>
        <v>0</v>
      </c>
      <c r="J102" s="52">
        <f t="shared" si="158"/>
        <v>0</v>
      </c>
      <c r="K102" s="52">
        <f t="shared" si="158"/>
        <v>0</v>
      </c>
      <c r="L102" s="52">
        <f t="shared" si="158"/>
        <v>0</v>
      </c>
      <c r="M102" s="52">
        <f t="shared" si="158"/>
        <v>0</v>
      </c>
      <c r="N102" s="52">
        <f t="shared" si="158"/>
        <v>0</v>
      </c>
      <c r="O102" s="38"/>
      <c r="P102" s="38"/>
      <c r="Q102" s="52">
        <f t="shared" ref="Q102:V102" si="159">Q30/Q$76</f>
        <v>182468.5714</v>
      </c>
      <c r="R102" s="52">
        <f t="shared" si="159"/>
        <v>337967.425</v>
      </c>
      <c r="S102" s="52">
        <f t="shared" si="159"/>
        <v>293680.546</v>
      </c>
      <c r="T102" s="52">
        <f t="shared" si="159"/>
        <v>274612.416</v>
      </c>
      <c r="U102" s="52">
        <f t="shared" si="159"/>
        <v>294266.8472</v>
      </c>
      <c r="V102" s="52">
        <f t="shared" si="159"/>
        <v>316196.3297</v>
      </c>
      <c r="W102" s="38"/>
      <c r="X102" s="38"/>
      <c r="Y102" s="52">
        <v>2350.0</v>
      </c>
      <c r="Z102" s="52">
        <v>2350.0</v>
      </c>
      <c r="AA102" s="52">
        <v>2350.0</v>
      </c>
      <c r="AB102" s="52">
        <v>2350.0</v>
      </c>
      <c r="AC102" s="52">
        <v>2350.0</v>
      </c>
      <c r="AD102" s="52">
        <v>2350.0</v>
      </c>
      <c r="AE102" s="52">
        <v>2350.0</v>
      </c>
      <c r="AF102" s="52">
        <v>2350.0</v>
      </c>
      <c r="AG102" s="52">
        <v>2350.0</v>
      </c>
      <c r="AH102" s="52">
        <v>2350.0</v>
      </c>
      <c r="AI102" s="52">
        <v>2350.0</v>
      </c>
      <c r="AJ102" s="52">
        <v>2350.0</v>
      </c>
      <c r="AK102" s="38"/>
      <c r="AL102" s="38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38"/>
      <c r="AZ102" s="38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38"/>
      <c r="BN102" s="38"/>
    </row>
    <row r="103">
      <c r="A103" s="38"/>
      <c r="B103" s="38"/>
      <c r="C103" s="38"/>
      <c r="D103" s="38" t="s">
        <v>149</v>
      </c>
      <c r="E103" s="38" t="s">
        <v>93</v>
      </c>
      <c r="F103" s="38" t="s">
        <v>150</v>
      </c>
      <c r="G103" s="38"/>
      <c r="H103" s="38"/>
      <c r="I103" s="52">
        <f t="shared" ref="I103:N103" si="160">I104</f>
        <v>0</v>
      </c>
      <c r="J103" s="52">
        <f t="shared" si="160"/>
        <v>0</v>
      </c>
      <c r="K103" s="52">
        <f t="shared" si="160"/>
        <v>0</v>
      </c>
      <c r="L103" s="52">
        <f t="shared" si="160"/>
        <v>0</v>
      </c>
      <c r="M103" s="52">
        <f t="shared" si="160"/>
        <v>0</v>
      </c>
      <c r="N103" s="52">
        <f t="shared" si="160"/>
        <v>0</v>
      </c>
      <c r="O103" s="38"/>
      <c r="P103" s="38"/>
      <c r="Q103" s="52">
        <f t="shared" ref="Q103:V103" si="161">Q104</f>
        <v>615968.1051</v>
      </c>
      <c r="R103" s="52">
        <f t="shared" si="161"/>
        <v>1140893.211</v>
      </c>
      <c r="S103" s="52">
        <f t="shared" si="161"/>
        <v>991391.8217</v>
      </c>
      <c r="T103" s="52">
        <f t="shared" si="161"/>
        <v>927022.5999</v>
      </c>
      <c r="U103" s="52">
        <f t="shared" si="161"/>
        <v>993371.0274</v>
      </c>
      <c r="V103" s="52">
        <f t="shared" si="161"/>
        <v>974200.1223</v>
      </c>
      <c r="W103" s="38"/>
      <c r="X103" s="38"/>
      <c r="Y103" s="52">
        <f t="shared" ref="Y103:AJ103" si="162">Y104</f>
        <v>5250</v>
      </c>
      <c r="Z103" s="52">
        <f t="shared" si="162"/>
        <v>5250</v>
      </c>
      <c r="AA103" s="52">
        <f t="shared" si="162"/>
        <v>5250</v>
      </c>
      <c r="AB103" s="52">
        <f t="shared" si="162"/>
        <v>5250</v>
      </c>
      <c r="AC103" s="52">
        <f t="shared" si="162"/>
        <v>5250</v>
      </c>
      <c r="AD103" s="52">
        <f t="shared" si="162"/>
        <v>5250</v>
      </c>
      <c r="AE103" s="52">
        <f t="shared" si="162"/>
        <v>5250</v>
      </c>
      <c r="AF103" s="52">
        <f t="shared" si="162"/>
        <v>5250</v>
      </c>
      <c r="AG103" s="52">
        <f t="shared" si="162"/>
        <v>5250</v>
      </c>
      <c r="AH103" s="52">
        <f t="shared" si="162"/>
        <v>5250</v>
      </c>
      <c r="AI103" s="52">
        <f t="shared" si="162"/>
        <v>5250</v>
      </c>
      <c r="AJ103" s="52">
        <f t="shared" si="162"/>
        <v>5250</v>
      </c>
      <c r="AK103" s="38"/>
      <c r="AL103" s="38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38"/>
      <c r="AZ103" s="38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38"/>
      <c r="BN103" s="38"/>
    </row>
    <row r="104">
      <c r="A104" s="38"/>
      <c r="B104" s="38"/>
      <c r="C104" s="38"/>
      <c r="D104" s="38"/>
      <c r="E104" s="38"/>
      <c r="F104" s="38" t="s">
        <v>150</v>
      </c>
      <c r="G104" s="38" t="s">
        <v>151</v>
      </c>
      <c r="H104" s="38"/>
      <c r="I104" s="52">
        <f t="shared" ref="I104:N104" si="163">I32/I$76</f>
        <v>0</v>
      </c>
      <c r="J104" s="52">
        <f t="shared" si="163"/>
        <v>0</v>
      </c>
      <c r="K104" s="52">
        <f t="shared" si="163"/>
        <v>0</v>
      </c>
      <c r="L104" s="52">
        <f t="shared" si="163"/>
        <v>0</v>
      </c>
      <c r="M104" s="52">
        <f t="shared" si="163"/>
        <v>0</v>
      </c>
      <c r="N104" s="52">
        <f t="shared" si="163"/>
        <v>0</v>
      </c>
      <c r="O104" s="38"/>
      <c r="P104" s="38"/>
      <c r="Q104" s="52">
        <f t="shared" ref="Q104:V104" si="164">Q32/Q$76</f>
        <v>615968.1051</v>
      </c>
      <c r="R104" s="52">
        <f t="shared" si="164"/>
        <v>1140893.211</v>
      </c>
      <c r="S104" s="52">
        <f t="shared" si="164"/>
        <v>991391.8217</v>
      </c>
      <c r="T104" s="52">
        <f t="shared" si="164"/>
        <v>927022.5999</v>
      </c>
      <c r="U104" s="52">
        <f t="shared" si="164"/>
        <v>993371.0274</v>
      </c>
      <c r="V104" s="52">
        <f t="shared" si="164"/>
        <v>974200.1223</v>
      </c>
      <c r="W104" s="38"/>
      <c r="X104" s="38"/>
      <c r="Y104" s="52">
        <f t="shared" ref="Y104:AJ104" si="165">5250</f>
        <v>5250</v>
      </c>
      <c r="Z104" s="52">
        <f t="shared" si="165"/>
        <v>5250</v>
      </c>
      <c r="AA104" s="52">
        <f t="shared" si="165"/>
        <v>5250</v>
      </c>
      <c r="AB104" s="52">
        <f t="shared" si="165"/>
        <v>5250</v>
      </c>
      <c r="AC104" s="52">
        <f t="shared" si="165"/>
        <v>5250</v>
      </c>
      <c r="AD104" s="52">
        <f t="shared" si="165"/>
        <v>5250</v>
      </c>
      <c r="AE104" s="52">
        <f t="shared" si="165"/>
        <v>5250</v>
      </c>
      <c r="AF104" s="52">
        <f t="shared" si="165"/>
        <v>5250</v>
      </c>
      <c r="AG104" s="52">
        <f t="shared" si="165"/>
        <v>5250</v>
      </c>
      <c r="AH104" s="52">
        <f t="shared" si="165"/>
        <v>5250</v>
      </c>
      <c r="AI104" s="52">
        <f t="shared" si="165"/>
        <v>5250</v>
      </c>
      <c r="AJ104" s="52">
        <f t="shared" si="165"/>
        <v>5250</v>
      </c>
      <c r="AK104" s="38"/>
      <c r="AL104" s="38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38"/>
      <c r="AZ104" s="38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38"/>
      <c r="BN104" s="38"/>
    </row>
    <row r="105">
      <c r="A105" s="38"/>
      <c r="B105" s="38"/>
      <c r="C105" s="38"/>
      <c r="D105" s="38" t="s">
        <v>152</v>
      </c>
      <c r="E105" s="38" t="s">
        <v>93</v>
      </c>
      <c r="F105" s="38" t="s">
        <v>152</v>
      </c>
      <c r="G105" s="38"/>
      <c r="H105" s="38"/>
      <c r="I105" s="35">
        <f t="shared" ref="I105:N105" si="166">I106</f>
        <v>-0.0000003180065727</v>
      </c>
      <c r="J105" s="35">
        <f t="shared" si="166"/>
        <v>-0.0000002898044269</v>
      </c>
      <c r="K105" s="35">
        <f t="shared" si="166"/>
        <v>-0.0000004765455805</v>
      </c>
      <c r="L105" s="35">
        <f t="shared" si="166"/>
        <v>-0.0000003493717794</v>
      </c>
      <c r="M105" s="35">
        <f t="shared" si="166"/>
        <v>-0.0000002846797412</v>
      </c>
      <c r="N105" s="35">
        <f t="shared" si="166"/>
        <v>-0.00000004475640398</v>
      </c>
      <c r="O105" s="38"/>
      <c r="P105" s="38"/>
      <c r="Q105" s="35">
        <f t="shared" ref="Q105:V105" si="167">Q106</f>
        <v>-0.0000003442027299</v>
      </c>
      <c r="R105" s="35">
        <f t="shared" si="167"/>
        <v>-0.0000002080783916</v>
      </c>
      <c r="S105" s="35">
        <f t="shared" si="167"/>
        <v>-0.00000013787606</v>
      </c>
      <c r="T105" s="35">
        <f t="shared" si="167"/>
        <v>-0.00000008859974914</v>
      </c>
      <c r="U105" s="35">
        <f t="shared" si="167"/>
        <v>-0.00000004180999334</v>
      </c>
      <c r="V105" s="35">
        <f t="shared" si="167"/>
        <v>-0.00000001028715763</v>
      </c>
      <c r="W105" s="38"/>
      <c r="X105" s="38"/>
      <c r="Y105" s="35">
        <f t="shared" ref="Y105:AJ105" si="168">Y106</f>
        <v>-0.14</v>
      </c>
      <c r="Z105" s="35">
        <f t="shared" si="168"/>
        <v>-0.14</v>
      </c>
      <c r="AA105" s="35">
        <f t="shared" si="168"/>
        <v>-0.14</v>
      </c>
      <c r="AB105" s="35">
        <f t="shared" si="168"/>
        <v>-0.14</v>
      </c>
      <c r="AC105" s="35">
        <f t="shared" si="168"/>
        <v>-0.14</v>
      </c>
      <c r="AD105" s="35">
        <f t="shared" si="168"/>
        <v>-0.14</v>
      </c>
      <c r="AE105" s="35">
        <f t="shared" si="168"/>
        <v>-0.14</v>
      </c>
      <c r="AF105" s="35">
        <f t="shared" si="168"/>
        <v>-0.14</v>
      </c>
      <c r="AG105" s="35">
        <f t="shared" si="168"/>
        <v>-0.14</v>
      </c>
      <c r="AH105" s="35">
        <f t="shared" si="168"/>
        <v>-0.14</v>
      </c>
      <c r="AI105" s="35">
        <f t="shared" si="168"/>
        <v>-0.14</v>
      </c>
      <c r="AJ105" s="35">
        <f t="shared" si="168"/>
        <v>-0.14</v>
      </c>
      <c r="AK105" s="38"/>
      <c r="AL105" s="38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8"/>
      <c r="AZ105" s="38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8"/>
      <c r="BN105" s="38"/>
    </row>
    <row r="106">
      <c r="A106" s="38"/>
      <c r="B106" s="38"/>
      <c r="C106" s="38"/>
      <c r="D106" s="38"/>
      <c r="E106" s="38"/>
      <c r="F106" s="38" t="s">
        <v>152</v>
      </c>
      <c r="G106" s="38" t="s">
        <v>153</v>
      </c>
      <c r="H106" s="38"/>
      <c r="I106" s="35">
        <f t="shared" ref="I106:N106" si="169">I34/I3</f>
        <v>-0.0000003180065727</v>
      </c>
      <c r="J106" s="35">
        <f t="shared" si="169"/>
        <v>-0.0000002898044269</v>
      </c>
      <c r="K106" s="35">
        <f t="shared" si="169"/>
        <v>-0.0000004765455805</v>
      </c>
      <c r="L106" s="35">
        <f t="shared" si="169"/>
        <v>-0.0000003493717794</v>
      </c>
      <c r="M106" s="35">
        <f t="shared" si="169"/>
        <v>-0.0000002846797412</v>
      </c>
      <c r="N106" s="35">
        <f t="shared" si="169"/>
        <v>-0.00000004475640398</v>
      </c>
      <c r="O106" s="38"/>
      <c r="P106" s="38"/>
      <c r="Q106" s="35">
        <f t="shared" ref="Q106:V106" si="170">Q34/Q3</f>
        <v>-0.0000003442027299</v>
      </c>
      <c r="R106" s="35">
        <f t="shared" si="170"/>
        <v>-0.0000002080783916</v>
      </c>
      <c r="S106" s="35">
        <f t="shared" si="170"/>
        <v>-0.00000013787606</v>
      </c>
      <c r="T106" s="35">
        <f t="shared" si="170"/>
        <v>-0.00000008859974914</v>
      </c>
      <c r="U106" s="35">
        <f t="shared" si="170"/>
        <v>-0.00000004180999334</v>
      </c>
      <c r="V106" s="35">
        <f t="shared" si="170"/>
        <v>-0.00000001028715763</v>
      </c>
      <c r="W106" s="38"/>
      <c r="X106" s="38"/>
      <c r="Y106" s="35">
        <f t="shared" ref="Y106:AJ106" si="171">-14%</f>
        <v>-0.14</v>
      </c>
      <c r="Z106" s="35">
        <f t="shared" si="171"/>
        <v>-0.14</v>
      </c>
      <c r="AA106" s="35">
        <f t="shared" si="171"/>
        <v>-0.14</v>
      </c>
      <c r="AB106" s="35">
        <f t="shared" si="171"/>
        <v>-0.14</v>
      </c>
      <c r="AC106" s="35">
        <f t="shared" si="171"/>
        <v>-0.14</v>
      </c>
      <c r="AD106" s="35">
        <f t="shared" si="171"/>
        <v>-0.14</v>
      </c>
      <c r="AE106" s="35">
        <f t="shared" si="171"/>
        <v>-0.14</v>
      </c>
      <c r="AF106" s="35">
        <f t="shared" si="171"/>
        <v>-0.14</v>
      </c>
      <c r="AG106" s="35">
        <f t="shared" si="171"/>
        <v>-0.14</v>
      </c>
      <c r="AH106" s="35">
        <f t="shared" si="171"/>
        <v>-0.14</v>
      </c>
      <c r="AI106" s="35">
        <f t="shared" si="171"/>
        <v>-0.14</v>
      </c>
      <c r="AJ106" s="35">
        <f t="shared" si="171"/>
        <v>-0.14</v>
      </c>
      <c r="AK106" s="38"/>
      <c r="AL106" s="38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8"/>
      <c r="AZ106" s="38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8"/>
      <c r="BN106" s="38"/>
    </row>
    <row r="107">
      <c r="A107" s="38"/>
      <c r="B107" s="38"/>
      <c r="C107" s="38"/>
      <c r="D107" s="38" t="s">
        <v>154</v>
      </c>
      <c r="E107" s="38" t="s">
        <v>93</v>
      </c>
      <c r="F107" s="38" t="s">
        <v>154</v>
      </c>
      <c r="G107" s="38"/>
      <c r="H107" s="38"/>
      <c r="I107" s="35">
        <f t="shared" ref="I107:N107" si="172">I35/I$3</f>
        <v>-0.9448391083</v>
      </c>
      <c r="J107" s="35">
        <f t="shared" si="172"/>
        <v>-0.4209660988</v>
      </c>
      <c r="K107" s="35">
        <f t="shared" si="172"/>
        <v>-0.842132917</v>
      </c>
      <c r="L107" s="35">
        <f t="shared" si="172"/>
        <v>-0.954235583</v>
      </c>
      <c r="M107" s="35">
        <f t="shared" si="172"/>
        <v>-0.9249670747</v>
      </c>
      <c r="N107" s="35">
        <f t="shared" si="172"/>
        <v>-0.8830131087</v>
      </c>
      <c r="O107" s="38"/>
      <c r="P107" s="38"/>
      <c r="Q107" s="35">
        <f t="shared" ref="Q107:V107" si="173">Q35/Q$3</f>
        <v>-1.330686763</v>
      </c>
      <c r="R107" s="35">
        <f t="shared" si="173"/>
        <v>-1.225543453</v>
      </c>
      <c r="S107" s="35">
        <f t="shared" si="173"/>
        <v>-1.065860912</v>
      </c>
      <c r="T107" s="35">
        <f t="shared" si="173"/>
        <v>-0.9290471045</v>
      </c>
      <c r="U107" s="35">
        <f t="shared" si="173"/>
        <v>-0.8440876058</v>
      </c>
      <c r="V107" s="35">
        <f t="shared" si="173"/>
        <v>-0.8086406521</v>
      </c>
      <c r="W107" s="38"/>
      <c r="X107" s="38"/>
      <c r="Y107" s="35">
        <f t="shared" ref="Y107:AJ107" si="174">sum(Y108:Y111)</f>
        <v>-0.185</v>
      </c>
      <c r="Z107" s="35">
        <f t="shared" si="174"/>
        <v>-0.185</v>
      </c>
      <c r="AA107" s="35">
        <f t="shared" si="174"/>
        <v>-0.185</v>
      </c>
      <c r="AB107" s="35">
        <f t="shared" si="174"/>
        <v>-0.185</v>
      </c>
      <c r="AC107" s="35">
        <f t="shared" si="174"/>
        <v>-0.185</v>
      </c>
      <c r="AD107" s="35">
        <f t="shared" si="174"/>
        <v>-0.185</v>
      </c>
      <c r="AE107" s="35">
        <f t="shared" si="174"/>
        <v>-0.185</v>
      </c>
      <c r="AF107" s="35">
        <f t="shared" si="174"/>
        <v>-0.185</v>
      </c>
      <c r="AG107" s="35">
        <f t="shared" si="174"/>
        <v>-0.185</v>
      </c>
      <c r="AH107" s="35">
        <f t="shared" si="174"/>
        <v>-0.185</v>
      </c>
      <c r="AI107" s="35">
        <f t="shared" si="174"/>
        <v>-0.185</v>
      </c>
      <c r="AJ107" s="35">
        <f t="shared" si="174"/>
        <v>-0.185</v>
      </c>
      <c r="AK107" s="38"/>
      <c r="AL107" s="38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8"/>
      <c r="AZ107" s="38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8"/>
      <c r="BN107" s="38"/>
    </row>
    <row r="108">
      <c r="A108" s="38"/>
      <c r="B108" s="38"/>
      <c r="C108" s="38"/>
      <c r="D108" s="38"/>
      <c r="E108" s="38"/>
      <c r="F108" s="38" t="s">
        <v>155</v>
      </c>
      <c r="G108" s="38" t="s">
        <v>156</v>
      </c>
      <c r="H108" s="38"/>
      <c r="I108" s="35">
        <f t="shared" ref="I108:N108" si="175">I36/I$3</f>
        <v>-0.9448391083</v>
      </c>
      <c r="J108" s="35">
        <f t="shared" si="175"/>
        <v>-0.4209660988</v>
      </c>
      <c r="K108" s="35">
        <f t="shared" si="175"/>
        <v>-0.842132917</v>
      </c>
      <c r="L108" s="35">
        <f t="shared" si="175"/>
        <v>-0.954235583</v>
      </c>
      <c r="M108" s="35">
        <f t="shared" si="175"/>
        <v>-0.9249670747</v>
      </c>
      <c r="N108" s="35">
        <f t="shared" si="175"/>
        <v>-0.8830131087</v>
      </c>
      <c r="O108" s="38"/>
      <c r="P108" s="38"/>
      <c r="Q108" s="35">
        <f t="shared" ref="Q108:V108" si="176">Q36/Q$3</f>
        <v>-1.330686763</v>
      </c>
      <c r="R108" s="35">
        <f t="shared" si="176"/>
        <v>-1.225543453</v>
      </c>
      <c r="S108" s="35">
        <f t="shared" si="176"/>
        <v>-1.065860912</v>
      </c>
      <c r="T108" s="35">
        <f t="shared" si="176"/>
        <v>-0.9290471045</v>
      </c>
      <c r="U108" s="35">
        <f t="shared" si="176"/>
        <v>-0.8440876058</v>
      </c>
      <c r="V108" s="35">
        <f t="shared" si="176"/>
        <v>-0.8086406521</v>
      </c>
      <c r="W108" s="38"/>
      <c r="X108" s="38"/>
      <c r="Y108" s="35">
        <v>-0.12</v>
      </c>
      <c r="Z108" s="35">
        <v>-0.12</v>
      </c>
      <c r="AA108" s="35">
        <v>-0.12</v>
      </c>
      <c r="AB108" s="35">
        <v>-0.12</v>
      </c>
      <c r="AC108" s="35">
        <v>-0.12</v>
      </c>
      <c r="AD108" s="35">
        <v>-0.12</v>
      </c>
      <c r="AE108" s="35">
        <v>-0.12</v>
      </c>
      <c r="AF108" s="35">
        <v>-0.12</v>
      </c>
      <c r="AG108" s="35">
        <v>-0.12</v>
      </c>
      <c r="AH108" s="35">
        <v>-0.12</v>
      </c>
      <c r="AI108" s="35">
        <v>-0.12</v>
      </c>
      <c r="AJ108" s="35">
        <v>-0.12</v>
      </c>
      <c r="AK108" s="38"/>
      <c r="AL108" s="38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8"/>
      <c r="AZ108" s="38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8"/>
      <c r="BN108" s="38"/>
    </row>
    <row r="109">
      <c r="A109" s="38"/>
      <c r="B109" s="38"/>
      <c r="C109" s="38"/>
      <c r="D109" s="38"/>
      <c r="E109" s="38"/>
      <c r="F109" s="38" t="s">
        <v>157</v>
      </c>
      <c r="G109" s="38" t="s">
        <v>158</v>
      </c>
      <c r="H109" s="38"/>
      <c r="I109" s="35">
        <f t="shared" ref="I109:N109" si="177">I37/I$3</f>
        <v>-1.476465324</v>
      </c>
      <c r="J109" s="35">
        <f t="shared" si="177"/>
        <v>-0.9205066264</v>
      </c>
      <c r="K109" s="35">
        <f t="shared" si="177"/>
        <v>-1.632107768</v>
      </c>
      <c r="L109" s="35">
        <f t="shared" si="177"/>
        <v>-1.53211677</v>
      </c>
      <c r="M109" s="35">
        <f t="shared" si="177"/>
        <v>-1.419530941</v>
      </c>
      <c r="N109" s="35">
        <f t="shared" si="177"/>
        <v>-0.9604036894</v>
      </c>
      <c r="O109" s="38"/>
      <c r="P109" s="38"/>
      <c r="Q109" s="35">
        <f t="shared" ref="Q109:V109" si="178">Q37/Q$3</f>
        <v>-1.971300018</v>
      </c>
      <c r="R109" s="35">
        <f t="shared" si="178"/>
        <v>-1.651604976</v>
      </c>
      <c r="S109" s="35">
        <f t="shared" si="178"/>
        <v>-1.375703026</v>
      </c>
      <c r="T109" s="35">
        <f t="shared" si="178"/>
        <v>-1.146426678</v>
      </c>
      <c r="U109" s="35">
        <f t="shared" si="178"/>
        <v>-0.9566025207</v>
      </c>
      <c r="V109" s="35">
        <f t="shared" si="178"/>
        <v>-0.8389214252</v>
      </c>
      <c r="W109" s="38"/>
      <c r="X109" s="38"/>
      <c r="Y109" s="35">
        <v>-0.025</v>
      </c>
      <c r="Z109" s="35">
        <v>-0.025</v>
      </c>
      <c r="AA109" s="35">
        <v>-0.025</v>
      </c>
      <c r="AB109" s="35">
        <v>-0.025</v>
      </c>
      <c r="AC109" s="35">
        <v>-0.025</v>
      </c>
      <c r="AD109" s="35">
        <v>-0.025</v>
      </c>
      <c r="AE109" s="35">
        <v>-0.025</v>
      </c>
      <c r="AF109" s="35">
        <v>-0.025</v>
      </c>
      <c r="AG109" s="35">
        <v>-0.025</v>
      </c>
      <c r="AH109" s="35">
        <v>-0.025</v>
      </c>
      <c r="AI109" s="35">
        <v>-0.025</v>
      </c>
      <c r="AJ109" s="35">
        <v>-0.025</v>
      </c>
      <c r="AK109" s="38"/>
      <c r="AL109" s="38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8"/>
      <c r="AZ109" s="38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8"/>
      <c r="BN109" s="38"/>
    </row>
    <row r="110">
      <c r="A110" s="38"/>
      <c r="B110" s="38"/>
      <c r="C110" s="38"/>
      <c r="D110" s="38"/>
      <c r="E110" s="38"/>
      <c r="F110" s="38" t="s">
        <v>159</v>
      </c>
      <c r="G110" s="38" t="s">
        <v>160</v>
      </c>
      <c r="H110" s="38"/>
      <c r="I110" s="35">
        <f t="shared" ref="I110:N110" si="179">I38/I$3</f>
        <v>-0.0000008831875921</v>
      </c>
      <c r="J110" s="35">
        <f t="shared" si="179"/>
        <v>-0.0000005340245298</v>
      </c>
      <c r="K110" s="35">
        <f t="shared" si="179"/>
        <v>-0.0000009845550689</v>
      </c>
      <c r="L110" s="35">
        <f t="shared" si="179"/>
        <v>-0.0000009262775367</v>
      </c>
      <c r="M110" s="35">
        <f t="shared" si="179"/>
        <v>-0.0000008171072103</v>
      </c>
      <c r="N110" s="35">
        <f t="shared" si="179"/>
        <v>-0.0000005554192141</v>
      </c>
      <c r="O110" s="38"/>
      <c r="P110" s="38"/>
      <c r="Q110" s="35">
        <f t="shared" ref="Q110:V110" si="180">Q38/Q$3</f>
        <v>-0.000001059183279</v>
      </c>
      <c r="R110" s="35">
        <f t="shared" si="180"/>
        <v>-0.0000008066048882</v>
      </c>
      <c r="S110" s="35">
        <f t="shared" si="180"/>
        <v>-0.0000006121715045</v>
      </c>
      <c r="T110" s="35">
        <f t="shared" si="180"/>
        <v>-0.000000467261549</v>
      </c>
      <c r="U110" s="35">
        <f t="shared" si="180"/>
        <v>-0.0000003554688288</v>
      </c>
      <c r="V110" s="35">
        <f t="shared" si="180"/>
        <v>-0.0000002850031901</v>
      </c>
      <c r="W110" s="38"/>
      <c r="X110" s="38"/>
      <c r="Y110" s="35">
        <v>-0.015</v>
      </c>
      <c r="Z110" s="35">
        <v>-0.015</v>
      </c>
      <c r="AA110" s="35">
        <v>-0.015</v>
      </c>
      <c r="AB110" s="35">
        <v>-0.015</v>
      </c>
      <c r="AC110" s="35">
        <v>-0.015</v>
      </c>
      <c r="AD110" s="35">
        <v>-0.015</v>
      </c>
      <c r="AE110" s="35">
        <v>-0.015</v>
      </c>
      <c r="AF110" s="35">
        <v>-0.015</v>
      </c>
      <c r="AG110" s="35">
        <v>-0.015</v>
      </c>
      <c r="AH110" s="35">
        <v>-0.015</v>
      </c>
      <c r="AI110" s="35">
        <v>-0.015</v>
      </c>
      <c r="AJ110" s="35">
        <v>-0.015</v>
      </c>
      <c r="AK110" s="38"/>
      <c r="AL110" s="38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8"/>
      <c r="AZ110" s="38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8"/>
      <c r="BN110" s="38"/>
    </row>
    <row r="111">
      <c r="A111" s="38"/>
      <c r="B111" s="38"/>
      <c r="C111" s="38"/>
      <c r="D111" s="38"/>
      <c r="E111" s="38"/>
      <c r="F111" s="38" t="s">
        <v>161</v>
      </c>
      <c r="G111" s="38" t="s">
        <v>162</v>
      </c>
      <c r="H111" s="38"/>
      <c r="I111" s="35">
        <f t="shared" ref="I111:N111" si="181">I39/I$3</f>
        <v>-0.004987001614</v>
      </c>
      <c r="J111" s="35">
        <f t="shared" si="181"/>
        <v>-0.004576159878</v>
      </c>
      <c r="K111" s="35">
        <f t="shared" si="181"/>
        <v>-0.004685979643</v>
      </c>
      <c r="L111" s="35">
        <f t="shared" si="181"/>
        <v>-0.004878909929</v>
      </c>
      <c r="M111" s="35">
        <f t="shared" si="181"/>
        <v>-0.003932044871</v>
      </c>
      <c r="N111" s="35">
        <f t="shared" si="181"/>
        <v>0.01223490603</v>
      </c>
      <c r="O111" s="38"/>
      <c r="P111" s="38"/>
      <c r="Q111" s="35">
        <f t="shared" ref="Q111:V111" si="182">Q39/Q$3</f>
        <v>0</v>
      </c>
      <c r="R111" s="35">
        <f t="shared" si="182"/>
        <v>0</v>
      </c>
      <c r="S111" s="35">
        <f t="shared" si="182"/>
        <v>0</v>
      </c>
      <c r="T111" s="35">
        <f t="shared" si="182"/>
        <v>0</v>
      </c>
      <c r="U111" s="35">
        <f t="shared" si="182"/>
        <v>0</v>
      </c>
      <c r="V111" s="35">
        <f t="shared" si="182"/>
        <v>0</v>
      </c>
      <c r="W111" s="38"/>
      <c r="X111" s="38"/>
      <c r="Y111" s="35">
        <v>-0.025</v>
      </c>
      <c r="Z111" s="35">
        <v>-0.025</v>
      </c>
      <c r="AA111" s="35">
        <v>-0.025</v>
      </c>
      <c r="AB111" s="35">
        <v>-0.025</v>
      </c>
      <c r="AC111" s="35">
        <v>-0.025</v>
      </c>
      <c r="AD111" s="35">
        <v>-0.025</v>
      </c>
      <c r="AE111" s="35">
        <v>-0.025</v>
      </c>
      <c r="AF111" s="35">
        <v>-0.025</v>
      </c>
      <c r="AG111" s="35">
        <v>-0.025</v>
      </c>
      <c r="AH111" s="35">
        <v>-0.025</v>
      </c>
      <c r="AI111" s="35">
        <v>-0.025</v>
      </c>
      <c r="AJ111" s="35">
        <v>-0.025</v>
      </c>
      <c r="AK111" s="38"/>
      <c r="AL111" s="38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8"/>
      <c r="AZ111" s="38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8"/>
      <c r="BN111" s="38"/>
    </row>
    <row r="112">
      <c r="A112" s="38"/>
      <c r="B112" s="38"/>
      <c r="C112" s="38"/>
      <c r="D112" s="38" t="s">
        <v>163</v>
      </c>
      <c r="E112" s="38" t="s">
        <v>93</v>
      </c>
      <c r="F112" s="38" t="s">
        <v>163</v>
      </c>
      <c r="G112" s="38"/>
      <c r="H112" s="38"/>
      <c r="I112" s="62">
        <f t="shared" ref="I112:N112" si="183">I113</f>
        <v>0</v>
      </c>
      <c r="J112" s="62">
        <f t="shared" si="183"/>
        <v>0</v>
      </c>
      <c r="K112" s="62">
        <f t="shared" si="183"/>
        <v>0</v>
      </c>
      <c r="L112" s="62">
        <f t="shared" si="183"/>
        <v>0</v>
      </c>
      <c r="M112" s="62">
        <f t="shared" si="183"/>
        <v>0</v>
      </c>
      <c r="N112" s="62">
        <f t="shared" si="183"/>
        <v>0</v>
      </c>
      <c r="O112" s="38"/>
      <c r="P112" s="38"/>
      <c r="Q112" s="62">
        <f t="shared" ref="Q112:V112" si="184">Q113</f>
        <v>0</v>
      </c>
      <c r="R112" s="62">
        <f t="shared" si="184"/>
        <v>0</v>
      </c>
      <c r="S112" s="62">
        <f t="shared" si="184"/>
        <v>0</v>
      </c>
      <c r="T112" s="62">
        <f t="shared" si="184"/>
        <v>0</v>
      </c>
      <c r="U112" s="62">
        <f t="shared" si="184"/>
        <v>0</v>
      </c>
      <c r="V112" s="62">
        <f t="shared" si="184"/>
        <v>0</v>
      </c>
      <c r="W112" s="38"/>
      <c r="X112" s="38"/>
      <c r="Y112" s="62">
        <f t="shared" ref="Y112:AJ112" si="185">Y113</f>
        <v>-16000</v>
      </c>
      <c r="Z112" s="62">
        <f t="shared" si="185"/>
        <v>-16000</v>
      </c>
      <c r="AA112" s="62">
        <f t="shared" si="185"/>
        <v>-16000</v>
      </c>
      <c r="AB112" s="62">
        <f t="shared" si="185"/>
        <v>-16000</v>
      </c>
      <c r="AC112" s="62">
        <f t="shared" si="185"/>
        <v>-16000</v>
      </c>
      <c r="AD112" s="62">
        <f t="shared" si="185"/>
        <v>-16000</v>
      </c>
      <c r="AE112" s="62">
        <f t="shared" si="185"/>
        <v>-16000</v>
      </c>
      <c r="AF112" s="62">
        <f t="shared" si="185"/>
        <v>-16000</v>
      </c>
      <c r="AG112" s="62">
        <f t="shared" si="185"/>
        <v>-16000</v>
      </c>
      <c r="AH112" s="62">
        <f t="shared" si="185"/>
        <v>-16000</v>
      </c>
      <c r="AI112" s="62">
        <f t="shared" si="185"/>
        <v>-16000</v>
      </c>
      <c r="AJ112" s="62">
        <f t="shared" si="185"/>
        <v>-16000</v>
      </c>
      <c r="AK112" s="38"/>
      <c r="AL112" s="38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38"/>
      <c r="AZ112" s="38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38"/>
      <c r="BN112" s="38"/>
    </row>
    <row r="113">
      <c r="A113" s="38"/>
      <c r="B113" s="38"/>
      <c r="C113" s="38"/>
      <c r="D113" s="38"/>
      <c r="E113" s="38"/>
      <c r="F113" s="38" t="s">
        <v>164</v>
      </c>
      <c r="G113" s="38" t="s">
        <v>165</v>
      </c>
      <c r="H113" s="38"/>
      <c r="I113" s="62">
        <f t="shared" ref="I113:N113" si="186">I43/(I76+I86)</f>
        <v>0</v>
      </c>
      <c r="J113" s="62">
        <f t="shared" si="186"/>
        <v>0</v>
      </c>
      <c r="K113" s="62">
        <f t="shared" si="186"/>
        <v>0</v>
      </c>
      <c r="L113" s="62">
        <f t="shared" si="186"/>
        <v>0</v>
      </c>
      <c r="M113" s="62">
        <f t="shared" si="186"/>
        <v>0</v>
      </c>
      <c r="N113" s="62">
        <f t="shared" si="186"/>
        <v>0</v>
      </c>
      <c r="O113" s="57"/>
      <c r="P113" s="57"/>
      <c r="Q113" s="62">
        <f t="shared" ref="Q113:V113" si="187">Q43/(Q76+Q86)</f>
        <v>0</v>
      </c>
      <c r="R113" s="62">
        <f t="shared" si="187"/>
        <v>0</v>
      </c>
      <c r="S113" s="62">
        <f t="shared" si="187"/>
        <v>0</v>
      </c>
      <c r="T113" s="62">
        <f t="shared" si="187"/>
        <v>0</v>
      </c>
      <c r="U113" s="62">
        <f t="shared" si="187"/>
        <v>0</v>
      </c>
      <c r="V113" s="62">
        <f t="shared" si="187"/>
        <v>0</v>
      </c>
      <c r="W113" s="38"/>
      <c r="X113" s="38"/>
      <c r="Y113" s="62">
        <v>-16000.0</v>
      </c>
      <c r="Z113" s="62">
        <v>-16000.0</v>
      </c>
      <c r="AA113" s="62">
        <v>-16000.0</v>
      </c>
      <c r="AB113" s="62">
        <v>-16000.0</v>
      </c>
      <c r="AC113" s="62">
        <v>-16000.0</v>
      </c>
      <c r="AD113" s="62">
        <v>-16000.0</v>
      </c>
      <c r="AE113" s="62">
        <v>-16000.0</v>
      </c>
      <c r="AF113" s="62">
        <v>-16000.0</v>
      </c>
      <c r="AG113" s="62">
        <v>-16000.0</v>
      </c>
      <c r="AH113" s="62">
        <v>-16000.0</v>
      </c>
      <c r="AI113" s="62">
        <v>-16000.0</v>
      </c>
      <c r="AJ113" s="62">
        <v>-16000.0</v>
      </c>
      <c r="AK113" s="38"/>
      <c r="AL113" s="38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38"/>
      <c r="AZ113" s="38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38"/>
      <c r="BN113" s="38"/>
    </row>
    <row r="114">
      <c r="A114" s="38"/>
      <c r="B114" s="38"/>
      <c r="C114" s="38"/>
      <c r="D114" s="38"/>
      <c r="E114" s="38"/>
      <c r="F114" s="38"/>
      <c r="G114" s="53" t="s">
        <v>166</v>
      </c>
      <c r="H114" s="38"/>
      <c r="I114" s="55"/>
      <c r="J114" s="55"/>
      <c r="K114" s="55"/>
      <c r="L114" s="55"/>
      <c r="M114" s="55"/>
      <c r="N114" s="55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</row>
    <row r="115">
      <c r="A115" s="38"/>
      <c r="B115" s="38"/>
      <c r="C115" s="38"/>
      <c r="D115" s="38"/>
      <c r="E115" s="38"/>
      <c r="F115" s="38"/>
      <c r="G115" s="53" t="s">
        <v>167</v>
      </c>
      <c r="H115" s="38"/>
      <c r="I115" s="55"/>
      <c r="J115" s="55"/>
      <c r="K115" s="55"/>
      <c r="L115" s="55"/>
      <c r="M115" s="55"/>
      <c r="N115" s="55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53">
        <v>9000.0</v>
      </c>
      <c r="Z115" s="53">
        <v>9000.0</v>
      </c>
      <c r="AA115" s="53">
        <v>9000.0</v>
      </c>
      <c r="AB115" s="53">
        <v>9000.0</v>
      </c>
      <c r="AC115" s="53">
        <v>9000.0</v>
      </c>
      <c r="AD115" s="53">
        <v>9000.0</v>
      </c>
      <c r="AE115" s="53">
        <v>9000.0</v>
      </c>
      <c r="AF115" s="53">
        <v>9000.0</v>
      </c>
      <c r="AG115" s="53">
        <v>9000.0</v>
      </c>
      <c r="AH115" s="53">
        <v>9000.0</v>
      </c>
      <c r="AI115" s="53">
        <v>9000.0</v>
      </c>
      <c r="AJ115" s="53">
        <v>9000.0</v>
      </c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55"/>
      <c r="J116" s="55"/>
      <c r="K116" s="55"/>
      <c r="L116" s="55"/>
      <c r="M116" s="55"/>
      <c r="N116" s="55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</cols>
  <sheetData>
    <row r="1">
      <c r="A1" s="117"/>
      <c r="B1" s="117"/>
      <c r="C1" s="117"/>
      <c r="D1" s="117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9"/>
      <c r="R1" s="119"/>
      <c r="S1" s="119"/>
      <c r="T1" s="119"/>
      <c r="U1" s="119"/>
      <c r="V1" s="119"/>
    </row>
    <row r="2">
      <c r="C2" s="120"/>
      <c r="D2" s="121"/>
    </row>
    <row r="3">
      <c r="C3" s="122"/>
      <c r="D3" s="121"/>
    </row>
    <row r="4">
      <c r="C4" s="122"/>
      <c r="D4" s="123"/>
    </row>
    <row r="5">
      <c r="C5" s="122"/>
      <c r="D5" s="124"/>
    </row>
    <row r="6">
      <c r="C6" s="122"/>
      <c r="D6" s="121"/>
    </row>
    <row r="7">
      <c r="C7" s="125"/>
      <c r="D7" s="121"/>
    </row>
    <row r="8">
      <c r="C8" s="126"/>
      <c r="D8" s="121"/>
    </row>
    <row r="9">
      <c r="C9" s="122"/>
      <c r="D9" s="124"/>
    </row>
    <row r="10">
      <c r="C10" s="1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6.0"/>
    <col customWidth="1" min="3" max="3" width="9.88"/>
    <col customWidth="1" min="4" max="4" width="6.75"/>
    <col customWidth="1" min="5" max="5" width="9.38"/>
    <col customWidth="1" min="6" max="6" width="12.63"/>
    <col customWidth="1" min="7" max="7" width="7.63"/>
    <col customWidth="1" min="8" max="8" width="11.5"/>
    <col customWidth="1" min="9" max="9" width="14.75"/>
    <col customWidth="1" min="10" max="10" width="19.38"/>
  </cols>
  <sheetData>
    <row r="1">
      <c r="A1" s="16" t="s">
        <v>208</v>
      </c>
      <c r="B1" s="127" t="s">
        <v>209</v>
      </c>
      <c r="C1" s="127" t="s">
        <v>210</v>
      </c>
      <c r="D1" s="127" t="s">
        <v>211</v>
      </c>
      <c r="E1" s="127" t="s">
        <v>212</v>
      </c>
      <c r="F1" s="127" t="s">
        <v>213</v>
      </c>
      <c r="G1" s="127" t="s">
        <v>214</v>
      </c>
      <c r="H1" s="127" t="s">
        <v>215</v>
      </c>
      <c r="I1" s="127" t="s">
        <v>216</v>
      </c>
      <c r="J1" s="127" t="s">
        <v>217</v>
      </c>
      <c r="K1" s="128">
        <v>46023.0</v>
      </c>
      <c r="L1" s="128">
        <v>46054.0</v>
      </c>
      <c r="M1" s="128">
        <v>46082.0</v>
      </c>
      <c r="N1" s="128">
        <v>46113.0</v>
      </c>
      <c r="O1" s="128">
        <v>46143.0</v>
      </c>
      <c r="P1" s="128">
        <v>46174.0</v>
      </c>
      <c r="Q1" s="128">
        <v>46204.0</v>
      </c>
      <c r="R1" s="128">
        <v>46235.0</v>
      </c>
      <c r="S1" s="128">
        <v>46266.0</v>
      </c>
      <c r="T1" s="128">
        <v>46296.0</v>
      </c>
      <c r="U1" s="128">
        <v>46327.0</v>
      </c>
      <c r="V1" s="128">
        <v>46357.0</v>
      </c>
      <c r="W1" s="129" t="s">
        <v>11</v>
      </c>
      <c r="X1" s="14"/>
      <c r="Y1" s="14"/>
      <c r="Z1" s="14"/>
      <c r="AA1" s="14"/>
      <c r="AB1" s="14"/>
    </row>
    <row r="2">
      <c r="A2" s="3" t="b">
        <v>0</v>
      </c>
      <c r="B2" s="130" t="s">
        <v>204</v>
      </c>
      <c r="C2" s="131" t="s">
        <v>218</v>
      </c>
      <c r="D2" s="130" t="s">
        <v>219</v>
      </c>
      <c r="E2" s="130" t="s">
        <v>220</v>
      </c>
      <c r="F2" s="16" t="s">
        <v>221</v>
      </c>
      <c r="G2" s="16" t="s">
        <v>222</v>
      </c>
      <c r="H2" s="130" t="s">
        <v>223</v>
      </c>
    </row>
    <row r="3">
      <c r="A3" s="4" t="b">
        <v>1</v>
      </c>
      <c r="B3" s="130" t="s">
        <v>204</v>
      </c>
      <c r="C3" s="131" t="s">
        <v>218</v>
      </c>
      <c r="D3" s="130" t="s">
        <v>219</v>
      </c>
      <c r="E3" s="130" t="s">
        <v>220</v>
      </c>
      <c r="F3" s="16" t="s">
        <v>221</v>
      </c>
      <c r="G3" s="16" t="s">
        <v>222</v>
      </c>
      <c r="H3" s="130" t="s">
        <v>224</v>
      </c>
    </row>
    <row r="4">
      <c r="A4" s="3" t="b">
        <v>0</v>
      </c>
      <c r="B4" s="130"/>
      <c r="C4" s="131"/>
      <c r="D4" s="131"/>
      <c r="E4" s="131"/>
      <c r="F4" s="14"/>
      <c r="G4" s="14"/>
      <c r="H4" s="131"/>
    </row>
    <row r="5">
      <c r="A5" s="3" t="b">
        <v>0</v>
      </c>
      <c r="B5" s="130"/>
      <c r="C5" s="131"/>
      <c r="D5" s="131"/>
      <c r="E5" s="131"/>
      <c r="F5" s="14"/>
      <c r="G5" s="14"/>
      <c r="H5" s="131"/>
    </row>
    <row r="6">
      <c r="A6" s="3" t="b">
        <v>0</v>
      </c>
      <c r="B6" s="130"/>
      <c r="C6" s="131"/>
      <c r="D6" s="131"/>
      <c r="E6" s="131"/>
      <c r="F6" s="14"/>
      <c r="G6" s="14"/>
      <c r="H6" s="131"/>
    </row>
    <row r="7">
      <c r="A7" s="3" t="b">
        <v>0</v>
      </c>
      <c r="B7" s="130"/>
      <c r="C7" s="131"/>
      <c r="D7" s="131"/>
      <c r="E7" s="131"/>
      <c r="F7" s="14"/>
      <c r="G7" s="14"/>
      <c r="H7" s="131"/>
    </row>
    <row r="8">
      <c r="A8" s="3" t="b">
        <v>0</v>
      </c>
      <c r="B8" s="130"/>
      <c r="C8" s="131"/>
      <c r="D8" s="131"/>
      <c r="E8" s="131"/>
      <c r="F8" s="14"/>
      <c r="G8" s="14"/>
      <c r="H8" s="131"/>
    </row>
    <row r="9">
      <c r="A9" s="3" t="b">
        <v>0</v>
      </c>
      <c r="B9" s="130"/>
      <c r="C9" s="131"/>
      <c r="D9" s="131"/>
      <c r="E9" s="131"/>
      <c r="F9" s="14"/>
      <c r="G9" s="14"/>
      <c r="H9" s="131"/>
    </row>
    <row r="10">
      <c r="A10" s="3" t="b">
        <v>0</v>
      </c>
      <c r="B10" s="130"/>
      <c r="C10" s="131"/>
      <c r="D10" s="131"/>
      <c r="E10" s="131"/>
      <c r="F10" s="14"/>
      <c r="G10" s="14"/>
      <c r="H10" s="131"/>
    </row>
    <row r="11">
      <c r="A11" s="3" t="b">
        <v>0</v>
      </c>
      <c r="B11" s="130"/>
      <c r="C11" s="131"/>
      <c r="D11" s="131"/>
      <c r="E11" s="131"/>
      <c r="F11" s="14"/>
      <c r="G11" s="14"/>
      <c r="H11" s="131"/>
    </row>
    <row r="12">
      <c r="A12" s="3" t="b">
        <v>0</v>
      </c>
      <c r="B12" s="130"/>
      <c r="C12" s="131"/>
      <c r="D12" s="131"/>
      <c r="E12" s="131"/>
      <c r="F12" s="14"/>
      <c r="G12" s="14"/>
      <c r="H12" s="131"/>
    </row>
    <row r="13">
      <c r="A13" s="3" t="b">
        <v>0</v>
      </c>
      <c r="B13" s="130"/>
      <c r="C13" s="131"/>
      <c r="D13" s="131"/>
      <c r="E13" s="131"/>
      <c r="F13" s="14"/>
      <c r="G13" s="14"/>
      <c r="H13" s="131"/>
    </row>
    <row r="14">
      <c r="A14" s="3" t="b">
        <v>0</v>
      </c>
      <c r="B14" s="130"/>
      <c r="C14" s="131"/>
      <c r="D14" s="131"/>
      <c r="E14" s="131"/>
      <c r="F14" s="14"/>
      <c r="G14" s="14"/>
      <c r="H14" s="131"/>
    </row>
    <row r="15">
      <c r="A15" s="3" t="b">
        <v>0</v>
      </c>
      <c r="B15" s="130"/>
      <c r="C15" s="131"/>
      <c r="D15" s="131"/>
      <c r="E15" s="131"/>
      <c r="F15" s="14"/>
      <c r="G15" s="14"/>
      <c r="H15" s="131"/>
    </row>
    <row r="16">
      <c r="A16" s="3" t="b">
        <v>0</v>
      </c>
      <c r="B16" s="130"/>
      <c r="C16" s="131"/>
      <c r="D16" s="131"/>
      <c r="E16" s="131"/>
      <c r="F16" s="14"/>
      <c r="G16" s="14"/>
      <c r="H16" s="131"/>
    </row>
    <row r="17">
      <c r="A17" s="3" t="b">
        <v>0</v>
      </c>
      <c r="B17" s="130"/>
      <c r="C17" s="131"/>
      <c r="D17" s="131"/>
      <c r="E17" s="131"/>
      <c r="F17" s="14"/>
      <c r="G17" s="14"/>
      <c r="H17" s="131"/>
    </row>
    <row r="18">
      <c r="A18" s="3" t="b">
        <v>0</v>
      </c>
      <c r="B18" s="130"/>
      <c r="C18" s="131"/>
      <c r="D18" s="131"/>
      <c r="E18" s="131"/>
      <c r="F18" s="14"/>
      <c r="G18" s="14"/>
      <c r="H18" s="131"/>
    </row>
    <row r="19">
      <c r="A19" s="3" t="b">
        <v>0</v>
      </c>
      <c r="B19" s="130"/>
      <c r="C19" s="131"/>
      <c r="D19" s="131"/>
      <c r="E19" s="131"/>
      <c r="F19" s="14"/>
      <c r="G19" s="14"/>
      <c r="H19" s="131"/>
    </row>
    <row r="20">
      <c r="A20" s="3" t="b">
        <v>0</v>
      </c>
      <c r="B20" s="130"/>
      <c r="C20" s="131"/>
      <c r="D20" s="131"/>
      <c r="E20" s="131"/>
      <c r="F20" s="14"/>
      <c r="G20" s="14"/>
      <c r="H20" s="131"/>
    </row>
    <row r="21">
      <c r="A21" s="3" t="b">
        <v>0</v>
      </c>
      <c r="B21" s="130"/>
      <c r="C21" s="131"/>
      <c r="D21" s="131"/>
      <c r="E21" s="131"/>
      <c r="F21" s="14"/>
      <c r="G21" s="14"/>
      <c r="H21" s="131"/>
    </row>
    <row r="22">
      <c r="A22" s="3" t="b">
        <v>0</v>
      </c>
      <c r="B22" s="130"/>
      <c r="C22" s="131"/>
      <c r="D22" s="131"/>
      <c r="E22" s="131"/>
      <c r="F22" s="14"/>
      <c r="G22" s="14"/>
      <c r="H22" s="131"/>
    </row>
    <row r="23">
      <c r="A23" s="3" t="b">
        <v>0</v>
      </c>
      <c r="B23" s="130"/>
      <c r="C23" s="131"/>
      <c r="D23" s="131"/>
      <c r="E23" s="131"/>
      <c r="F23" s="14"/>
      <c r="G23" s="14"/>
      <c r="H23" s="131"/>
    </row>
    <row r="24">
      <c r="A24" s="3" t="b">
        <v>0</v>
      </c>
      <c r="B24" s="130"/>
      <c r="C24" s="131"/>
      <c r="D24" s="131"/>
      <c r="E24" s="131"/>
      <c r="F24" s="14"/>
      <c r="G24" s="14"/>
      <c r="H24" s="131"/>
    </row>
    <row r="25">
      <c r="A25" s="3" t="b">
        <v>0</v>
      </c>
      <c r="B25" s="130"/>
      <c r="C25" s="131"/>
      <c r="D25" s="131"/>
      <c r="E25" s="131"/>
      <c r="F25" s="14"/>
      <c r="G25" s="14"/>
      <c r="H25" s="131"/>
    </row>
    <row r="26">
      <c r="A26" s="3" t="b">
        <v>0</v>
      </c>
      <c r="B26" s="130"/>
      <c r="C26" s="131"/>
      <c r="D26" s="131"/>
      <c r="E26" s="131"/>
      <c r="F26" s="14"/>
      <c r="G26" s="14"/>
      <c r="H26" s="131"/>
    </row>
    <row r="27">
      <c r="A27" s="3" t="b">
        <v>0</v>
      </c>
      <c r="B27" s="130"/>
      <c r="C27" s="131"/>
      <c r="D27" s="131"/>
      <c r="E27" s="131"/>
      <c r="F27" s="14"/>
      <c r="G27" s="14"/>
      <c r="H27" s="131"/>
    </row>
    <row r="28">
      <c r="A28" s="3" t="b">
        <v>0</v>
      </c>
      <c r="B28" s="130"/>
      <c r="C28" s="131"/>
      <c r="D28" s="131"/>
      <c r="E28" s="131"/>
      <c r="F28" s="14"/>
      <c r="G28" s="14"/>
      <c r="H28" s="131"/>
    </row>
    <row r="29">
      <c r="A29" s="3" t="b">
        <v>0</v>
      </c>
      <c r="B29" s="130"/>
      <c r="C29" s="131"/>
      <c r="D29" s="131"/>
      <c r="E29" s="131"/>
      <c r="F29" s="14"/>
      <c r="G29" s="14"/>
      <c r="H29" s="131"/>
    </row>
    <row r="30">
      <c r="A30" s="3" t="b">
        <v>0</v>
      </c>
      <c r="B30" s="130"/>
      <c r="C30" s="131"/>
      <c r="D30" s="131"/>
      <c r="E30" s="131"/>
      <c r="F30" s="14"/>
      <c r="G30" s="14"/>
      <c r="H30" s="131"/>
    </row>
    <row r="31">
      <c r="A31" s="3" t="b">
        <v>0</v>
      </c>
      <c r="B31" s="130"/>
      <c r="C31" s="131"/>
      <c r="D31" s="131"/>
      <c r="E31" s="131"/>
      <c r="F31" s="14"/>
      <c r="G31" s="14"/>
      <c r="H31" s="131"/>
    </row>
    <row r="32">
      <c r="A32" s="3" t="b">
        <v>0</v>
      </c>
      <c r="B32" s="130"/>
      <c r="C32" s="131"/>
      <c r="D32" s="131"/>
      <c r="E32" s="131"/>
      <c r="F32" s="14"/>
      <c r="G32" s="14"/>
      <c r="H32" s="131"/>
    </row>
    <row r="33">
      <c r="A33" s="3" t="b">
        <v>0</v>
      </c>
      <c r="B33" s="130"/>
      <c r="C33" s="131"/>
      <c r="D33" s="131"/>
      <c r="E33" s="131"/>
      <c r="F33" s="14"/>
      <c r="G33" s="14"/>
      <c r="H33" s="131"/>
    </row>
    <row r="34">
      <c r="A34" s="3" t="b">
        <v>0</v>
      </c>
      <c r="B34" s="130"/>
      <c r="C34" s="131"/>
      <c r="D34" s="131"/>
      <c r="E34" s="131"/>
      <c r="F34" s="14"/>
      <c r="G34" s="14"/>
      <c r="H34" s="131"/>
    </row>
    <row r="35">
      <c r="A35" s="3" t="b">
        <v>0</v>
      </c>
      <c r="B35" s="130"/>
      <c r="C35" s="131"/>
      <c r="D35" s="131"/>
      <c r="E35" s="131"/>
      <c r="F35" s="14"/>
      <c r="G35" s="14"/>
      <c r="H35" s="131"/>
    </row>
    <row r="36">
      <c r="A36" s="3" t="b">
        <v>0</v>
      </c>
      <c r="B36" s="130"/>
      <c r="C36" s="131"/>
      <c r="D36" s="131"/>
      <c r="E36" s="131"/>
      <c r="F36" s="14"/>
      <c r="G36" s="14"/>
      <c r="H36" s="131"/>
    </row>
    <row r="37">
      <c r="A37" s="3" t="b">
        <v>0</v>
      </c>
      <c r="B37" s="130"/>
      <c r="C37" s="131"/>
      <c r="D37" s="131"/>
      <c r="E37" s="131"/>
      <c r="F37" s="14"/>
      <c r="G37" s="14"/>
      <c r="H37" s="131"/>
    </row>
    <row r="38">
      <c r="A38" s="3" t="b">
        <v>0</v>
      </c>
      <c r="B38" s="130"/>
      <c r="C38" s="131"/>
      <c r="D38" s="131"/>
      <c r="E38" s="131"/>
      <c r="F38" s="14"/>
      <c r="G38" s="14"/>
      <c r="H38" s="131"/>
    </row>
    <row r="39">
      <c r="A39" s="3" t="b">
        <v>0</v>
      </c>
      <c r="B39" s="130"/>
      <c r="C39" s="131"/>
      <c r="D39" s="131"/>
      <c r="E39" s="131"/>
      <c r="F39" s="14"/>
      <c r="G39" s="14"/>
      <c r="H39" s="131"/>
    </row>
    <row r="40">
      <c r="A40" s="3" t="b">
        <v>0</v>
      </c>
      <c r="B40" s="130"/>
      <c r="C40" s="131"/>
      <c r="D40" s="131"/>
      <c r="E40" s="131"/>
      <c r="F40" s="14"/>
      <c r="G40" s="14"/>
      <c r="H40" s="131"/>
    </row>
    <row r="41">
      <c r="A41" s="3" t="b">
        <v>0</v>
      </c>
      <c r="B41" s="130"/>
      <c r="C41" s="131"/>
      <c r="D41" s="131"/>
      <c r="E41" s="131"/>
      <c r="F41" s="14"/>
      <c r="G41" s="14"/>
      <c r="H41" s="131"/>
    </row>
    <row r="42">
      <c r="A42" s="3" t="b">
        <v>0</v>
      </c>
      <c r="B42" s="130"/>
      <c r="C42" s="131"/>
      <c r="D42" s="131"/>
      <c r="E42" s="131"/>
      <c r="F42" s="14"/>
      <c r="G42" s="14"/>
      <c r="H42" s="131"/>
    </row>
    <row r="43">
      <c r="A43" s="3" t="b">
        <v>0</v>
      </c>
      <c r="B43" s="130"/>
      <c r="C43" s="131"/>
      <c r="D43" s="131"/>
      <c r="E43" s="131"/>
      <c r="F43" s="14"/>
      <c r="G43" s="14"/>
      <c r="H43" s="131"/>
    </row>
    <row r="44">
      <c r="A44" s="3" t="b">
        <v>0</v>
      </c>
      <c r="B44" s="130"/>
      <c r="C44" s="131"/>
      <c r="D44" s="131"/>
      <c r="E44" s="131"/>
      <c r="F44" s="14"/>
      <c r="G44" s="14"/>
      <c r="H44" s="131"/>
    </row>
    <row r="45">
      <c r="A45" s="3" t="b">
        <v>0</v>
      </c>
      <c r="B45" s="130"/>
      <c r="C45" s="131"/>
      <c r="D45" s="131"/>
      <c r="E45" s="131"/>
      <c r="F45" s="14"/>
      <c r="G45" s="14"/>
      <c r="H45" s="131"/>
    </row>
    <row r="46">
      <c r="A46" s="3" t="b">
        <v>0</v>
      </c>
      <c r="B46" s="130"/>
      <c r="C46" s="131"/>
      <c r="D46" s="131"/>
      <c r="E46" s="131"/>
      <c r="F46" s="14"/>
      <c r="G46" s="14"/>
      <c r="H46" s="131"/>
    </row>
    <row r="47">
      <c r="A47" s="3" t="b">
        <v>0</v>
      </c>
      <c r="B47" s="130"/>
      <c r="C47" s="131"/>
      <c r="D47" s="131"/>
      <c r="E47" s="131"/>
      <c r="F47" s="14"/>
      <c r="G47" s="14"/>
      <c r="H47" s="131"/>
    </row>
    <row r="48">
      <c r="A48" s="3" t="b">
        <v>0</v>
      </c>
      <c r="B48" s="130"/>
      <c r="C48" s="131"/>
      <c r="D48" s="131"/>
      <c r="E48" s="131"/>
      <c r="F48" s="14"/>
      <c r="G48" s="14"/>
      <c r="H48" s="131"/>
    </row>
    <row r="49">
      <c r="A49" s="3" t="b">
        <v>0</v>
      </c>
      <c r="B49" s="130"/>
      <c r="C49" s="131"/>
      <c r="D49" s="131"/>
      <c r="E49" s="131"/>
      <c r="F49" s="14"/>
      <c r="G49" s="14"/>
      <c r="H49" s="131"/>
    </row>
    <row r="50">
      <c r="A50" s="3" t="b">
        <v>0</v>
      </c>
      <c r="B50" s="130"/>
      <c r="C50" s="131"/>
      <c r="D50" s="131"/>
      <c r="E50" s="131"/>
      <c r="F50" s="14"/>
      <c r="G50" s="14"/>
      <c r="H50" s="131"/>
    </row>
    <row r="51">
      <c r="A51" s="3" t="b">
        <v>0</v>
      </c>
      <c r="B51" s="130"/>
      <c r="C51" s="131"/>
      <c r="D51" s="131"/>
      <c r="E51" s="131"/>
      <c r="F51" s="14"/>
      <c r="G51" s="14"/>
      <c r="H51" s="131"/>
    </row>
    <row r="52">
      <c r="A52" s="3" t="b">
        <v>0</v>
      </c>
      <c r="B52" s="130"/>
      <c r="C52" s="131"/>
      <c r="D52" s="131"/>
      <c r="E52" s="131"/>
      <c r="F52" s="14"/>
      <c r="G52" s="14"/>
      <c r="H52" s="131"/>
    </row>
    <row r="53">
      <c r="A53" s="3" t="b">
        <v>0</v>
      </c>
      <c r="B53" s="130"/>
      <c r="C53" s="131"/>
      <c r="D53" s="131"/>
      <c r="E53" s="131"/>
      <c r="F53" s="14"/>
      <c r="G53" s="14"/>
      <c r="H53" s="131"/>
    </row>
    <row r="54">
      <c r="A54" s="3" t="b">
        <v>0</v>
      </c>
      <c r="B54" s="130"/>
      <c r="C54" s="131"/>
      <c r="D54" s="131"/>
      <c r="E54" s="131"/>
      <c r="F54" s="14"/>
      <c r="G54" s="14"/>
      <c r="H54" s="131"/>
    </row>
    <row r="55">
      <c r="A55" s="3" t="b">
        <v>0</v>
      </c>
      <c r="B55" s="130"/>
      <c r="C55" s="131"/>
      <c r="D55" s="131"/>
      <c r="E55" s="131"/>
      <c r="F55" s="14"/>
      <c r="G55" s="14"/>
      <c r="H55" s="131"/>
    </row>
    <row r="56">
      <c r="A56" s="3" t="b">
        <v>0</v>
      </c>
      <c r="B56" s="130"/>
      <c r="C56" s="131"/>
      <c r="D56" s="131"/>
      <c r="E56" s="131"/>
      <c r="F56" s="14"/>
      <c r="G56" s="14"/>
      <c r="H56" s="131"/>
    </row>
    <row r="57">
      <c r="A57" s="3" t="b">
        <v>0</v>
      </c>
      <c r="B57" s="130"/>
      <c r="C57" s="131"/>
      <c r="D57" s="131"/>
      <c r="E57" s="131"/>
      <c r="F57" s="14"/>
      <c r="G57" s="14"/>
      <c r="H57" s="131"/>
    </row>
    <row r="58">
      <c r="A58" s="3" t="b">
        <v>0</v>
      </c>
      <c r="B58" s="130"/>
      <c r="C58" s="131"/>
      <c r="D58" s="131"/>
      <c r="E58" s="131"/>
      <c r="F58" s="14"/>
      <c r="G58" s="14"/>
      <c r="H58" s="131"/>
    </row>
    <row r="59">
      <c r="A59" s="3" t="b">
        <v>0</v>
      </c>
      <c r="B59" s="130"/>
      <c r="C59" s="131"/>
      <c r="D59" s="131"/>
      <c r="E59" s="131"/>
      <c r="F59" s="14"/>
      <c r="G59" s="14"/>
      <c r="H59" s="131"/>
    </row>
    <row r="60">
      <c r="A60" s="3" t="b">
        <v>0</v>
      </c>
      <c r="B60" s="130"/>
      <c r="C60" s="131"/>
      <c r="D60" s="131"/>
      <c r="E60" s="131"/>
      <c r="F60" s="14"/>
      <c r="G60" s="14"/>
      <c r="H60" s="131"/>
    </row>
    <row r="61">
      <c r="A61" s="3" t="b">
        <v>0</v>
      </c>
      <c r="B61" s="130"/>
      <c r="C61" s="131"/>
      <c r="D61" s="131"/>
      <c r="E61" s="131"/>
      <c r="F61" s="14"/>
      <c r="G61" s="14"/>
      <c r="H61" s="131"/>
    </row>
    <row r="62">
      <c r="A62" s="3" t="b">
        <v>0</v>
      </c>
      <c r="B62" s="130"/>
      <c r="C62" s="131"/>
      <c r="D62" s="131"/>
      <c r="E62" s="131"/>
      <c r="F62" s="14"/>
      <c r="G62" s="14"/>
      <c r="H62" s="131"/>
    </row>
    <row r="63">
      <c r="A63" s="3" t="b">
        <v>0</v>
      </c>
      <c r="B63" s="130"/>
      <c r="C63" s="131"/>
      <c r="D63" s="131"/>
      <c r="E63" s="131"/>
      <c r="F63" s="14"/>
      <c r="G63" s="14"/>
      <c r="H63" s="131"/>
    </row>
    <row r="64">
      <c r="A64" s="3" t="b">
        <v>0</v>
      </c>
      <c r="B64" s="130"/>
      <c r="C64" s="131"/>
      <c r="D64" s="131"/>
      <c r="E64" s="131"/>
      <c r="F64" s="14"/>
      <c r="G64" s="14"/>
      <c r="H64" s="131"/>
    </row>
    <row r="65">
      <c r="A65" s="3" t="b">
        <v>0</v>
      </c>
      <c r="B65" s="130"/>
      <c r="C65" s="131"/>
      <c r="D65" s="131"/>
      <c r="E65" s="131"/>
      <c r="F65" s="14"/>
      <c r="G65" s="14"/>
      <c r="H65" s="131"/>
    </row>
    <row r="66">
      <c r="A66" s="3" t="b">
        <v>0</v>
      </c>
      <c r="B66" s="130"/>
      <c r="C66" s="131"/>
      <c r="D66" s="131"/>
      <c r="E66" s="131"/>
      <c r="F66" s="14"/>
      <c r="G66" s="14"/>
      <c r="H66" s="131"/>
    </row>
    <row r="67">
      <c r="A67" s="3" t="b">
        <v>0</v>
      </c>
      <c r="B67" s="130"/>
      <c r="C67" s="131"/>
      <c r="D67" s="131"/>
      <c r="E67" s="131"/>
      <c r="F67" s="14"/>
      <c r="G67" s="14"/>
      <c r="H67" s="131"/>
    </row>
    <row r="68">
      <c r="A68" s="3" t="b">
        <v>0</v>
      </c>
      <c r="B68" s="130"/>
      <c r="C68" s="131"/>
      <c r="D68" s="131"/>
      <c r="E68" s="131"/>
      <c r="F68" s="14"/>
      <c r="G68" s="14"/>
      <c r="H68" s="131"/>
    </row>
    <row r="69">
      <c r="A69" s="3" t="b">
        <v>0</v>
      </c>
      <c r="B69" s="130"/>
      <c r="C69" s="131"/>
      <c r="D69" s="131"/>
      <c r="E69" s="131"/>
      <c r="F69" s="14"/>
      <c r="G69" s="14"/>
      <c r="H69" s="131"/>
    </row>
    <row r="70">
      <c r="A70" s="3" t="b">
        <v>0</v>
      </c>
      <c r="B70" s="130"/>
      <c r="C70" s="131"/>
      <c r="D70" s="131"/>
      <c r="E70" s="131"/>
      <c r="F70" s="14"/>
      <c r="G70" s="14"/>
      <c r="H70" s="131"/>
    </row>
    <row r="71">
      <c r="A71" s="3" t="b">
        <v>0</v>
      </c>
      <c r="B71" s="130"/>
      <c r="C71" s="131"/>
      <c r="D71" s="131"/>
      <c r="E71" s="131"/>
      <c r="F71" s="14"/>
      <c r="G71" s="14"/>
      <c r="H71" s="131"/>
    </row>
    <row r="72">
      <c r="A72" s="3" t="b">
        <v>0</v>
      </c>
      <c r="B72" s="130"/>
      <c r="C72" s="131"/>
      <c r="D72" s="131"/>
      <c r="E72" s="131"/>
      <c r="F72" s="14"/>
      <c r="G72" s="14"/>
      <c r="H72" s="131"/>
    </row>
    <row r="73">
      <c r="A73" s="3" t="b">
        <v>0</v>
      </c>
      <c r="B73" s="130"/>
      <c r="C73" s="131"/>
      <c r="D73" s="131"/>
      <c r="E73" s="131"/>
      <c r="F73" s="14"/>
      <c r="G73" s="14"/>
      <c r="H73" s="131"/>
    </row>
    <row r="74">
      <c r="A74" s="3" t="b">
        <v>0</v>
      </c>
      <c r="B74" s="130"/>
      <c r="C74" s="131"/>
      <c r="D74" s="131"/>
      <c r="E74" s="131"/>
      <c r="F74" s="14"/>
      <c r="G74" s="14"/>
      <c r="H74" s="131"/>
    </row>
    <row r="75">
      <c r="A75" s="3" t="b">
        <v>0</v>
      </c>
      <c r="B75" s="130"/>
      <c r="C75" s="131"/>
      <c r="D75" s="131"/>
      <c r="E75" s="131"/>
      <c r="F75" s="14"/>
      <c r="G75" s="14"/>
      <c r="H75" s="131"/>
    </row>
    <row r="76">
      <c r="A76" s="3" t="b">
        <v>0</v>
      </c>
      <c r="B76" s="130"/>
      <c r="C76" s="131"/>
      <c r="D76" s="131"/>
      <c r="E76" s="131"/>
      <c r="F76" s="14"/>
      <c r="G76" s="14"/>
      <c r="H76" s="131"/>
    </row>
    <row r="77">
      <c r="A77" s="3" t="b">
        <v>0</v>
      </c>
      <c r="B77" s="130"/>
      <c r="C77" s="131"/>
      <c r="D77" s="131"/>
      <c r="E77" s="131"/>
      <c r="F77" s="14"/>
      <c r="G77" s="14"/>
      <c r="H77" s="131"/>
    </row>
    <row r="78">
      <c r="A78" s="3" t="b">
        <v>0</v>
      </c>
      <c r="B78" s="130"/>
      <c r="C78" s="131"/>
      <c r="D78" s="131"/>
      <c r="E78" s="131"/>
      <c r="F78" s="14"/>
      <c r="G78" s="14"/>
      <c r="H78" s="131"/>
    </row>
    <row r="79">
      <c r="A79" s="3" t="b">
        <v>0</v>
      </c>
      <c r="B79" s="130"/>
      <c r="C79" s="131"/>
      <c r="D79" s="131"/>
      <c r="E79" s="131"/>
      <c r="F79" s="14"/>
      <c r="G79" s="14"/>
      <c r="H79" s="131"/>
    </row>
    <row r="80">
      <c r="A80" s="3" t="b">
        <v>0</v>
      </c>
      <c r="B80" s="130"/>
      <c r="C80" s="131"/>
      <c r="D80" s="131"/>
      <c r="E80" s="131"/>
      <c r="F80" s="14"/>
      <c r="G80" s="14"/>
      <c r="H80" s="131"/>
    </row>
    <row r="81">
      <c r="A81" s="3" t="b">
        <v>0</v>
      </c>
      <c r="B81" s="130"/>
      <c r="C81" s="131"/>
      <c r="D81" s="131"/>
      <c r="E81" s="131"/>
      <c r="F81" s="14"/>
      <c r="G81" s="14"/>
      <c r="H81" s="131"/>
    </row>
    <row r="82">
      <c r="A82" s="3" t="b">
        <v>0</v>
      </c>
      <c r="B82" s="130"/>
      <c r="C82" s="131"/>
      <c r="D82" s="131"/>
      <c r="E82" s="131"/>
      <c r="F82" s="14"/>
      <c r="G82" s="14"/>
      <c r="H82" s="131"/>
    </row>
    <row r="83">
      <c r="A83" s="3" t="b">
        <v>0</v>
      </c>
      <c r="B83" s="130"/>
      <c r="C83" s="131"/>
      <c r="D83" s="131"/>
      <c r="E83" s="131"/>
      <c r="F83" s="14"/>
      <c r="G83" s="14"/>
      <c r="H83" s="131"/>
    </row>
    <row r="84">
      <c r="A84" s="3" t="b">
        <v>0</v>
      </c>
      <c r="B84" s="130"/>
      <c r="C84" s="131"/>
      <c r="D84" s="131"/>
      <c r="E84" s="131"/>
      <c r="F84" s="14"/>
      <c r="G84" s="14"/>
      <c r="H84" s="131"/>
    </row>
    <row r="85">
      <c r="A85" s="3" t="b">
        <v>0</v>
      </c>
      <c r="B85" s="130"/>
      <c r="C85" s="131"/>
      <c r="D85" s="131"/>
      <c r="E85" s="131"/>
      <c r="F85" s="14"/>
      <c r="G85" s="14"/>
      <c r="H85" s="131"/>
    </row>
    <row r="86">
      <c r="A86" s="3" t="b">
        <v>0</v>
      </c>
      <c r="B86" s="130"/>
      <c r="C86" s="131"/>
      <c r="D86" s="131"/>
      <c r="E86" s="131"/>
      <c r="F86" s="14"/>
      <c r="G86" s="14"/>
      <c r="H86" s="131"/>
    </row>
    <row r="87">
      <c r="A87" s="3" t="b">
        <v>0</v>
      </c>
      <c r="B87" s="130"/>
      <c r="C87" s="131"/>
      <c r="D87" s="131"/>
      <c r="E87" s="131"/>
      <c r="F87" s="14"/>
      <c r="G87" s="14"/>
      <c r="H87" s="131"/>
    </row>
    <row r="88">
      <c r="A88" s="3" t="b">
        <v>0</v>
      </c>
      <c r="B88" s="130"/>
      <c r="C88" s="131"/>
      <c r="D88" s="131"/>
      <c r="E88" s="131"/>
      <c r="F88" s="14"/>
      <c r="G88" s="14"/>
      <c r="H88" s="131"/>
    </row>
    <row r="89">
      <c r="A89" s="3" t="b">
        <v>0</v>
      </c>
      <c r="B89" s="130"/>
      <c r="C89" s="131"/>
      <c r="D89" s="131"/>
      <c r="E89" s="131"/>
      <c r="F89" s="14"/>
      <c r="G89" s="14"/>
      <c r="H89" s="131"/>
    </row>
    <row r="90">
      <c r="A90" s="3" t="b">
        <v>0</v>
      </c>
      <c r="B90" s="130"/>
      <c r="C90" s="131"/>
      <c r="D90" s="131"/>
      <c r="E90" s="131"/>
      <c r="F90" s="14"/>
      <c r="G90" s="14"/>
      <c r="H90" s="131"/>
    </row>
    <row r="91">
      <c r="A91" s="3" t="b">
        <v>0</v>
      </c>
      <c r="B91" s="130"/>
      <c r="C91" s="131"/>
      <c r="D91" s="131"/>
      <c r="E91" s="131"/>
      <c r="F91" s="14"/>
      <c r="G91" s="14"/>
      <c r="H91" s="131"/>
    </row>
    <row r="92">
      <c r="A92" s="3" t="b">
        <v>0</v>
      </c>
      <c r="B92" s="130"/>
      <c r="C92" s="131"/>
      <c r="D92" s="131"/>
      <c r="E92" s="131"/>
      <c r="F92" s="14"/>
      <c r="G92" s="14"/>
      <c r="H92" s="131"/>
    </row>
    <row r="93">
      <c r="A93" s="3" t="b">
        <v>0</v>
      </c>
      <c r="B93" s="130"/>
      <c r="C93" s="131"/>
      <c r="D93" s="131"/>
      <c r="E93" s="131"/>
      <c r="F93" s="14"/>
      <c r="G93" s="14"/>
      <c r="H93" s="131"/>
    </row>
    <row r="94">
      <c r="A94" s="3" t="b">
        <v>0</v>
      </c>
      <c r="B94" s="130"/>
      <c r="C94" s="131"/>
      <c r="D94" s="131"/>
      <c r="E94" s="131"/>
      <c r="F94" s="14"/>
      <c r="G94" s="14"/>
      <c r="H94" s="131"/>
    </row>
    <row r="95">
      <c r="A95" s="3" t="b">
        <v>0</v>
      </c>
      <c r="B95" s="130"/>
      <c r="C95" s="131"/>
      <c r="D95" s="131"/>
      <c r="E95" s="131"/>
      <c r="F95" s="14"/>
      <c r="G95" s="14"/>
      <c r="H95" s="131"/>
    </row>
    <row r="96">
      <c r="A96" s="3" t="b">
        <v>0</v>
      </c>
      <c r="B96" s="130"/>
      <c r="C96" s="131"/>
      <c r="D96" s="131"/>
      <c r="E96" s="131"/>
      <c r="F96" s="14"/>
      <c r="G96" s="14"/>
      <c r="H96" s="131"/>
    </row>
    <row r="97">
      <c r="A97" s="3" t="b">
        <v>0</v>
      </c>
      <c r="B97" s="130"/>
      <c r="C97" s="131"/>
      <c r="D97" s="131"/>
      <c r="E97" s="131"/>
      <c r="F97" s="14"/>
      <c r="G97" s="14"/>
      <c r="H97" s="131"/>
    </row>
    <row r="98">
      <c r="A98" s="3" t="b">
        <v>0</v>
      </c>
      <c r="B98" s="130"/>
      <c r="C98" s="131"/>
      <c r="D98" s="131"/>
      <c r="E98" s="131"/>
      <c r="F98" s="14"/>
      <c r="G98" s="14"/>
      <c r="H98" s="131"/>
    </row>
    <row r="99">
      <c r="A99" s="3" t="b">
        <v>0</v>
      </c>
      <c r="B99" s="130"/>
      <c r="C99" s="131"/>
      <c r="D99" s="131"/>
      <c r="E99" s="131"/>
      <c r="F99" s="14"/>
      <c r="G99" s="14"/>
      <c r="H99" s="131"/>
    </row>
    <row r="100">
      <c r="A100" s="3" t="b">
        <v>0</v>
      </c>
      <c r="B100" s="130"/>
      <c r="C100" s="131"/>
      <c r="D100" s="131"/>
      <c r="E100" s="131"/>
      <c r="F100" s="14"/>
      <c r="G100" s="14"/>
      <c r="H100" s="131"/>
    </row>
    <row r="101">
      <c r="A101" s="3" t="b">
        <v>0</v>
      </c>
      <c r="B101" s="130"/>
      <c r="C101" s="131"/>
      <c r="D101" s="131"/>
      <c r="E101" s="131"/>
      <c r="F101" s="14"/>
      <c r="G101" s="14"/>
      <c r="H101" s="131"/>
    </row>
    <row r="102">
      <c r="A102" s="3" t="b">
        <v>0</v>
      </c>
      <c r="B102" s="130"/>
      <c r="C102" s="131"/>
      <c r="D102" s="131"/>
      <c r="E102" s="131"/>
      <c r="F102" s="14"/>
      <c r="G102" s="14"/>
      <c r="H102" s="131"/>
    </row>
    <row r="103">
      <c r="A103" s="3" t="b">
        <v>0</v>
      </c>
      <c r="B103" s="130"/>
      <c r="C103" s="131"/>
      <c r="D103" s="131"/>
      <c r="E103" s="131"/>
      <c r="F103" s="14"/>
      <c r="G103" s="14"/>
      <c r="H103" s="131"/>
    </row>
    <row r="104">
      <c r="A104" s="3" t="b">
        <v>0</v>
      </c>
      <c r="B104" s="130"/>
      <c r="C104" s="131"/>
      <c r="D104" s="131"/>
      <c r="E104" s="131"/>
      <c r="F104" s="14"/>
      <c r="G104" s="14"/>
      <c r="H104" s="131"/>
    </row>
    <row r="105">
      <c r="A105" s="3" t="b">
        <v>0</v>
      </c>
      <c r="B105" s="130"/>
      <c r="C105" s="131"/>
      <c r="D105" s="131"/>
      <c r="E105" s="131"/>
      <c r="F105" s="14"/>
      <c r="G105" s="14"/>
      <c r="H105" s="131"/>
    </row>
    <row r="106">
      <c r="A106" s="3" t="b">
        <v>0</v>
      </c>
      <c r="B106" s="130"/>
      <c r="C106" s="131"/>
      <c r="D106" s="131"/>
      <c r="E106" s="131"/>
      <c r="F106" s="14"/>
      <c r="G106" s="14"/>
      <c r="H106" s="131"/>
    </row>
    <row r="107">
      <c r="A107" s="3" t="b">
        <v>0</v>
      </c>
      <c r="B107" s="130"/>
      <c r="C107" s="131"/>
      <c r="D107" s="131"/>
      <c r="E107" s="131"/>
      <c r="F107" s="14"/>
      <c r="G107" s="14"/>
      <c r="H107" s="131"/>
    </row>
    <row r="108">
      <c r="A108" s="3" t="b">
        <v>0</v>
      </c>
      <c r="B108" s="130"/>
      <c r="C108" s="131"/>
      <c r="D108" s="131"/>
      <c r="E108" s="131"/>
      <c r="F108" s="14"/>
      <c r="G108" s="14"/>
      <c r="H108" s="131"/>
    </row>
    <row r="109">
      <c r="A109" s="3" t="b">
        <v>0</v>
      </c>
      <c r="B109" s="130"/>
      <c r="C109" s="131"/>
      <c r="D109" s="131"/>
      <c r="E109" s="131"/>
      <c r="F109" s="14"/>
      <c r="G109" s="14"/>
      <c r="H109" s="131"/>
    </row>
    <row r="110">
      <c r="A110" s="3" t="b">
        <v>0</v>
      </c>
      <c r="B110" s="130"/>
      <c r="C110" s="131"/>
      <c r="D110" s="131"/>
      <c r="E110" s="131"/>
      <c r="F110" s="14"/>
      <c r="G110" s="14"/>
      <c r="H110" s="131"/>
    </row>
    <row r="111">
      <c r="A111" s="3" t="b">
        <v>0</v>
      </c>
      <c r="B111" s="130"/>
      <c r="C111" s="131"/>
      <c r="D111" s="131"/>
      <c r="E111" s="131"/>
      <c r="F111" s="14"/>
      <c r="G111" s="14"/>
      <c r="H111" s="131"/>
    </row>
    <row r="112">
      <c r="A112" s="3" t="b">
        <v>0</v>
      </c>
      <c r="B112" s="130"/>
      <c r="C112" s="131"/>
      <c r="D112" s="131"/>
      <c r="E112" s="131"/>
      <c r="F112" s="14"/>
      <c r="G112" s="14"/>
      <c r="H112" s="131"/>
    </row>
    <row r="113">
      <c r="A113" s="3" t="b">
        <v>0</v>
      </c>
      <c r="B113" s="130"/>
      <c r="C113" s="131"/>
      <c r="D113" s="131"/>
      <c r="E113" s="131"/>
      <c r="F113" s="14"/>
      <c r="G113" s="14"/>
      <c r="H113" s="131"/>
    </row>
    <row r="114">
      <c r="A114" s="3" t="b">
        <v>0</v>
      </c>
      <c r="B114" s="130"/>
      <c r="C114" s="131"/>
      <c r="D114" s="131"/>
      <c r="E114" s="131"/>
      <c r="F114" s="14"/>
      <c r="G114" s="14"/>
      <c r="H114" s="131"/>
    </row>
    <row r="115">
      <c r="A115" s="3" t="b">
        <v>0</v>
      </c>
      <c r="B115" s="130"/>
      <c r="C115" s="131"/>
      <c r="D115" s="131"/>
      <c r="E115" s="131"/>
      <c r="F115" s="14"/>
      <c r="G115" s="14"/>
      <c r="H115" s="131"/>
    </row>
    <row r="116">
      <c r="A116" s="3" t="b">
        <v>0</v>
      </c>
      <c r="B116" s="130"/>
      <c r="C116" s="131"/>
      <c r="D116" s="131"/>
      <c r="E116" s="131"/>
      <c r="F116" s="14"/>
      <c r="G116" s="14"/>
      <c r="H116" s="131"/>
    </row>
    <row r="117">
      <c r="A117" s="3" t="b">
        <v>0</v>
      </c>
      <c r="B117" s="130"/>
      <c r="C117" s="131"/>
      <c r="D117" s="131"/>
      <c r="E117" s="131"/>
      <c r="F117" s="14"/>
      <c r="G117" s="14"/>
      <c r="H117" s="131"/>
    </row>
    <row r="118">
      <c r="A118" s="3" t="b">
        <v>0</v>
      </c>
      <c r="B118" s="130"/>
      <c r="C118" s="131"/>
      <c r="D118" s="131"/>
      <c r="E118" s="131"/>
      <c r="F118" s="14"/>
      <c r="G118" s="14"/>
      <c r="H118" s="131"/>
    </row>
    <row r="119">
      <c r="A119" s="3" t="b">
        <v>0</v>
      </c>
      <c r="B119" s="130"/>
      <c r="C119" s="131"/>
      <c r="D119" s="131"/>
      <c r="E119" s="131"/>
      <c r="F119" s="14"/>
      <c r="G119" s="14"/>
      <c r="H119" s="131"/>
    </row>
    <row r="120">
      <c r="A120" s="3" t="b">
        <v>0</v>
      </c>
      <c r="B120" s="130"/>
      <c r="C120" s="131"/>
      <c r="D120" s="131"/>
      <c r="E120" s="131"/>
      <c r="F120" s="14"/>
      <c r="G120" s="14"/>
      <c r="H120" s="131"/>
    </row>
    <row r="121">
      <c r="A121" s="3" t="b">
        <v>0</v>
      </c>
      <c r="B121" s="130"/>
      <c r="C121" s="131"/>
      <c r="D121" s="131"/>
      <c r="E121" s="131"/>
      <c r="F121" s="14"/>
      <c r="G121" s="14"/>
      <c r="H121" s="131"/>
    </row>
    <row r="122">
      <c r="A122" s="3" t="b">
        <v>0</v>
      </c>
      <c r="B122" s="130"/>
      <c r="C122" s="131"/>
      <c r="D122" s="131"/>
      <c r="E122" s="131"/>
      <c r="F122" s="14"/>
      <c r="G122" s="14"/>
      <c r="H122" s="131"/>
    </row>
    <row r="123">
      <c r="A123" s="3" t="b">
        <v>0</v>
      </c>
      <c r="B123" s="130"/>
      <c r="C123" s="131"/>
      <c r="D123" s="131"/>
      <c r="E123" s="131"/>
      <c r="F123" s="14"/>
      <c r="G123" s="14"/>
      <c r="H123" s="131"/>
    </row>
    <row r="124">
      <c r="A124" s="3" t="b">
        <v>0</v>
      </c>
      <c r="B124" s="130"/>
      <c r="C124" s="131"/>
      <c r="D124" s="131"/>
      <c r="E124" s="131"/>
      <c r="F124" s="14"/>
      <c r="G124" s="14"/>
      <c r="H124" s="131"/>
    </row>
    <row r="125">
      <c r="A125" s="3" t="b">
        <v>0</v>
      </c>
      <c r="B125" s="130"/>
      <c r="C125" s="131"/>
      <c r="D125" s="131"/>
      <c r="E125" s="131"/>
      <c r="F125" s="14"/>
      <c r="G125" s="14"/>
      <c r="H125" s="131"/>
    </row>
    <row r="126">
      <c r="A126" s="3" t="b">
        <v>0</v>
      </c>
      <c r="B126" s="130"/>
      <c r="C126" s="131"/>
      <c r="D126" s="131"/>
      <c r="E126" s="131"/>
      <c r="F126" s="14"/>
      <c r="G126" s="14"/>
      <c r="H126" s="131"/>
    </row>
    <row r="127">
      <c r="A127" s="3" t="b">
        <v>0</v>
      </c>
      <c r="B127" s="130"/>
      <c r="C127" s="131"/>
      <c r="D127" s="131"/>
      <c r="E127" s="131"/>
      <c r="F127" s="14"/>
      <c r="G127" s="14"/>
      <c r="H127" s="131"/>
    </row>
    <row r="128">
      <c r="A128" s="3" t="b">
        <v>0</v>
      </c>
      <c r="B128" s="130"/>
      <c r="C128" s="131"/>
      <c r="D128" s="131"/>
      <c r="E128" s="131"/>
      <c r="F128" s="14"/>
      <c r="G128" s="14"/>
      <c r="H128" s="131"/>
    </row>
    <row r="129">
      <c r="A129" s="3" t="b">
        <v>0</v>
      </c>
      <c r="B129" s="130"/>
      <c r="C129" s="131"/>
      <c r="D129" s="131"/>
      <c r="E129" s="131"/>
      <c r="F129" s="14"/>
      <c r="G129" s="14"/>
      <c r="H129" s="131"/>
    </row>
    <row r="130">
      <c r="A130" s="3" t="b">
        <v>0</v>
      </c>
      <c r="B130" s="130"/>
      <c r="C130" s="131"/>
      <c r="D130" s="131"/>
      <c r="E130" s="131"/>
      <c r="F130" s="14"/>
      <c r="G130" s="14"/>
      <c r="H130" s="131"/>
    </row>
    <row r="131">
      <c r="A131" s="3" t="b">
        <v>0</v>
      </c>
      <c r="B131" s="130"/>
      <c r="C131" s="131"/>
      <c r="D131" s="131"/>
      <c r="E131" s="131"/>
      <c r="F131" s="14"/>
      <c r="G131" s="14"/>
      <c r="H131" s="131"/>
    </row>
    <row r="132">
      <c r="A132" s="3" t="b">
        <v>0</v>
      </c>
      <c r="B132" s="130"/>
      <c r="C132" s="131"/>
      <c r="D132" s="131"/>
      <c r="E132" s="131"/>
      <c r="F132" s="14"/>
      <c r="G132" s="14"/>
      <c r="H132" s="131"/>
    </row>
    <row r="133">
      <c r="A133" s="3" t="b">
        <v>0</v>
      </c>
      <c r="B133" s="130"/>
      <c r="C133" s="131"/>
      <c r="D133" s="131"/>
      <c r="E133" s="131"/>
      <c r="F133" s="14"/>
      <c r="G133" s="14"/>
      <c r="H133" s="131"/>
    </row>
    <row r="134">
      <c r="A134" s="3" t="b">
        <v>0</v>
      </c>
      <c r="B134" s="130"/>
      <c r="C134" s="131"/>
      <c r="D134" s="131"/>
      <c r="E134" s="131"/>
      <c r="F134" s="14"/>
      <c r="G134" s="14"/>
      <c r="H134" s="131"/>
    </row>
    <row r="135">
      <c r="A135" s="3" t="b">
        <v>0</v>
      </c>
      <c r="B135" s="130"/>
      <c r="C135" s="131"/>
      <c r="D135" s="131"/>
      <c r="E135" s="131"/>
      <c r="F135" s="14"/>
      <c r="G135" s="14"/>
      <c r="H135" s="131"/>
    </row>
    <row r="136">
      <c r="A136" s="3" t="b">
        <v>0</v>
      </c>
      <c r="B136" s="130"/>
      <c r="C136" s="131"/>
      <c r="D136" s="131"/>
      <c r="E136" s="131"/>
      <c r="F136" s="14"/>
      <c r="G136" s="14"/>
      <c r="H136" s="131"/>
    </row>
    <row r="137">
      <c r="A137" s="3" t="b">
        <v>0</v>
      </c>
      <c r="B137" s="130"/>
      <c r="C137" s="131"/>
      <c r="D137" s="131"/>
      <c r="E137" s="131"/>
      <c r="F137" s="14"/>
      <c r="G137" s="14"/>
      <c r="H137" s="131"/>
    </row>
    <row r="138">
      <c r="A138" s="3" t="b">
        <v>0</v>
      </c>
      <c r="B138" s="130"/>
      <c r="C138" s="131"/>
      <c r="D138" s="131"/>
      <c r="E138" s="131"/>
      <c r="F138" s="14"/>
      <c r="G138" s="14"/>
      <c r="H138" s="131"/>
    </row>
    <row r="139">
      <c r="A139" s="3" t="b">
        <v>0</v>
      </c>
      <c r="B139" s="130"/>
      <c r="C139" s="131"/>
      <c r="D139" s="131"/>
      <c r="E139" s="131"/>
      <c r="F139" s="14"/>
      <c r="G139" s="14"/>
      <c r="H139" s="131"/>
    </row>
    <row r="140">
      <c r="A140" s="3" t="b">
        <v>0</v>
      </c>
      <c r="B140" s="130"/>
      <c r="C140" s="131"/>
      <c r="D140" s="131"/>
      <c r="E140" s="131"/>
      <c r="F140" s="14"/>
      <c r="G140" s="14"/>
      <c r="H140" s="131"/>
    </row>
    <row r="141">
      <c r="A141" s="3" t="b">
        <v>0</v>
      </c>
      <c r="B141" s="130"/>
      <c r="C141" s="131"/>
      <c r="D141" s="131"/>
      <c r="E141" s="131"/>
      <c r="F141" s="14"/>
      <c r="G141" s="14"/>
      <c r="H141" s="131"/>
    </row>
    <row r="142">
      <c r="A142" s="3" t="b">
        <v>0</v>
      </c>
      <c r="B142" s="130"/>
      <c r="C142" s="131"/>
      <c r="D142" s="131"/>
      <c r="E142" s="131"/>
      <c r="F142" s="14"/>
      <c r="G142" s="14"/>
      <c r="H142" s="131"/>
    </row>
    <row r="143">
      <c r="A143" s="3" t="b">
        <v>0</v>
      </c>
      <c r="B143" s="130"/>
      <c r="C143" s="131"/>
      <c r="D143" s="131"/>
      <c r="E143" s="131"/>
      <c r="F143" s="14"/>
      <c r="G143" s="14"/>
      <c r="H143" s="131"/>
    </row>
    <row r="144">
      <c r="A144" s="3" t="b">
        <v>0</v>
      </c>
      <c r="B144" s="130"/>
      <c r="C144" s="131"/>
      <c r="D144" s="131"/>
      <c r="E144" s="131"/>
      <c r="F144" s="14"/>
      <c r="G144" s="14"/>
      <c r="H144" s="131"/>
    </row>
    <row r="145">
      <c r="A145" s="3" t="b">
        <v>0</v>
      </c>
      <c r="B145" s="130"/>
      <c r="C145" s="131"/>
      <c r="D145" s="131"/>
      <c r="E145" s="131"/>
      <c r="F145" s="14"/>
      <c r="G145" s="14"/>
      <c r="H145" s="131"/>
    </row>
    <row r="146">
      <c r="A146" s="3" t="b">
        <v>0</v>
      </c>
      <c r="B146" s="130"/>
      <c r="C146" s="131"/>
      <c r="D146" s="131"/>
      <c r="E146" s="131"/>
      <c r="F146" s="14"/>
      <c r="G146" s="14"/>
      <c r="H146" s="131"/>
    </row>
    <row r="147">
      <c r="A147" s="3" t="b">
        <v>0</v>
      </c>
      <c r="B147" s="130"/>
      <c r="C147" s="131"/>
      <c r="D147" s="131"/>
      <c r="E147" s="131"/>
      <c r="F147" s="14"/>
      <c r="G147" s="14"/>
      <c r="H147" s="131"/>
    </row>
    <row r="148">
      <c r="A148" s="3" t="b">
        <v>0</v>
      </c>
      <c r="B148" s="130"/>
      <c r="C148" s="131"/>
      <c r="D148" s="131"/>
      <c r="E148" s="131"/>
      <c r="F148" s="14"/>
      <c r="G148" s="14"/>
      <c r="H148" s="131"/>
    </row>
    <row r="149">
      <c r="A149" s="3" t="b">
        <v>0</v>
      </c>
      <c r="B149" s="130"/>
      <c r="C149" s="131"/>
      <c r="D149" s="131"/>
      <c r="E149" s="131"/>
      <c r="F149" s="14"/>
      <c r="G149" s="14"/>
      <c r="H149" s="131"/>
    </row>
    <row r="150">
      <c r="A150" s="3" t="b">
        <v>0</v>
      </c>
      <c r="B150" s="130"/>
      <c r="C150" s="131"/>
      <c r="D150" s="131"/>
      <c r="E150" s="131"/>
      <c r="F150" s="14"/>
      <c r="G150" s="14"/>
      <c r="H150" s="131"/>
    </row>
    <row r="151">
      <c r="A151" s="3" t="b">
        <v>0</v>
      </c>
      <c r="B151" s="130"/>
      <c r="C151" s="131"/>
      <c r="D151" s="131"/>
      <c r="E151" s="131"/>
      <c r="F151" s="14"/>
      <c r="G151" s="14"/>
      <c r="H151" s="131"/>
    </row>
    <row r="152">
      <c r="A152" s="3" t="b">
        <v>0</v>
      </c>
      <c r="B152" s="130"/>
      <c r="C152" s="131"/>
      <c r="D152" s="131"/>
      <c r="E152" s="131"/>
      <c r="F152" s="14"/>
      <c r="G152" s="14"/>
      <c r="H152" s="131"/>
    </row>
    <row r="153">
      <c r="A153" s="3" t="b">
        <v>0</v>
      </c>
      <c r="B153" s="130"/>
      <c r="C153" s="131"/>
      <c r="D153" s="131"/>
      <c r="E153" s="131"/>
      <c r="F153" s="14"/>
      <c r="G153" s="14"/>
      <c r="H153" s="131"/>
    </row>
    <row r="154">
      <c r="A154" s="3" t="b">
        <v>0</v>
      </c>
      <c r="B154" s="130"/>
      <c r="C154" s="131"/>
      <c r="D154" s="131"/>
      <c r="E154" s="131"/>
      <c r="F154" s="14"/>
      <c r="G154" s="14"/>
      <c r="H154" s="131"/>
    </row>
    <row r="155">
      <c r="A155" s="3" t="b">
        <v>0</v>
      </c>
      <c r="B155" s="130"/>
      <c r="C155" s="131"/>
      <c r="D155" s="131"/>
      <c r="E155" s="131"/>
      <c r="F155" s="14"/>
      <c r="G155" s="14"/>
      <c r="H155" s="131"/>
    </row>
    <row r="156">
      <c r="A156" s="3" t="b">
        <v>0</v>
      </c>
      <c r="B156" s="130"/>
      <c r="C156" s="131"/>
      <c r="D156" s="131"/>
      <c r="E156" s="131"/>
      <c r="F156" s="14"/>
      <c r="G156" s="14"/>
      <c r="H156" s="131"/>
    </row>
    <row r="157">
      <c r="A157" s="3" t="b">
        <v>0</v>
      </c>
      <c r="B157" s="130"/>
      <c r="C157" s="131"/>
      <c r="D157" s="131"/>
      <c r="E157" s="131"/>
      <c r="F157" s="14"/>
      <c r="G157" s="14"/>
      <c r="H157" s="131"/>
    </row>
    <row r="158">
      <c r="A158" s="3" t="b">
        <v>0</v>
      </c>
      <c r="B158" s="130"/>
      <c r="C158" s="131"/>
      <c r="D158" s="131"/>
      <c r="E158" s="131"/>
      <c r="F158" s="14"/>
      <c r="G158" s="14"/>
      <c r="H158" s="131"/>
    </row>
    <row r="159">
      <c r="A159" s="3" t="b">
        <v>0</v>
      </c>
      <c r="B159" s="130"/>
      <c r="C159" s="131"/>
      <c r="D159" s="131"/>
      <c r="E159" s="131"/>
      <c r="F159" s="14"/>
      <c r="G159" s="14"/>
      <c r="H159" s="131"/>
    </row>
    <row r="160">
      <c r="A160" s="3" t="b">
        <v>0</v>
      </c>
      <c r="B160" s="130"/>
      <c r="C160" s="131"/>
      <c r="D160" s="131"/>
      <c r="E160" s="131"/>
      <c r="F160" s="14"/>
      <c r="G160" s="14"/>
      <c r="H160" s="131"/>
    </row>
    <row r="161">
      <c r="A161" s="3" t="b">
        <v>0</v>
      </c>
      <c r="B161" s="130"/>
      <c r="C161" s="131"/>
      <c r="D161" s="131"/>
      <c r="E161" s="131"/>
      <c r="F161" s="14"/>
      <c r="G161" s="14"/>
      <c r="H161" s="131"/>
    </row>
    <row r="162">
      <c r="A162" s="3" t="b">
        <v>0</v>
      </c>
      <c r="B162" s="130"/>
      <c r="C162" s="131"/>
      <c r="D162" s="131"/>
      <c r="E162" s="131"/>
      <c r="F162" s="14"/>
      <c r="G162" s="14"/>
      <c r="H162" s="131"/>
    </row>
    <row r="163">
      <c r="A163" s="3" t="b">
        <v>0</v>
      </c>
      <c r="B163" s="130"/>
      <c r="C163" s="131"/>
      <c r="D163" s="131"/>
      <c r="E163" s="131"/>
      <c r="F163" s="14"/>
      <c r="G163" s="14"/>
      <c r="H163" s="131"/>
    </row>
    <row r="164">
      <c r="A164" s="3" t="b">
        <v>0</v>
      </c>
      <c r="B164" s="130"/>
      <c r="C164" s="131"/>
      <c r="D164" s="131"/>
      <c r="E164" s="131"/>
      <c r="F164" s="14"/>
      <c r="G164" s="14"/>
      <c r="H164" s="131"/>
    </row>
    <row r="165">
      <c r="A165" s="3" t="b">
        <v>0</v>
      </c>
      <c r="B165" s="130"/>
      <c r="C165" s="131"/>
      <c r="D165" s="131"/>
      <c r="E165" s="131"/>
      <c r="F165" s="14"/>
      <c r="G165" s="14"/>
      <c r="H165" s="131"/>
    </row>
    <row r="166">
      <c r="A166" s="3" t="b">
        <v>0</v>
      </c>
      <c r="B166" s="130"/>
      <c r="C166" s="131"/>
      <c r="D166" s="131"/>
      <c r="E166" s="131"/>
      <c r="F166" s="14"/>
      <c r="G166" s="14"/>
      <c r="H166" s="131"/>
    </row>
    <row r="167">
      <c r="A167" s="3" t="b">
        <v>0</v>
      </c>
      <c r="B167" s="130"/>
      <c r="C167" s="131"/>
      <c r="D167" s="131"/>
      <c r="E167" s="131"/>
      <c r="F167" s="14"/>
      <c r="G167" s="14"/>
      <c r="H167" s="131"/>
    </row>
    <row r="168">
      <c r="A168" s="3" t="b">
        <v>0</v>
      </c>
      <c r="B168" s="130"/>
      <c r="C168" s="131"/>
      <c r="D168" s="131"/>
      <c r="E168" s="131"/>
      <c r="F168" s="14"/>
      <c r="G168" s="14"/>
      <c r="H168" s="131"/>
    </row>
    <row r="169">
      <c r="A169" s="3" t="b">
        <v>0</v>
      </c>
      <c r="B169" s="130"/>
      <c r="C169" s="131"/>
      <c r="D169" s="131"/>
      <c r="E169" s="131"/>
      <c r="F169" s="14"/>
      <c r="G169" s="14"/>
      <c r="H169" s="131"/>
    </row>
    <row r="170">
      <c r="A170" s="3" t="b">
        <v>0</v>
      </c>
      <c r="B170" s="130"/>
      <c r="C170" s="131"/>
      <c r="D170" s="131"/>
      <c r="E170" s="131"/>
      <c r="F170" s="14"/>
      <c r="G170" s="14"/>
      <c r="H170" s="131"/>
    </row>
    <row r="171">
      <c r="A171" s="3" t="b">
        <v>0</v>
      </c>
      <c r="B171" s="130"/>
      <c r="C171" s="131"/>
      <c r="D171" s="131"/>
      <c r="E171" s="131"/>
      <c r="F171" s="14"/>
      <c r="G171" s="14"/>
      <c r="H171" s="131"/>
    </row>
    <row r="172">
      <c r="A172" s="3" t="b">
        <v>0</v>
      </c>
      <c r="B172" s="130"/>
      <c r="C172" s="131"/>
      <c r="D172" s="131"/>
      <c r="E172" s="131"/>
      <c r="F172" s="14"/>
      <c r="G172" s="14"/>
      <c r="H172" s="131"/>
    </row>
    <row r="173">
      <c r="A173" s="3" t="b">
        <v>0</v>
      </c>
      <c r="B173" s="130"/>
      <c r="C173" s="131"/>
      <c r="D173" s="131"/>
      <c r="E173" s="131"/>
      <c r="F173" s="14"/>
      <c r="G173" s="14"/>
      <c r="H173" s="131"/>
    </row>
    <row r="174">
      <c r="A174" s="3" t="b">
        <v>0</v>
      </c>
      <c r="B174" s="130"/>
      <c r="C174" s="131"/>
      <c r="D174" s="131"/>
      <c r="E174" s="131"/>
      <c r="F174" s="14"/>
      <c r="G174" s="14"/>
      <c r="H174" s="131"/>
    </row>
    <row r="175">
      <c r="A175" s="3" t="b">
        <v>0</v>
      </c>
      <c r="B175" s="130"/>
      <c r="C175" s="131"/>
      <c r="D175" s="131"/>
      <c r="E175" s="131"/>
      <c r="F175" s="14"/>
      <c r="G175" s="14"/>
      <c r="H175" s="131"/>
    </row>
    <row r="176">
      <c r="A176" s="3" t="b">
        <v>0</v>
      </c>
      <c r="B176" s="130"/>
      <c r="C176" s="131"/>
      <c r="D176" s="131"/>
      <c r="E176" s="131"/>
      <c r="F176" s="14"/>
      <c r="G176" s="14"/>
      <c r="H176" s="131"/>
    </row>
    <row r="177">
      <c r="A177" s="3" t="b">
        <v>0</v>
      </c>
      <c r="B177" s="130"/>
      <c r="C177" s="131"/>
      <c r="D177" s="131"/>
      <c r="E177" s="131"/>
      <c r="F177" s="14"/>
      <c r="G177" s="14"/>
      <c r="H177" s="131"/>
    </row>
    <row r="178">
      <c r="A178" s="3" t="b">
        <v>0</v>
      </c>
      <c r="B178" s="130"/>
      <c r="C178" s="131"/>
      <c r="D178" s="131"/>
      <c r="E178" s="131"/>
      <c r="F178" s="14"/>
      <c r="G178" s="14"/>
      <c r="H178" s="131"/>
    </row>
    <row r="179">
      <c r="A179" s="3" t="b">
        <v>0</v>
      </c>
      <c r="B179" s="130"/>
      <c r="C179" s="131"/>
      <c r="D179" s="131"/>
      <c r="E179" s="131"/>
      <c r="F179" s="14"/>
      <c r="G179" s="14"/>
      <c r="H179" s="131"/>
    </row>
    <row r="180">
      <c r="A180" s="3" t="b">
        <v>0</v>
      </c>
      <c r="B180" s="130"/>
      <c r="C180" s="131"/>
      <c r="D180" s="131"/>
      <c r="E180" s="131"/>
      <c r="F180" s="14"/>
      <c r="G180" s="14"/>
      <c r="H180" s="131"/>
    </row>
    <row r="181">
      <c r="A181" s="3" t="b">
        <v>0</v>
      </c>
      <c r="B181" s="130"/>
      <c r="C181" s="131"/>
      <c r="D181" s="131"/>
      <c r="E181" s="131"/>
      <c r="F181" s="14"/>
      <c r="G181" s="14"/>
      <c r="H181" s="131"/>
    </row>
    <row r="182">
      <c r="A182" s="3" t="b">
        <v>0</v>
      </c>
      <c r="B182" s="130"/>
      <c r="C182" s="131"/>
      <c r="D182" s="131"/>
      <c r="E182" s="131"/>
      <c r="F182" s="14"/>
      <c r="G182" s="14"/>
      <c r="H182" s="131"/>
    </row>
    <row r="183">
      <c r="A183" s="3" t="b">
        <v>0</v>
      </c>
      <c r="B183" s="130"/>
      <c r="C183" s="131"/>
      <c r="D183" s="131"/>
      <c r="E183" s="131"/>
      <c r="F183" s="14"/>
      <c r="G183" s="14"/>
      <c r="H183" s="131"/>
    </row>
    <row r="184">
      <c r="A184" s="3" t="b">
        <v>0</v>
      </c>
      <c r="B184" s="130"/>
      <c r="C184" s="131"/>
      <c r="D184" s="131"/>
      <c r="E184" s="131"/>
      <c r="F184" s="14"/>
      <c r="G184" s="14"/>
      <c r="H184" s="131"/>
    </row>
    <row r="185">
      <c r="A185" s="3" t="b">
        <v>0</v>
      </c>
      <c r="B185" s="130"/>
      <c r="C185" s="131"/>
      <c r="D185" s="131"/>
      <c r="E185" s="131"/>
      <c r="F185" s="14"/>
      <c r="G185" s="14"/>
      <c r="H185" s="131"/>
    </row>
    <row r="186">
      <c r="A186" s="3" t="b">
        <v>0</v>
      </c>
      <c r="B186" s="130"/>
      <c r="C186" s="131"/>
      <c r="D186" s="131"/>
      <c r="E186" s="131"/>
      <c r="F186" s="14"/>
      <c r="G186" s="14"/>
      <c r="H186" s="131"/>
    </row>
    <row r="187">
      <c r="A187" s="3" t="b">
        <v>0</v>
      </c>
      <c r="B187" s="130"/>
      <c r="C187" s="131"/>
      <c r="D187" s="131"/>
      <c r="E187" s="131"/>
      <c r="F187" s="14"/>
      <c r="G187" s="14"/>
      <c r="H187" s="131"/>
    </row>
    <row r="188">
      <c r="A188" s="3" t="b">
        <v>0</v>
      </c>
      <c r="B188" s="130"/>
      <c r="C188" s="131"/>
      <c r="D188" s="131"/>
      <c r="E188" s="131"/>
      <c r="F188" s="14"/>
      <c r="G188" s="14"/>
      <c r="H188" s="131"/>
    </row>
    <row r="189">
      <c r="A189" s="3" t="b">
        <v>0</v>
      </c>
      <c r="B189" s="130"/>
      <c r="C189" s="131"/>
      <c r="D189" s="131"/>
      <c r="E189" s="131"/>
      <c r="F189" s="14"/>
      <c r="G189" s="14"/>
      <c r="H189" s="131"/>
    </row>
    <row r="190">
      <c r="A190" s="3" t="b">
        <v>0</v>
      </c>
      <c r="B190" s="130"/>
      <c r="C190" s="131"/>
      <c r="D190" s="131"/>
      <c r="E190" s="131"/>
      <c r="F190" s="14"/>
      <c r="G190" s="14"/>
      <c r="H190" s="131"/>
    </row>
    <row r="191">
      <c r="A191" s="3" t="b">
        <v>0</v>
      </c>
      <c r="B191" s="130"/>
      <c r="C191" s="131"/>
      <c r="D191" s="131"/>
      <c r="E191" s="131"/>
      <c r="F191" s="14"/>
      <c r="G191" s="14"/>
      <c r="H191" s="131"/>
    </row>
    <row r="192">
      <c r="A192" s="3" t="b">
        <v>0</v>
      </c>
      <c r="B192" s="130"/>
      <c r="C192" s="131"/>
      <c r="D192" s="131"/>
      <c r="E192" s="131"/>
      <c r="F192" s="14"/>
      <c r="G192" s="14"/>
      <c r="H192" s="131"/>
    </row>
    <row r="193">
      <c r="A193" s="3" t="b">
        <v>0</v>
      </c>
      <c r="B193" s="130"/>
      <c r="C193" s="131"/>
      <c r="D193" s="131"/>
      <c r="E193" s="131"/>
      <c r="F193" s="14"/>
      <c r="G193" s="14"/>
      <c r="H193" s="131"/>
    </row>
    <row r="194">
      <c r="A194" s="3" t="b">
        <v>0</v>
      </c>
      <c r="B194" s="130"/>
      <c r="C194" s="131"/>
      <c r="D194" s="131"/>
      <c r="E194" s="131"/>
      <c r="F194" s="14"/>
      <c r="G194" s="14"/>
      <c r="H194" s="131"/>
    </row>
    <row r="195">
      <c r="A195" s="3" t="b">
        <v>0</v>
      </c>
      <c r="B195" s="130"/>
      <c r="C195" s="131"/>
      <c r="D195" s="131"/>
      <c r="E195" s="131"/>
      <c r="F195" s="14"/>
      <c r="G195" s="14"/>
      <c r="H195" s="131"/>
    </row>
    <row r="196">
      <c r="A196" s="3" t="b">
        <v>0</v>
      </c>
      <c r="B196" s="130"/>
      <c r="C196" s="131"/>
      <c r="D196" s="131"/>
      <c r="E196" s="131"/>
      <c r="F196" s="14"/>
      <c r="G196" s="14"/>
      <c r="H196" s="131"/>
    </row>
    <row r="197">
      <c r="A197" s="3" t="b">
        <v>0</v>
      </c>
      <c r="B197" s="130"/>
      <c r="C197" s="131"/>
      <c r="D197" s="131"/>
      <c r="E197" s="131"/>
      <c r="F197" s="14"/>
      <c r="G197" s="14"/>
      <c r="H197" s="131"/>
    </row>
    <row r="198">
      <c r="A198" s="3" t="b">
        <v>0</v>
      </c>
      <c r="B198" s="130"/>
      <c r="C198" s="131"/>
      <c r="D198" s="131"/>
      <c r="E198" s="131"/>
      <c r="F198" s="14"/>
      <c r="G198" s="14"/>
      <c r="H198" s="131"/>
    </row>
    <row r="199">
      <c r="A199" s="3" t="b">
        <v>0</v>
      </c>
      <c r="B199" s="130"/>
      <c r="C199" s="131"/>
      <c r="D199" s="131"/>
      <c r="E199" s="131"/>
      <c r="F199" s="14"/>
      <c r="G199" s="14"/>
      <c r="H199" s="131"/>
    </row>
    <row r="200">
      <c r="A200" s="3" t="b">
        <v>0</v>
      </c>
      <c r="B200" s="130"/>
      <c r="C200" s="131"/>
      <c r="D200" s="131"/>
      <c r="E200" s="131"/>
      <c r="F200" s="14"/>
      <c r="G200" s="14"/>
      <c r="H200" s="131"/>
    </row>
    <row r="201">
      <c r="A201" s="3" t="b">
        <v>0</v>
      </c>
      <c r="B201" s="130"/>
      <c r="C201" s="131"/>
      <c r="D201" s="131"/>
      <c r="E201" s="131"/>
      <c r="F201" s="14"/>
      <c r="G201" s="14"/>
      <c r="H201" s="131"/>
    </row>
    <row r="202">
      <c r="A202" s="3" t="b">
        <v>0</v>
      </c>
      <c r="B202" s="130"/>
      <c r="C202" s="131"/>
      <c r="D202" s="131"/>
      <c r="E202" s="131"/>
      <c r="F202" s="14"/>
      <c r="G202" s="14"/>
      <c r="H202" s="131"/>
    </row>
    <row r="203">
      <c r="A203" s="3" t="b">
        <v>0</v>
      </c>
      <c r="B203" s="130"/>
      <c r="C203" s="131"/>
      <c r="D203" s="131"/>
      <c r="E203" s="131"/>
      <c r="F203" s="14"/>
      <c r="G203" s="14"/>
      <c r="H203" s="131"/>
    </row>
    <row r="204">
      <c r="A204" s="3" t="b">
        <v>0</v>
      </c>
      <c r="B204" s="130"/>
      <c r="C204" s="131"/>
      <c r="D204" s="131"/>
      <c r="E204" s="131"/>
      <c r="F204" s="14"/>
      <c r="G204" s="14"/>
      <c r="H204" s="131"/>
    </row>
    <row r="205">
      <c r="A205" s="3" t="b">
        <v>0</v>
      </c>
      <c r="B205" s="130"/>
      <c r="C205" s="131"/>
      <c r="D205" s="131"/>
      <c r="E205" s="131"/>
      <c r="F205" s="14"/>
      <c r="G205" s="14"/>
      <c r="H205" s="131"/>
    </row>
    <row r="206">
      <c r="A206" s="3" t="b">
        <v>0</v>
      </c>
      <c r="B206" s="130"/>
      <c r="C206" s="131"/>
      <c r="D206" s="131"/>
      <c r="E206" s="131"/>
      <c r="F206" s="14"/>
      <c r="G206" s="14"/>
      <c r="H206" s="131"/>
    </row>
    <row r="207">
      <c r="A207" s="3" t="b">
        <v>0</v>
      </c>
      <c r="B207" s="130"/>
      <c r="C207" s="131"/>
      <c r="D207" s="131"/>
      <c r="E207" s="131"/>
      <c r="F207" s="14"/>
      <c r="G207" s="14"/>
      <c r="H207" s="131"/>
    </row>
    <row r="208">
      <c r="A208" s="3" t="b">
        <v>0</v>
      </c>
      <c r="B208" s="130"/>
      <c r="C208" s="131"/>
      <c r="D208" s="131"/>
      <c r="E208" s="131"/>
      <c r="F208" s="14"/>
      <c r="G208" s="14"/>
      <c r="H208" s="131"/>
    </row>
    <row r="209">
      <c r="A209" s="3" t="b">
        <v>0</v>
      </c>
      <c r="B209" s="130"/>
      <c r="C209" s="131"/>
      <c r="D209" s="131"/>
      <c r="E209" s="131"/>
      <c r="F209" s="14"/>
      <c r="G209" s="14"/>
      <c r="H209" s="131"/>
    </row>
    <row r="210">
      <c r="A210" s="3" t="b">
        <v>0</v>
      </c>
      <c r="B210" s="130"/>
      <c r="C210" s="131"/>
      <c r="D210" s="131"/>
      <c r="E210" s="131"/>
      <c r="F210" s="14"/>
      <c r="G210" s="14"/>
      <c r="H210" s="131"/>
    </row>
    <row r="211">
      <c r="A211" s="3" t="b">
        <v>0</v>
      </c>
      <c r="B211" s="130"/>
      <c r="C211" s="131"/>
      <c r="D211" s="131"/>
      <c r="E211" s="131"/>
      <c r="F211" s="14"/>
      <c r="G211" s="14"/>
      <c r="H211" s="131"/>
    </row>
    <row r="212">
      <c r="A212" s="3" t="b">
        <v>0</v>
      </c>
      <c r="B212" s="130"/>
      <c r="C212" s="131"/>
      <c r="D212" s="131"/>
      <c r="E212" s="131"/>
      <c r="F212" s="14"/>
      <c r="G212" s="14"/>
      <c r="H212" s="131"/>
    </row>
    <row r="213">
      <c r="A213" s="3" t="b">
        <v>0</v>
      </c>
      <c r="B213" s="130"/>
      <c r="C213" s="131"/>
      <c r="D213" s="131"/>
      <c r="E213" s="131"/>
      <c r="F213" s="14"/>
      <c r="G213" s="14"/>
      <c r="H213" s="131"/>
    </row>
    <row r="214">
      <c r="A214" s="3" t="b">
        <v>0</v>
      </c>
      <c r="B214" s="130"/>
      <c r="C214" s="131"/>
      <c r="D214" s="131"/>
      <c r="E214" s="131"/>
      <c r="F214" s="14"/>
      <c r="G214" s="14"/>
      <c r="H214" s="131"/>
    </row>
    <row r="215">
      <c r="A215" s="3" t="b">
        <v>0</v>
      </c>
      <c r="B215" s="130"/>
      <c r="C215" s="131"/>
      <c r="D215" s="131"/>
      <c r="E215" s="131"/>
      <c r="F215" s="14"/>
      <c r="G215" s="14"/>
      <c r="H215" s="131"/>
    </row>
    <row r="216">
      <c r="A216" s="3" t="b">
        <v>0</v>
      </c>
      <c r="B216" s="130"/>
      <c r="C216" s="131"/>
      <c r="D216" s="131"/>
      <c r="E216" s="131"/>
      <c r="F216" s="14"/>
      <c r="G216" s="14"/>
      <c r="H216" s="131"/>
    </row>
    <row r="217">
      <c r="A217" s="3" t="b">
        <v>0</v>
      </c>
      <c r="B217" s="130"/>
      <c r="C217" s="131"/>
      <c r="D217" s="131"/>
      <c r="E217" s="131"/>
      <c r="F217" s="14"/>
      <c r="G217" s="14"/>
      <c r="H217" s="131"/>
    </row>
    <row r="218">
      <c r="A218" s="3" t="b">
        <v>0</v>
      </c>
      <c r="B218" s="130"/>
      <c r="C218" s="131"/>
      <c r="D218" s="131"/>
      <c r="E218" s="131"/>
      <c r="F218" s="14"/>
      <c r="G218" s="14"/>
      <c r="H218" s="131"/>
    </row>
    <row r="219">
      <c r="A219" s="3" t="b">
        <v>0</v>
      </c>
      <c r="B219" s="130"/>
      <c r="C219" s="131"/>
      <c r="D219" s="131"/>
      <c r="E219" s="131"/>
      <c r="F219" s="14"/>
      <c r="G219" s="14"/>
      <c r="H219" s="131"/>
    </row>
    <row r="220">
      <c r="A220" s="3" t="b">
        <v>0</v>
      </c>
      <c r="B220" s="130"/>
      <c r="C220" s="131"/>
      <c r="D220" s="131"/>
      <c r="E220" s="131"/>
      <c r="F220" s="14"/>
      <c r="G220" s="14"/>
      <c r="H220" s="131"/>
    </row>
    <row r="221">
      <c r="A221" s="3" t="b">
        <v>0</v>
      </c>
      <c r="B221" s="130"/>
      <c r="C221" s="131"/>
      <c r="D221" s="131"/>
      <c r="E221" s="131"/>
      <c r="F221" s="14"/>
      <c r="G221" s="14"/>
      <c r="H221" s="131"/>
    </row>
    <row r="222">
      <c r="A222" s="3" t="b">
        <v>0</v>
      </c>
      <c r="B222" s="130"/>
      <c r="C222" s="131"/>
      <c r="D222" s="131"/>
      <c r="E222" s="131"/>
      <c r="F222" s="14"/>
      <c r="G222" s="14"/>
      <c r="H222" s="131"/>
    </row>
    <row r="223">
      <c r="A223" s="3" t="b">
        <v>0</v>
      </c>
      <c r="B223" s="130"/>
      <c r="C223" s="131"/>
      <c r="D223" s="131"/>
      <c r="E223" s="131"/>
      <c r="F223" s="14"/>
      <c r="G223" s="14"/>
      <c r="H223" s="131"/>
    </row>
    <row r="224">
      <c r="A224" s="3" t="b">
        <v>0</v>
      </c>
      <c r="B224" s="130"/>
      <c r="C224" s="131"/>
      <c r="D224" s="131"/>
      <c r="E224" s="131"/>
      <c r="F224" s="14"/>
      <c r="G224" s="14"/>
      <c r="H224" s="131"/>
    </row>
    <row r="225">
      <c r="A225" s="3" t="b">
        <v>0</v>
      </c>
      <c r="B225" s="130"/>
      <c r="C225" s="131"/>
      <c r="D225" s="131"/>
      <c r="E225" s="131"/>
      <c r="F225" s="14"/>
      <c r="G225" s="14"/>
      <c r="H225" s="131"/>
    </row>
    <row r="226">
      <c r="A226" s="3" t="b">
        <v>0</v>
      </c>
      <c r="B226" s="130"/>
      <c r="C226" s="131"/>
      <c r="D226" s="131"/>
      <c r="E226" s="131"/>
      <c r="F226" s="14"/>
      <c r="G226" s="14"/>
      <c r="H226" s="131"/>
    </row>
    <row r="227">
      <c r="A227" s="3" t="b">
        <v>0</v>
      </c>
      <c r="B227" s="130"/>
      <c r="C227" s="131"/>
      <c r="D227" s="131"/>
      <c r="E227" s="131"/>
      <c r="F227" s="14"/>
      <c r="G227" s="14"/>
      <c r="H227" s="131"/>
    </row>
    <row r="228">
      <c r="A228" s="3" t="b">
        <v>0</v>
      </c>
      <c r="B228" s="130"/>
      <c r="C228" s="131"/>
      <c r="D228" s="131"/>
      <c r="E228" s="131"/>
      <c r="F228" s="14"/>
      <c r="G228" s="14"/>
      <c r="H228" s="131"/>
    </row>
    <row r="229">
      <c r="A229" s="3" t="b">
        <v>0</v>
      </c>
      <c r="B229" s="130"/>
      <c r="C229" s="131"/>
      <c r="D229" s="131"/>
      <c r="E229" s="131"/>
      <c r="F229" s="14"/>
      <c r="G229" s="14"/>
      <c r="H229" s="131"/>
    </row>
    <row r="230">
      <c r="A230" s="3" t="b">
        <v>0</v>
      </c>
      <c r="B230" s="130"/>
      <c r="C230" s="131"/>
      <c r="D230" s="131"/>
      <c r="E230" s="131"/>
      <c r="F230" s="14"/>
      <c r="G230" s="14"/>
      <c r="H230" s="131"/>
    </row>
    <row r="231">
      <c r="A231" s="3" t="b">
        <v>0</v>
      </c>
      <c r="B231" s="130"/>
      <c r="C231" s="131"/>
      <c r="D231" s="131"/>
      <c r="E231" s="131"/>
      <c r="F231" s="14"/>
      <c r="G231" s="14"/>
      <c r="H231" s="131"/>
    </row>
    <row r="232">
      <c r="A232" s="3" t="b">
        <v>0</v>
      </c>
      <c r="B232" s="130"/>
      <c r="C232" s="131"/>
      <c r="D232" s="131"/>
      <c r="E232" s="131"/>
      <c r="F232" s="14"/>
      <c r="G232" s="14"/>
      <c r="H232" s="131"/>
    </row>
    <row r="233">
      <c r="A233" s="3" t="b">
        <v>0</v>
      </c>
      <c r="B233" s="130"/>
      <c r="C233" s="131"/>
      <c r="D233" s="131"/>
      <c r="E233" s="131"/>
      <c r="F233" s="14"/>
      <c r="G233" s="14"/>
      <c r="H233" s="131"/>
    </row>
    <row r="234">
      <c r="A234" s="3" t="b">
        <v>0</v>
      </c>
      <c r="B234" s="130"/>
      <c r="C234" s="131"/>
      <c r="D234" s="131"/>
      <c r="E234" s="131"/>
      <c r="F234" s="14"/>
      <c r="G234" s="14"/>
      <c r="H234" s="131"/>
    </row>
    <row r="235">
      <c r="A235" s="3" t="b">
        <v>0</v>
      </c>
      <c r="B235" s="130"/>
      <c r="C235" s="131"/>
      <c r="D235" s="131"/>
      <c r="E235" s="131"/>
      <c r="F235" s="14"/>
      <c r="G235" s="14"/>
      <c r="H235" s="131"/>
    </row>
    <row r="236">
      <c r="A236" s="3" t="b">
        <v>0</v>
      </c>
      <c r="B236" s="130"/>
      <c r="C236" s="131"/>
      <c r="D236" s="131"/>
      <c r="E236" s="131"/>
      <c r="F236" s="14"/>
      <c r="G236" s="14"/>
      <c r="H236" s="131"/>
    </row>
    <row r="237">
      <c r="A237" s="3" t="b">
        <v>0</v>
      </c>
      <c r="B237" s="130"/>
      <c r="C237" s="131"/>
      <c r="D237" s="131"/>
      <c r="E237" s="131"/>
      <c r="F237" s="14"/>
      <c r="G237" s="14"/>
      <c r="H237" s="131"/>
    </row>
    <row r="238">
      <c r="A238" s="3" t="b">
        <v>0</v>
      </c>
      <c r="B238" s="130"/>
      <c r="C238" s="131"/>
      <c r="D238" s="131"/>
      <c r="E238" s="131"/>
      <c r="F238" s="14"/>
      <c r="G238" s="14"/>
      <c r="H238" s="131"/>
    </row>
    <row r="239">
      <c r="A239" s="3" t="b">
        <v>0</v>
      </c>
      <c r="B239" s="130"/>
      <c r="C239" s="131"/>
      <c r="D239" s="131"/>
      <c r="E239" s="131"/>
      <c r="F239" s="14"/>
      <c r="G239" s="14"/>
      <c r="H239" s="131"/>
    </row>
    <row r="240">
      <c r="A240" s="3" t="b">
        <v>0</v>
      </c>
      <c r="B240" s="130"/>
      <c r="C240" s="131"/>
      <c r="D240" s="131"/>
      <c r="E240" s="131"/>
      <c r="F240" s="14"/>
      <c r="G240" s="14"/>
      <c r="H240" s="131"/>
    </row>
    <row r="241">
      <c r="A241" s="3" t="b">
        <v>0</v>
      </c>
      <c r="B241" s="130"/>
      <c r="C241" s="131"/>
      <c r="D241" s="131"/>
      <c r="E241" s="131"/>
      <c r="F241" s="14"/>
      <c r="G241" s="14"/>
      <c r="H241" s="131"/>
    </row>
    <row r="242">
      <c r="A242" s="3" t="b">
        <v>0</v>
      </c>
      <c r="B242" s="130"/>
      <c r="C242" s="131"/>
      <c r="D242" s="131"/>
      <c r="E242" s="131"/>
      <c r="F242" s="14"/>
      <c r="G242" s="14"/>
      <c r="H242" s="131"/>
    </row>
    <row r="243">
      <c r="A243" s="3" t="b">
        <v>0</v>
      </c>
      <c r="B243" s="130"/>
      <c r="C243" s="131"/>
      <c r="D243" s="131"/>
      <c r="E243" s="131"/>
      <c r="F243" s="14"/>
      <c r="G243" s="14"/>
      <c r="H243" s="131"/>
    </row>
    <row r="244">
      <c r="A244" s="3" t="b">
        <v>0</v>
      </c>
      <c r="B244" s="130"/>
      <c r="C244" s="131"/>
      <c r="D244" s="131"/>
      <c r="E244" s="131"/>
      <c r="F244" s="14"/>
      <c r="G244" s="14"/>
      <c r="H244" s="131"/>
    </row>
    <row r="245">
      <c r="A245" s="3" t="b">
        <v>0</v>
      </c>
      <c r="B245" s="130"/>
      <c r="C245" s="131"/>
      <c r="D245" s="131"/>
      <c r="E245" s="131"/>
      <c r="F245" s="14"/>
      <c r="G245" s="14"/>
      <c r="H245" s="131"/>
    </row>
    <row r="246">
      <c r="A246" s="3" t="b">
        <v>0</v>
      </c>
      <c r="B246" s="130"/>
      <c r="C246" s="131"/>
      <c r="D246" s="131"/>
      <c r="E246" s="131"/>
      <c r="F246" s="14"/>
      <c r="G246" s="14"/>
      <c r="H246" s="131"/>
    </row>
    <row r="247">
      <c r="A247" s="3" t="b">
        <v>0</v>
      </c>
      <c r="B247" s="130"/>
      <c r="C247" s="131"/>
      <c r="D247" s="131"/>
      <c r="E247" s="131"/>
      <c r="F247" s="14"/>
      <c r="G247" s="14"/>
      <c r="H247" s="131"/>
    </row>
    <row r="248">
      <c r="A248" s="3" t="b">
        <v>0</v>
      </c>
      <c r="B248" s="130"/>
      <c r="C248" s="131"/>
      <c r="D248" s="131"/>
      <c r="E248" s="131"/>
      <c r="F248" s="14"/>
      <c r="G248" s="14"/>
      <c r="H248" s="131"/>
    </row>
    <row r="249">
      <c r="A249" s="3" t="b">
        <v>0</v>
      </c>
      <c r="B249" s="130"/>
      <c r="C249" s="131"/>
      <c r="D249" s="131"/>
      <c r="E249" s="131"/>
      <c r="F249" s="14"/>
      <c r="G249" s="14"/>
      <c r="H249" s="131"/>
    </row>
    <row r="250">
      <c r="A250" s="3" t="b">
        <v>0</v>
      </c>
      <c r="B250" s="130"/>
      <c r="C250" s="131"/>
      <c r="D250" s="131"/>
      <c r="E250" s="131"/>
      <c r="F250" s="14"/>
      <c r="G250" s="14"/>
      <c r="H250" s="131"/>
    </row>
    <row r="251">
      <c r="A251" s="3" t="b">
        <v>0</v>
      </c>
      <c r="B251" s="130"/>
      <c r="C251" s="131"/>
      <c r="D251" s="131"/>
      <c r="E251" s="131"/>
      <c r="F251" s="14"/>
      <c r="G251" s="14"/>
      <c r="H251" s="131"/>
    </row>
    <row r="252">
      <c r="A252" s="3" t="b">
        <v>0</v>
      </c>
      <c r="B252" s="130"/>
      <c r="C252" s="131"/>
      <c r="D252" s="131"/>
      <c r="E252" s="131"/>
      <c r="F252" s="14"/>
      <c r="G252" s="14"/>
      <c r="H252" s="131"/>
    </row>
    <row r="253">
      <c r="A253" s="3" t="b">
        <v>0</v>
      </c>
      <c r="B253" s="130"/>
      <c r="C253" s="131"/>
      <c r="D253" s="131"/>
      <c r="E253" s="131"/>
      <c r="F253" s="14"/>
      <c r="G253" s="14"/>
      <c r="H253" s="131"/>
    </row>
    <row r="254">
      <c r="A254" s="3" t="b">
        <v>0</v>
      </c>
      <c r="B254" s="130"/>
      <c r="C254" s="131"/>
      <c r="D254" s="131"/>
      <c r="E254" s="131"/>
      <c r="F254" s="14"/>
      <c r="G254" s="14"/>
      <c r="H254" s="131"/>
    </row>
    <row r="255">
      <c r="A255" s="3" t="b">
        <v>0</v>
      </c>
      <c r="B255" s="130"/>
      <c r="C255" s="131"/>
      <c r="D255" s="131"/>
      <c r="E255" s="131"/>
      <c r="F255" s="14"/>
      <c r="G255" s="14"/>
      <c r="H255" s="131"/>
    </row>
    <row r="256">
      <c r="A256" s="3" t="b">
        <v>0</v>
      </c>
      <c r="B256" s="130"/>
      <c r="C256" s="131"/>
      <c r="D256" s="131"/>
      <c r="E256" s="131"/>
      <c r="F256" s="14"/>
      <c r="G256" s="14"/>
      <c r="H256" s="131"/>
    </row>
    <row r="257">
      <c r="A257" s="3" t="b">
        <v>0</v>
      </c>
      <c r="B257" s="130"/>
      <c r="C257" s="131"/>
      <c r="D257" s="131"/>
      <c r="E257" s="131"/>
      <c r="F257" s="14"/>
      <c r="G257" s="14"/>
      <c r="H257" s="131"/>
    </row>
    <row r="258">
      <c r="A258" s="3" t="b">
        <v>0</v>
      </c>
      <c r="B258" s="130"/>
      <c r="C258" s="131"/>
      <c r="D258" s="131"/>
      <c r="E258" s="131"/>
      <c r="F258" s="14"/>
      <c r="G258" s="14"/>
      <c r="H258" s="131"/>
    </row>
    <row r="259">
      <c r="A259" s="3" t="b">
        <v>0</v>
      </c>
      <c r="B259" s="130"/>
      <c r="C259" s="131"/>
      <c r="D259" s="131"/>
      <c r="E259" s="131"/>
      <c r="F259" s="14"/>
      <c r="G259" s="14"/>
      <c r="H259" s="131"/>
    </row>
    <row r="260">
      <c r="A260" s="3" t="b">
        <v>0</v>
      </c>
      <c r="B260" s="130"/>
      <c r="C260" s="131"/>
      <c r="D260" s="131"/>
      <c r="E260" s="131"/>
      <c r="F260" s="14"/>
      <c r="G260" s="14"/>
      <c r="H260" s="131"/>
    </row>
    <row r="261">
      <c r="A261" s="3" t="b">
        <v>0</v>
      </c>
      <c r="B261" s="130"/>
      <c r="C261" s="131"/>
      <c r="D261" s="131"/>
      <c r="E261" s="131"/>
      <c r="F261" s="14"/>
      <c r="G261" s="14"/>
      <c r="H261" s="131"/>
    </row>
    <row r="262">
      <c r="A262" s="3" t="b">
        <v>0</v>
      </c>
      <c r="B262" s="130"/>
      <c r="C262" s="131"/>
      <c r="D262" s="131"/>
      <c r="E262" s="131"/>
      <c r="F262" s="14"/>
      <c r="G262" s="14"/>
      <c r="H262" s="131"/>
    </row>
    <row r="263">
      <c r="A263" s="3" t="b">
        <v>0</v>
      </c>
      <c r="B263" s="130"/>
      <c r="C263" s="131"/>
      <c r="D263" s="131"/>
      <c r="E263" s="131"/>
      <c r="F263" s="14"/>
      <c r="G263" s="14"/>
      <c r="H263" s="131"/>
    </row>
    <row r="264">
      <c r="A264" s="3" t="b">
        <v>0</v>
      </c>
      <c r="B264" s="130"/>
      <c r="C264" s="131"/>
      <c r="D264" s="131"/>
      <c r="E264" s="131"/>
      <c r="F264" s="14"/>
      <c r="G264" s="14"/>
      <c r="H264" s="131"/>
    </row>
    <row r="265">
      <c r="A265" s="3" t="b">
        <v>0</v>
      </c>
      <c r="B265" s="130"/>
      <c r="C265" s="131"/>
      <c r="D265" s="131"/>
      <c r="E265" s="131"/>
      <c r="F265" s="14"/>
      <c r="G265" s="14"/>
      <c r="H265" s="131"/>
    </row>
    <row r="266">
      <c r="A266" s="3" t="b">
        <v>0</v>
      </c>
      <c r="B266" s="130"/>
      <c r="C266" s="131"/>
      <c r="D266" s="131"/>
      <c r="E266" s="131"/>
      <c r="F266" s="14"/>
      <c r="G266" s="14"/>
      <c r="H266" s="131"/>
    </row>
    <row r="267">
      <c r="A267" s="3" t="b">
        <v>0</v>
      </c>
      <c r="B267" s="130"/>
      <c r="C267" s="131"/>
      <c r="D267" s="131"/>
      <c r="E267" s="131"/>
      <c r="F267" s="14"/>
      <c r="G267" s="14"/>
      <c r="H267" s="131"/>
    </row>
    <row r="268">
      <c r="A268" s="3" t="b">
        <v>0</v>
      </c>
      <c r="B268" s="130"/>
      <c r="C268" s="131"/>
      <c r="D268" s="131"/>
      <c r="E268" s="131"/>
      <c r="F268" s="14"/>
      <c r="G268" s="14"/>
      <c r="H268" s="131"/>
    </row>
    <row r="269">
      <c r="A269" s="3" t="b">
        <v>0</v>
      </c>
      <c r="B269" s="130"/>
      <c r="C269" s="131"/>
      <c r="D269" s="131"/>
      <c r="E269" s="131"/>
      <c r="F269" s="14"/>
      <c r="G269" s="14"/>
      <c r="H269" s="131"/>
    </row>
    <row r="270">
      <c r="A270" s="3" t="b">
        <v>0</v>
      </c>
      <c r="B270" s="130"/>
      <c r="C270" s="131"/>
      <c r="D270" s="131"/>
      <c r="E270" s="131"/>
      <c r="F270" s="14"/>
      <c r="G270" s="14"/>
      <c r="H270" s="131"/>
    </row>
    <row r="271">
      <c r="A271" s="3" t="b">
        <v>0</v>
      </c>
      <c r="B271" s="130"/>
      <c r="C271" s="131"/>
      <c r="D271" s="131"/>
      <c r="E271" s="131"/>
      <c r="F271" s="14"/>
      <c r="G271" s="14"/>
      <c r="H271" s="131"/>
    </row>
    <row r="272">
      <c r="A272" s="3" t="b">
        <v>0</v>
      </c>
      <c r="B272" s="130"/>
      <c r="C272" s="131"/>
      <c r="D272" s="131"/>
      <c r="E272" s="131"/>
      <c r="F272" s="14"/>
      <c r="G272" s="14"/>
      <c r="H272" s="131"/>
    </row>
    <row r="273">
      <c r="A273" s="3" t="b">
        <v>0</v>
      </c>
      <c r="B273" s="130"/>
      <c r="C273" s="131"/>
      <c r="D273" s="131"/>
      <c r="E273" s="131"/>
      <c r="F273" s="14"/>
      <c r="G273" s="14"/>
      <c r="H273" s="131"/>
    </row>
    <row r="274">
      <c r="A274" s="3" t="b">
        <v>0</v>
      </c>
      <c r="B274" s="130"/>
      <c r="C274" s="131"/>
      <c r="D274" s="131"/>
      <c r="E274" s="131"/>
      <c r="F274" s="14"/>
      <c r="G274" s="14"/>
      <c r="H274" s="131"/>
    </row>
    <row r="275">
      <c r="A275" s="3" t="b">
        <v>0</v>
      </c>
      <c r="B275" s="130"/>
      <c r="C275" s="131"/>
      <c r="D275" s="131"/>
      <c r="E275" s="131"/>
      <c r="F275" s="14"/>
      <c r="G275" s="14"/>
      <c r="H275" s="131"/>
    </row>
    <row r="276">
      <c r="A276" s="3" t="b">
        <v>0</v>
      </c>
      <c r="B276" s="130"/>
      <c r="C276" s="131"/>
      <c r="D276" s="131"/>
      <c r="E276" s="131"/>
      <c r="F276" s="14"/>
      <c r="G276" s="14"/>
      <c r="H276" s="131"/>
    </row>
    <row r="277">
      <c r="A277" s="3" t="b">
        <v>0</v>
      </c>
      <c r="B277" s="130"/>
      <c r="C277" s="131"/>
      <c r="D277" s="131"/>
      <c r="E277" s="131"/>
      <c r="F277" s="14"/>
      <c r="G277" s="14"/>
      <c r="H277" s="131"/>
    </row>
    <row r="278">
      <c r="A278" s="3" t="b">
        <v>0</v>
      </c>
      <c r="B278" s="130"/>
      <c r="C278" s="131"/>
      <c r="D278" s="131"/>
      <c r="E278" s="131"/>
      <c r="F278" s="14"/>
      <c r="G278" s="14"/>
      <c r="H278" s="131"/>
    </row>
    <row r="279">
      <c r="A279" s="3" t="b">
        <v>0</v>
      </c>
      <c r="B279" s="130"/>
      <c r="C279" s="131"/>
      <c r="D279" s="131"/>
      <c r="E279" s="131"/>
      <c r="F279" s="14"/>
      <c r="G279" s="14"/>
      <c r="H279" s="131"/>
    </row>
    <row r="280">
      <c r="A280" s="3" t="b">
        <v>0</v>
      </c>
      <c r="B280" s="130"/>
      <c r="C280" s="131"/>
      <c r="D280" s="131"/>
      <c r="E280" s="131"/>
      <c r="F280" s="14"/>
      <c r="G280" s="14"/>
      <c r="H280" s="131"/>
    </row>
    <row r="281">
      <c r="A281" s="3" t="b">
        <v>0</v>
      </c>
      <c r="B281" s="130"/>
      <c r="C281" s="131"/>
      <c r="D281" s="131"/>
      <c r="E281" s="131"/>
      <c r="F281" s="14"/>
      <c r="G281" s="14"/>
      <c r="H281" s="131"/>
    </row>
    <row r="282">
      <c r="A282" s="3" t="b">
        <v>0</v>
      </c>
      <c r="B282" s="130"/>
      <c r="C282" s="131"/>
      <c r="D282" s="131"/>
      <c r="E282" s="131"/>
      <c r="F282" s="14"/>
      <c r="G282" s="14"/>
      <c r="H282" s="131"/>
    </row>
    <row r="283">
      <c r="A283" s="3" t="b">
        <v>0</v>
      </c>
      <c r="B283" s="130"/>
      <c r="C283" s="131"/>
      <c r="D283" s="131"/>
      <c r="E283" s="131"/>
      <c r="F283" s="14"/>
      <c r="G283" s="14"/>
      <c r="H283" s="131"/>
    </row>
    <row r="284">
      <c r="A284" s="3" t="b">
        <v>0</v>
      </c>
      <c r="B284" s="130"/>
      <c r="C284" s="131"/>
      <c r="D284" s="131"/>
      <c r="E284" s="131"/>
      <c r="F284" s="14"/>
      <c r="G284" s="14"/>
      <c r="H284" s="131"/>
    </row>
    <row r="285">
      <c r="A285" s="3" t="b">
        <v>0</v>
      </c>
      <c r="B285" s="130"/>
      <c r="C285" s="131"/>
      <c r="D285" s="131"/>
      <c r="E285" s="131"/>
      <c r="F285" s="14"/>
      <c r="G285" s="14"/>
      <c r="H285" s="131"/>
    </row>
    <row r="286">
      <c r="A286" s="3" t="b">
        <v>0</v>
      </c>
      <c r="B286" s="130"/>
      <c r="C286" s="131"/>
      <c r="D286" s="131"/>
      <c r="E286" s="131"/>
      <c r="F286" s="14"/>
      <c r="G286" s="14"/>
      <c r="H286" s="131"/>
    </row>
    <row r="287">
      <c r="A287" s="3" t="b">
        <v>0</v>
      </c>
      <c r="B287" s="130"/>
      <c r="C287" s="131"/>
      <c r="D287" s="131"/>
      <c r="E287" s="131"/>
      <c r="F287" s="14"/>
      <c r="G287" s="14"/>
      <c r="H287" s="131"/>
    </row>
    <row r="288">
      <c r="A288" s="3" t="b">
        <v>0</v>
      </c>
      <c r="B288" s="130"/>
      <c r="C288" s="131"/>
      <c r="D288" s="131"/>
      <c r="E288" s="131"/>
      <c r="F288" s="14"/>
      <c r="G288" s="14"/>
      <c r="H288" s="131"/>
    </row>
    <row r="289">
      <c r="A289" s="3" t="b">
        <v>0</v>
      </c>
      <c r="B289" s="130"/>
      <c r="C289" s="131"/>
      <c r="D289" s="131"/>
      <c r="E289" s="131"/>
      <c r="F289" s="14"/>
      <c r="G289" s="14"/>
      <c r="H289" s="131"/>
    </row>
    <row r="290">
      <c r="A290" s="3" t="b">
        <v>0</v>
      </c>
      <c r="B290" s="130"/>
      <c r="C290" s="131"/>
      <c r="D290" s="131"/>
      <c r="E290" s="131"/>
      <c r="F290" s="14"/>
      <c r="G290" s="14"/>
      <c r="H290" s="131"/>
    </row>
    <row r="291">
      <c r="A291" s="3" t="b">
        <v>0</v>
      </c>
      <c r="B291" s="130"/>
      <c r="C291" s="131"/>
      <c r="D291" s="131"/>
      <c r="E291" s="131"/>
      <c r="F291" s="14"/>
      <c r="G291" s="14"/>
      <c r="H291" s="131"/>
    </row>
    <row r="292">
      <c r="A292" s="3" t="b">
        <v>0</v>
      </c>
      <c r="B292" s="130"/>
      <c r="C292" s="131"/>
      <c r="D292" s="131"/>
      <c r="E292" s="131"/>
      <c r="F292" s="14"/>
      <c r="G292" s="14"/>
      <c r="H292" s="131"/>
    </row>
    <row r="293">
      <c r="A293" s="3" t="b">
        <v>0</v>
      </c>
      <c r="B293" s="130"/>
      <c r="C293" s="131"/>
      <c r="D293" s="131"/>
      <c r="E293" s="131"/>
      <c r="F293" s="14"/>
      <c r="G293" s="14"/>
      <c r="H293" s="131"/>
    </row>
    <row r="294">
      <c r="A294" s="3" t="b">
        <v>0</v>
      </c>
      <c r="B294" s="130"/>
      <c r="C294" s="131"/>
      <c r="D294" s="131"/>
      <c r="E294" s="131"/>
      <c r="F294" s="14"/>
      <c r="G294" s="14"/>
      <c r="H294" s="131"/>
    </row>
    <row r="295">
      <c r="A295" s="3" t="b">
        <v>0</v>
      </c>
      <c r="B295" s="130"/>
      <c r="C295" s="131"/>
      <c r="D295" s="131"/>
      <c r="E295" s="131"/>
      <c r="F295" s="14"/>
      <c r="G295" s="14"/>
      <c r="H295" s="131"/>
    </row>
    <row r="296">
      <c r="A296" s="3" t="b">
        <v>0</v>
      </c>
      <c r="B296" s="130"/>
      <c r="C296" s="131"/>
      <c r="D296" s="131"/>
      <c r="E296" s="131"/>
      <c r="F296" s="14"/>
      <c r="G296" s="14"/>
      <c r="H296" s="131"/>
    </row>
    <row r="297">
      <c r="A297" s="3" t="b">
        <v>0</v>
      </c>
      <c r="B297" s="130"/>
      <c r="C297" s="131"/>
      <c r="D297" s="131"/>
      <c r="E297" s="131"/>
      <c r="F297" s="14"/>
      <c r="G297" s="14"/>
      <c r="H297" s="131"/>
    </row>
    <row r="298">
      <c r="A298" s="3" t="b">
        <v>0</v>
      </c>
      <c r="B298" s="130"/>
      <c r="C298" s="131"/>
      <c r="D298" s="131"/>
      <c r="E298" s="131"/>
      <c r="F298" s="14"/>
      <c r="G298" s="14"/>
      <c r="H298" s="131"/>
    </row>
    <row r="299">
      <c r="A299" s="3" t="b">
        <v>0</v>
      </c>
      <c r="B299" s="130"/>
      <c r="C299" s="131"/>
      <c r="D299" s="131"/>
      <c r="E299" s="131"/>
      <c r="F299" s="14"/>
      <c r="G299" s="14"/>
      <c r="H299" s="131"/>
    </row>
    <row r="300">
      <c r="A300" s="3" t="b">
        <v>0</v>
      </c>
      <c r="B300" s="130"/>
      <c r="C300" s="131"/>
      <c r="D300" s="131"/>
      <c r="E300" s="131"/>
      <c r="F300" s="14"/>
      <c r="G300" s="14"/>
      <c r="H300" s="131"/>
    </row>
    <row r="301">
      <c r="A301" s="3" t="b">
        <v>0</v>
      </c>
      <c r="B301" s="130"/>
      <c r="C301" s="131"/>
      <c r="D301" s="131"/>
      <c r="E301" s="131"/>
      <c r="F301" s="14"/>
      <c r="G301" s="14"/>
      <c r="H301" s="131"/>
    </row>
    <row r="302">
      <c r="A302" s="3" t="b">
        <v>0</v>
      </c>
      <c r="B302" s="130"/>
      <c r="C302" s="131"/>
      <c r="D302" s="131"/>
      <c r="E302" s="131"/>
      <c r="F302" s="14"/>
      <c r="G302" s="14"/>
      <c r="H302" s="131"/>
    </row>
    <row r="303">
      <c r="A303" s="3" t="b">
        <v>0</v>
      </c>
      <c r="B303" s="130"/>
      <c r="C303" s="131"/>
      <c r="D303" s="131"/>
      <c r="E303" s="131"/>
      <c r="F303" s="14"/>
      <c r="G303" s="14"/>
      <c r="H303" s="131"/>
    </row>
    <row r="304">
      <c r="A304" s="3" t="b">
        <v>0</v>
      </c>
      <c r="B304" s="130"/>
      <c r="C304" s="131"/>
      <c r="D304" s="131"/>
      <c r="E304" s="131"/>
      <c r="F304" s="14"/>
      <c r="G304" s="14"/>
      <c r="H304" s="131"/>
    </row>
    <row r="305">
      <c r="A305" s="3" t="b">
        <v>0</v>
      </c>
      <c r="B305" s="130"/>
      <c r="C305" s="131"/>
      <c r="D305" s="131"/>
      <c r="E305" s="131"/>
      <c r="F305" s="14"/>
      <c r="G305" s="14"/>
      <c r="H305" s="131"/>
    </row>
    <row r="306">
      <c r="A306" s="3" t="b">
        <v>0</v>
      </c>
      <c r="B306" s="130"/>
      <c r="C306" s="131"/>
      <c r="D306" s="131"/>
      <c r="E306" s="131"/>
      <c r="F306" s="14"/>
      <c r="G306" s="14"/>
      <c r="H306" s="131"/>
    </row>
    <row r="307">
      <c r="A307" s="3" t="b">
        <v>0</v>
      </c>
      <c r="B307" s="130"/>
      <c r="C307" s="131"/>
      <c r="D307" s="131"/>
      <c r="E307" s="131"/>
      <c r="F307" s="14"/>
      <c r="G307" s="14"/>
      <c r="H307" s="131"/>
    </row>
    <row r="308">
      <c r="A308" s="3" t="b">
        <v>0</v>
      </c>
      <c r="B308" s="130"/>
      <c r="C308" s="131"/>
      <c r="D308" s="131"/>
      <c r="E308" s="131"/>
      <c r="F308" s="14"/>
      <c r="G308" s="14"/>
      <c r="H308" s="131"/>
    </row>
    <row r="309">
      <c r="A309" s="3" t="b">
        <v>0</v>
      </c>
      <c r="B309" s="130"/>
      <c r="C309" s="131"/>
      <c r="D309" s="131"/>
      <c r="E309" s="131"/>
      <c r="F309" s="14"/>
      <c r="G309" s="14"/>
      <c r="H309" s="131"/>
    </row>
    <row r="310">
      <c r="A310" s="3" t="b">
        <v>0</v>
      </c>
      <c r="B310" s="130"/>
      <c r="C310" s="131"/>
      <c r="D310" s="131"/>
      <c r="E310" s="131"/>
      <c r="F310" s="14"/>
      <c r="G310" s="14"/>
      <c r="H310" s="131"/>
    </row>
    <row r="311">
      <c r="A311" s="3" t="b">
        <v>0</v>
      </c>
      <c r="B311" s="130"/>
      <c r="C311" s="131"/>
      <c r="D311" s="131"/>
      <c r="E311" s="131"/>
      <c r="F311" s="14"/>
      <c r="G311" s="14"/>
      <c r="H311" s="131"/>
    </row>
    <row r="312">
      <c r="A312" s="3" t="b">
        <v>0</v>
      </c>
      <c r="B312" s="130"/>
      <c r="C312" s="131"/>
      <c r="D312" s="131"/>
      <c r="E312" s="131"/>
      <c r="F312" s="14"/>
      <c r="G312" s="14"/>
      <c r="H312" s="131"/>
    </row>
    <row r="313">
      <c r="A313" s="3" t="b">
        <v>0</v>
      </c>
      <c r="B313" s="130"/>
      <c r="C313" s="131"/>
      <c r="D313" s="131"/>
      <c r="E313" s="131"/>
      <c r="F313" s="14"/>
      <c r="G313" s="14"/>
      <c r="H313" s="131"/>
    </row>
    <row r="314">
      <c r="A314" s="3" t="b">
        <v>0</v>
      </c>
      <c r="B314" s="130"/>
      <c r="C314" s="131"/>
      <c r="D314" s="131"/>
      <c r="E314" s="131"/>
      <c r="F314" s="14"/>
      <c r="G314" s="14"/>
      <c r="H314" s="131"/>
    </row>
    <row r="315">
      <c r="A315" s="3" t="b">
        <v>0</v>
      </c>
      <c r="B315" s="130"/>
      <c r="C315" s="131"/>
      <c r="D315" s="131"/>
      <c r="E315" s="131"/>
      <c r="F315" s="14"/>
      <c r="G315" s="14"/>
      <c r="H315" s="131"/>
    </row>
    <row r="316">
      <c r="A316" s="3" t="b">
        <v>0</v>
      </c>
      <c r="B316" s="130"/>
      <c r="C316" s="131"/>
      <c r="D316" s="131"/>
      <c r="E316" s="131"/>
      <c r="F316" s="14"/>
      <c r="G316" s="14"/>
      <c r="H316" s="131"/>
    </row>
    <row r="317">
      <c r="A317" s="3" t="b">
        <v>0</v>
      </c>
      <c r="B317" s="130"/>
      <c r="C317" s="131"/>
      <c r="D317" s="131"/>
      <c r="E317" s="131"/>
      <c r="F317" s="14"/>
      <c r="G317" s="14"/>
      <c r="H317" s="131"/>
    </row>
    <row r="318">
      <c r="A318" s="3" t="b">
        <v>0</v>
      </c>
      <c r="B318" s="130"/>
      <c r="C318" s="131"/>
      <c r="D318" s="131"/>
      <c r="E318" s="131"/>
      <c r="F318" s="14"/>
      <c r="G318" s="14"/>
      <c r="H318" s="131"/>
    </row>
    <row r="319">
      <c r="A319" s="3" t="b">
        <v>0</v>
      </c>
      <c r="B319" s="130"/>
      <c r="C319" s="131"/>
      <c r="D319" s="131"/>
      <c r="E319" s="131"/>
      <c r="F319" s="14"/>
      <c r="G319" s="14"/>
      <c r="H319" s="131"/>
    </row>
    <row r="320">
      <c r="A320" s="3" t="b">
        <v>0</v>
      </c>
      <c r="B320" s="130"/>
      <c r="C320" s="131"/>
      <c r="D320" s="131"/>
      <c r="E320" s="131"/>
      <c r="F320" s="14"/>
      <c r="G320" s="14"/>
      <c r="H320" s="131"/>
    </row>
    <row r="321">
      <c r="A321" s="3" t="b">
        <v>0</v>
      </c>
      <c r="B321" s="130"/>
      <c r="C321" s="131"/>
      <c r="D321" s="131"/>
      <c r="E321" s="131"/>
      <c r="F321" s="14"/>
      <c r="G321" s="14"/>
      <c r="H321" s="131"/>
    </row>
    <row r="322">
      <c r="A322" s="3" t="b">
        <v>0</v>
      </c>
      <c r="B322" s="130"/>
      <c r="C322" s="131"/>
      <c r="D322" s="131"/>
      <c r="E322" s="131"/>
      <c r="F322" s="14"/>
      <c r="G322" s="14"/>
      <c r="H322" s="131"/>
    </row>
    <row r="323">
      <c r="A323" s="3" t="b">
        <v>0</v>
      </c>
      <c r="B323" s="130"/>
      <c r="C323" s="131"/>
      <c r="D323" s="131"/>
      <c r="E323" s="131"/>
      <c r="F323" s="14"/>
      <c r="G323" s="14"/>
      <c r="H323" s="131"/>
    </row>
    <row r="324">
      <c r="A324" s="3" t="b">
        <v>0</v>
      </c>
      <c r="B324" s="130"/>
      <c r="C324" s="131"/>
      <c r="D324" s="131"/>
      <c r="E324" s="131"/>
      <c r="F324" s="14"/>
      <c r="G324" s="14"/>
      <c r="H324" s="131"/>
    </row>
    <row r="325">
      <c r="A325" s="3" t="b">
        <v>0</v>
      </c>
      <c r="B325" s="130"/>
      <c r="C325" s="131"/>
      <c r="D325" s="131"/>
      <c r="E325" s="131"/>
      <c r="F325" s="14"/>
      <c r="G325" s="14"/>
      <c r="H325" s="131"/>
    </row>
    <row r="326">
      <c r="A326" s="3" t="b">
        <v>0</v>
      </c>
      <c r="B326" s="130"/>
      <c r="C326" s="131"/>
      <c r="D326" s="131"/>
      <c r="E326" s="131"/>
      <c r="F326" s="14"/>
      <c r="G326" s="14"/>
      <c r="H326" s="131"/>
    </row>
    <row r="327">
      <c r="A327" s="3" t="b">
        <v>0</v>
      </c>
      <c r="B327" s="130"/>
      <c r="C327" s="131"/>
      <c r="D327" s="131"/>
      <c r="E327" s="131"/>
      <c r="F327" s="14"/>
      <c r="G327" s="14"/>
      <c r="H327" s="131"/>
    </row>
    <row r="328">
      <c r="A328" s="3" t="b">
        <v>0</v>
      </c>
      <c r="B328" s="130"/>
      <c r="C328" s="131"/>
      <c r="D328" s="131"/>
      <c r="E328" s="131"/>
      <c r="F328" s="14"/>
      <c r="G328" s="14"/>
      <c r="H328" s="131"/>
    </row>
    <row r="329">
      <c r="A329" s="3" t="b">
        <v>0</v>
      </c>
      <c r="B329" s="130"/>
      <c r="C329" s="131"/>
      <c r="D329" s="131"/>
      <c r="E329" s="131"/>
      <c r="F329" s="14"/>
      <c r="G329" s="14"/>
      <c r="H329" s="131"/>
    </row>
    <row r="330">
      <c r="A330" s="3" t="b">
        <v>0</v>
      </c>
      <c r="B330" s="130"/>
      <c r="C330" s="131"/>
      <c r="D330" s="131"/>
      <c r="E330" s="131"/>
      <c r="F330" s="14"/>
      <c r="G330" s="14"/>
      <c r="H330" s="131"/>
    </row>
    <row r="331">
      <c r="A331" s="3" t="b">
        <v>0</v>
      </c>
      <c r="B331" s="130"/>
      <c r="C331" s="131"/>
      <c r="D331" s="131"/>
      <c r="E331" s="131"/>
      <c r="F331" s="14"/>
      <c r="G331" s="14"/>
      <c r="H331" s="131"/>
    </row>
    <row r="332">
      <c r="A332" s="3" t="b">
        <v>0</v>
      </c>
      <c r="B332" s="130"/>
      <c r="C332" s="131"/>
      <c r="D332" s="131"/>
      <c r="E332" s="131"/>
      <c r="F332" s="14"/>
      <c r="G332" s="14"/>
      <c r="H332" s="131"/>
    </row>
    <row r="333">
      <c r="A333" s="3" t="b">
        <v>0</v>
      </c>
      <c r="B333" s="130"/>
      <c r="C333" s="131"/>
      <c r="D333" s="131"/>
      <c r="E333" s="131"/>
      <c r="F333" s="14"/>
      <c r="G333" s="14"/>
      <c r="H333" s="131"/>
    </row>
    <row r="334">
      <c r="A334" s="3" t="b">
        <v>0</v>
      </c>
      <c r="B334" s="130"/>
      <c r="C334" s="131"/>
      <c r="D334" s="131"/>
      <c r="E334" s="131"/>
      <c r="F334" s="14"/>
      <c r="G334" s="14"/>
      <c r="H334" s="131"/>
    </row>
    <row r="335">
      <c r="A335" s="3" t="b">
        <v>0</v>
      </c>
      <c r="B335" s="130"/>
      <c r="C335" s="131"/>
      <c r="D335" s="131"/>
      <c r="E335" s="131"/>
      <c r="F335" s="14"/>
      <c r="G335" s="14"/>
      <c r="H335" s="131"/>
    </row>
    <row r="336">
      <c r="A336" s="3" t="b">
        <v>0</v>
      </c>
      <c r="B336" s="130"/>
      <c r="C336" s="131"/>
      <c r="D336" s="131"/>
      <c r="E336" s="131"/>
      <c r="F336" s="14"/>
      <c r="G336" s="14"/>
      <c r="H336" s="131"/>
    </row>
    <row r="337">
      <c r="A337" s="3" t="b">
        <v>0</v>
      </c>
      <c r="B337" s="130"/>
      <c r="C337" s="131"/>
      <c r="D337" s="131"/>
      <c r="E337" s="131"/>
      <c r="F337" s="14"/>
      <c r="G337" s="14"/>
      <c r="H337" s="131"/>
    </row>
    <row r="338">
      <c r="A338" s="3" t="b">
        <v>0</v>
      </c>
      <c r="B338" s="130"/>
      <c r="C338" s="131"/>
      <c r="D338" s="131"/>
      <c r="E338" s="131"/>
      <c r="F338" s="14"/>
      <c r="G338" s="14"/>
      <c r="H338" s="131"/>
    </row>
    <row r="339">
      <c r="A339" s="3" t="b">
        <v>0</v>
      </c>
      <c r="B339" s="130"/>
      <c r="C339" s="131"/>
      <c r="D339" s="131"/>
      <c r="E339" s="131"/>
      <c r="F339" s="14"/>
      <c r="G339" s="14"/>
      <c r="H339" s="131"/>
    </row>
    <row r="340">
      <c r="A340" s="3" t="b">
        <v>0</v>
      </c>
      <c r="B340" s="130"/>
      <c r="C340" s="131"/>
      <c r="D340" s="131"/>
      <c r="E340" s="131"/>
      <c r="F340" s="14"/>
      <c r="G340" s="14"/>
      <c r="H340" s="131"/>
    </row>
    <row r="341">
      <c r="A341" s="3" t="b">
        <v>0</v>
      </c>
      <c r="B341" s="130"/>
      <c r="C341" s="131"/>
      <c r="D341" s="131"/>
      <c r="E341" s="131"/>
      <c r="F341" s="14"/>
      <c r="G341" s="14"/>
      <c r="H341" s="131"/>
    </row>
    <row r="342">
      <c r="A342" s="3" t="b">
        <v>0</v>
      </c>
      <c r="B342" s="130"/>
      <c r="C342" s="131"/>
      <c r="D342" s="131"/>
      <c r="E342" s="131"/>
      <c r="F342" s="14"/>
      <c r="G342" s="14"/>
      <c r="H342" s="131"/>
    </row>
    <row r="343">
      <c r="A343" s="3" t="b">
        <v>0</v>
      </c>
      <c r="B343" s="130"/>
      <c r="C343" s="131"/>
      <c r="D343" s="131"/>
      <c r="E343" s="131"/>
      <c r="F343" s="14"/>
      <c r="G343" s="14"/>
      <c r="H343" s="131"/>
    </row>
    <row r="344">
      <c r="A344" s="3" t="b">
        <v>0</v>
      </c>
      <c r="B344" s="130"/>
      <c r="C344" s="131"/>
      <c r="D344" s="131"/>
      <c r="E344" s="131"/>
      <c r="F344" s="14"/>
      <c r="G344" s="14"/>
      <c r="H344" s="131"/>
    </row>
    <row r="345">
      <c r="A345" s="3" t="b">
        <v>0</v>
      </c>
      <c r="B345" s="130"/>
      <c r="C345" s="131"/>
      <c r="D345" s="131"/>
      <c r="E345" s="131"/>
      <c r="F345" s="14"/>
      <c r="G345" s="14"/>
      <c r="H345" s="131"/>
    </row>
    <row r="346">
      <c r="A346" s="3" t="b">
        <v>0</v>
      </c>
      <c r="B346" s="130"/>
      <c r="C346" s="131"/>
      <c r="D346" s="131"/>
      <c r="E346" s="131"/>
      <c r="F346" s="14"/>
      <c r="G346" s="14"/>
      <c r="H346" s="131"/>
    </row>
    <row r="347">
      <c r="A347" s="3" t="b">
        <v>0</v>
      </c>
      <c r="B347" s="130"/>
      <c r="C347" s="131"/>
      <c r="D347" s="131"/>
      <c r="E347" s="131"/>
      <c r="F347" s="14"/>
      <c r="G347" s="14"/>
      <c r="H347" s="131"/>
    </row>
    <row r="348">
      <c r="A348" s="3" t="b">
        <v>0</v>
      </c>
      <c r="B348" s="130"/>
      <c r="C348" s="131"/>
      <c r="D348" s="131"/>
      <c r="E348" s="131"/>
      <c r="F348" s="14"/>
      <c r="G348" s="14"/>
      <c r="H348" s="131"/>
    </row>
    <row r="349">
      <c r="A349" s="3" t="b">
        <v>0</v>
      </c>
      <c r="B349" s="130"/>
      <c r="C349" s="131"/>
      <c r="D349" s="131"/>
      <c r="E349" s="131"/>
      <c r="F349" s="14"/>
      <c r="G349" s="14"/>
      <c r="H349" s="131"/>
    </row>
    <row r="350">
      <c r="A350" s="3" t="b">
        <v>0</v>
      </c>
      <c r="B350" s="130"/>
      <c r="C350" s="131"/>
      <c r="D350" s="131"/>
      <c r="E350" s="131"/>
      <c r="F350" s="14"/>
      <c r="G350" s="14"/>
      <c r="H350" s="131"/>
    </row>
    <row r="351">
      <c r="A351" s="3" t="b">
        <v>0</v>
      </c>
      <c r="B351" s="130"/>
      <c r="C351" s="131"/>
      <c r="D351" s="131"/>
      <c r="E351" s="131"/>
      <c r="F351" s="14"/>
      <c r="G351" s="14"/>
      <c r="H351" s="131"/>
    </row>
    <row r="352">
      <c r="A352" s="3" t="b">
        <v>0</v>
      </c>
      <c r="B352" s="130"/>
      <c r="C352" s="131"/>
      <c r="D352" s="131"/>
      <c r="E352" s="131"/>
      <c r="F352" s="14"/>
      <c r="G352" s="14"/>
      <c r="H352" s="131"/>
    </row>
    <row r="353">
      <c r="A353" s="3" t="b">
        <v>0</v>
      </c>
      <c r="B353" s="130"/>
      <c r="C353" s="131"/>
      <c r="D353" s="131"/>
      <c r="E353" s="131"/>
      <c r="F353" s="14"/>
      <c r="G353" s="14"/>
      <c r="H353" s="131"/>
    </row>
    <row r="354">
      <c r="A354" s="3" t="b">
        <v>0</v>
      </c>
      <c r="B354" s="130"/>
      <c r="C354" s="131"/>
      <c r="D354" s="131"/>
      <c r="E354" s="131"/>
      <c r="F354" s="14"/>
      <c r="G354" s="14"/>
      <c r="H354" s="131"/>
    </row>
    <row r="355">
      <c r="A355" s="3" t="b">
        <v>0</v>
      </c>
      <c r="B355" s="130"/>
      <c r="C355" s="131"/>
      <c r="D355" s="131"/>
      <c r="E355" s="131"/>
      <c r="F355" s="14"/>
      <c r="G355" s="14"/>
      <c r="H355" s="131"/>
    </row>
    <row r="356">
      <c r="A356" s="3" t="b">
        <v>0</v>
      </c>
      <c r="B356" s="130"/>
      <c r="C356" s="131"/>
      <c r="D356" s="131"/>
      <c r="E356" s="131"/>
      <c r="F356" s="14"/>
      <c r="G356" s="14"/>
      <c r="H356" s="131"/>
    </row>
    <row r="357">
      <c r="A357" s="3" t="b">
        <v>0</v>
      </c>
      <c r="B357" s="130"/>
      <c r="C357" s="131"/>
      <c r="D357" s="131"/>
      <c r="E357" s="131"/>
      <c r="F357" s="14"/>
      <c r="G357" s="14"/>
      <c r="H357" s="131"/>
    </row>
    <row r="358">
      <c r="A358" s="3" t="b">
        <v>0</v>
      </c>
      <c r="B358" s="130"/>
      <c r="C358" s="131"/>
      <c r="D358" s="131"/>
      <c r="E358" s="131"/>
      <c r="F358" s="14"/>
      <c r="G358" s="14"/>
      <c r="H358" s="131"/>
    </row>
    <row r="359">
      <c r="A359" s="3" t="b">
        <v>0</v>
      </c>
      <c r="B359" s="130"/>
      <c r="C359" s="131"/>
      <c r="D359" s="131"/>
      <c r="E359" s="131"/>
      <c r="F359" s="14"/>
      <c r="G359" s="14"/>
      <c r="H359" s="131"/>
    </row>
    <row r="360">
      <c r="A360" s="3" t="b">
        <v>0</v>
      </c>
      <c r="B360" s="130"/>
      <c r="C360" s="131"/>
      <c r="D360" s="131"/>
      <c r="E360" s="131"/>
      <c r="F360" s="14"/>
      <c r="G360" s="14"/>
      <c r="H360" s="131"/>
    </row>
    <row r="361">
      <c r="A361" s="3" t="b">
        <v>0</v>
      </c>
      <c r="B361" s="130"/>
      <c r="C361" s="131"/>
      <c r="D361" s="131"/>
      <c r="E361" s="131"/>
      <c r="F361" s="14"/>
      <c r="G361" s="14"/>
      <c r="H361" s="131"/>
    </row>
    <row r="362">
      <c r="A362" s="3" t="b">
        <v>0</v>
      </c>
      <c r="B362" s="130"/>
      <c r="C362" s="131"/>
      <c r="D362" s="131"/>
      <c r="E362" s="131"/>
      <c r="F362" s="14"/>
      <c r="G362" s="14"/>
      <c r="H362" s="131"/>
    </row>
    <row r="363">
      <c r="A363" s="3" t="b">
        <v>0</v>
      </c>
      <c r="B363" s="130"/>
      <c r="C363" s="131"/>
      <c r="D363" s="131"/>
      <c r="E363" s="131"/>
      <c r="F363" s="14"/>
      <c r="G363" s="14"/>
      <c r="H363" s="131"/>
    </row>
    <row r="364">
      <c r="A364" s="3" t="b">
        <v>0</v>
      </c>
      <c r="B364" s="130"/>
      <c r="C364" s="131"/>
      <c r="D364" s="131"/>
      <c r="E364" s="131"/>
      <c r="F364" s="14"/>
      <c r="G364" s="14"/>
      <c r="H364" s="131"/>
    </row>
    <row r="365">
      <c r="A365" s="3" t="b">
        <v>0</v>
      </c>
      <c r="B365" s="130"/>
      <c r="C365" s="131"/>
      <c r="D365" s="131"/>
      <c r="E365" s="131"/>
      <c r="F365" s="14"/>
      <c r="G365" s="14"/>
      <c r="H365" s="131"/>
    </row>
    <row r="366">
      <c r="A366" s="3" t="b">
        <v>0</v>
      </c>
      <c r="B366" s="130"/>
      <c r="C366" s="131"/>
      <c r="D366" s="131"/>
      <c r="E366" s="131"/>
      <c r="F366" s="14"/>
      <c r="G366" s="14"/>
      <c r="H366" s="131"/>
    </row>
    <row r="367">
      <c r="A367" s="3" t="b">
        <v>0</v>
      </c>
      <c r="B367" s="130"/>
      <c r="C367" s="131"/>
      <c r="D367" s="131"/>
      <c r="E367" s="131"/>
      <c r="F367" s="14"/>
      <c r="G367" s="14"/>
      <c r="H367" s="131"/>
    </row>
    <row r="368">
      <c r="A368" s="3" t="b">
        <v>0</v>
      </c>
      <c r="B368" s="130"/>
      <c r="C368" s="131"/>
      <c r="D368" s="131"/>
      <c r="E368" s="131"/>
      <c r="F368" s="14"/>
      <c r="G368" s="14"/>
      <c r="H368" s="131"/>
    </row>
    <row r="369">
      <c r="A369" s="3" t="b">
        <v>0</v>
      </c>
      <c r="B369" s="130"/>
      <c r="C369" s="131"/>
      <c r="D369" s="131"/>
      <c r="E369" s="131"/>
      <c r="F369" s="14"/>
      <c r="G369" s="14"/>
      <c r="H369" s="131"/>
    </row>
    <row r="370">
      <c r="A370" s="3" t="b">
        <v>0</v>
      </c>
      <c r="B370" s="130"/>
      <c r="C370" s="131"/>
      <c r="D370" s="131"/>
      <c r="E370" s="131"/>
      <c r="F370" s="14"/>
      <c r="G370" s="14"/>
      <c r="H370" s="131"/>
    </row>
    <row r="371">
      <c r="A371" s="3" t="b">
        <v>0</v>
      </c>
      <c r="B371" s="130"/>
      <c r="C371" s="131"/>
      <c r="D371" s="131"/>
      <c r="E371" s="131"/>
      <c r="F371" s="14"/>
      <c r="G371" s="14"/>
      <c r="H371" s="131"/>
    </row>
    <row r="372">
      <c r="A372" s="3" t="b">
        <v>0</v>
      </c>
      <c r="B372" s="130"/>
      <c r="C372" s="131"/>
      <c r="D372" s="131"/>
      <c r="E372" s="131"/>
      <c r="F372" s="14"/>
      <c r="G372" s="14"/>
      <c r="H372" s="131"/>
    </row>
    <row r="373">
      <c r="A373" s="3" t="b">
        <v>0</v>
      </c>
      <c r="B373" s="130"/>
      <c r="C373" s="131"/>
      <c r="D373" s="131"/>
      <c r="E373" s="131"/>
      <c r="F373" s="14"/>
      <c r="G373" s="14"/>
      <c r="H373" s="131"/>
    </row>
    <row r="374">
      <c r="A374" s="3" t="b">
        <v>0</v>
      </c>
      <c r="B374" s="130"/>
      <c r="C374" s="131"/>
      <c r="D374" s="131"/>
      <c r="E374" s="131"/>
      <c r="F374" s="14"/>
      <c r="G374" s="14"/>
      <c r="H374" s="131"/>
    </row>
    <row r="375">
      <c r="A375" s="3" t="b">
        <v>0</v>
      </c>
      <c r="B375" s="130"/>
      <c r="C375" s="131"/>
      <c r="D375" s="131"/>
      <c r="E375" s="131"/>
      <c r="F375" s="14"/>
      <c r="G375" s="14"/>
      <c r="H375" s="131"/>
    </row>
    <row r="376">
      <c r="A376" s="3" t="b">
        <v>0</v>
      </c>
      <c r="B376" s="130"/>
      <c r="C376" s="131"/>
      <c r="D376" s="131"/>
      <c r="E376" s="131"/>
      <c r="F376" s="14"/>
      <c r="G376" s="14"/>
      <c r="H376" s="131"/>
    </row>
    <row r="377">
      <c r="A377" s="3" t="b">
        <v>0</v>
      </c>
      <c r="B377" s="130"/>
      <c r="C377" s="131"/>
      <c r="D377" s="131"/>
      <c r="E377" s="131"/>
      <c r="F377" s="14"/>
      <c r="G377" s="14"/>
      <c r="H377" s="131"/>
    </row>
    <row r="378">
      <c r="A378" s="3" t="b">
        <v>0</v>
      </c>
      <c r="B378" s="130"/>
      <c r="C378" s="131"/>
      <c r="D378" s="131"/>
      <c r="E378" s="131"/>
      <c r="F378" s="14"/>
      <c r="G378" s="14"/>
      <c r="H378" s="131"/>
    </row>
    <row r="379">
      <c r="A379" s="3" t="b">
        <v>0</v>
      </c>
      <c r="B379" s="130"/>
      <c r="C379" s="131"/>
      <c r="D379" s="131"/>
      <c r="E379" s="131"/>
      <c r="F379" s="14"/>
      <c r="G379" s="14"/>
      <c r="H379" s="131"/>
    </row>
    <row r="380">
      <c r="A380" s="3" t="b">
        <v>0</v>
      </c>
      <c r="B380" s="130"/>
      <c r="C380" s="131"/>
      <c r="D380" s="131"/>
      <c r="E380" s="131"/>
      <c r="F380" s="14"/>
      <c r="G380" s="14"/>
      <c r="H380" s="131"/>
    </row>
    <row r="381">
      <c r="A381" s="3" t="b">
        <v>0</v>
      </c>
      <c r="B381" s="130"/>
      <c r="C381" s="131"/>
      <c r="D381" s="131"/>
      <c r="E381" s="131"/>
      <c r="F381" s="14"/>
      <c r="G381" s="14"/>
      <c r="H381" s="131"/>
    </row>
    <row r="382">
      <c r="A382" s="3" t="b">
        <v>0</v>
      </c>
      <c r="B382" s="130"/>
      <c r="C382" s="131"/>
      <c r="D382" s="131"/>
      <c r="E382" s="131"/>
      <c r="F382" s="14"/>
      <c r="G382" s="14"/>
      <c r="H382" s="131"/>
    </row>
    <row r="383">
      <c r="A383" s="3" t="b">
        <v>0</v>
      </c>
      <c r="B383" s="130"/>
      <c r="C383" s="131"/>
      <c r="D383" s="131"/>
      <c r="E383" s="131"/>
      <c r="F383" s="14"/>
      <c r="G383" s="14"/>
      <c r="H383" s="131"/>
    </row>
    <row r="384">
      <c r="A384" s="3" t="b">
        <v>0</v>
      </c>
      <c r="B384" s="130"/>
      <c r="C384" s="131"/>
      <c r="D384" s="131"/>
      <c r="E384" s="131"/>
      <c r="F384" s="14"/>
      <c r="G384" s="14"/>
      <c r="H384" s="131"/>
    </row>
    <row r="385">
      <c r="A385" s="3" t="b">
        <v>0</v>
      </c>
      <c r="B385" s="130"/>
      <c r="C385" s="131"/>
      <c r="D385" s="131"/>
      <c r="E385" s="131"/>
      <c r="F385" s="14"/>
      <c r="G385" s="14"/>
      <c r="H385" s="131"/>
    </row>
    <row r="386">
      <c r="A386" s="3" t="b">
        <v>0</v>
      </c>
      <c r="B386" s="130"/>
      <c r="C386" s="131"/>
      <c r="D386" s="131"/>
      <c r="E386" s="131"/>
      <c r="F386" s="14"/>
      <c r="G386" s="14"/>
      <c r="H386" s="131"/>
    </row>
    <row r="387">
      <c r="A387" s="3" t="b">
        <v>0</v>
      </c>
      <c r="B387" s="130"/>
      <c r="C387" s="131"/>
      <c r="D387" s="131"/>
      <c r="E387" s="131"/>
      <c r="F387" s="14"/>
      <c r="G387" s="14"/>
      <c r="H387" s="131"/>
    </row>
    <row r="388">
      <c r="A388" s="3" t="b">
        <v>0</v>
      </c>
      <c r="B388" s="130"/>
      <c r="C388" s="131"/>
      <c r="D388" s="131"/>
      <c r="E388" s="131"/>
      <c r="F388" s="14"/>
      <c r="G388" s="14"/>
      <c r="H388" s="131"/>
    </row>
    <row r="389">
      <c r="A389" s="3" t="b">
        <v>0</v>
      </c>
      <c r="B389" s="130"/>
      <c r="C389" s="131"/>
      <c r="D389" s="131"/>
      <c r="E389" s="131"/>
      <c r="F389" s="14"/>
      <c r="G389" s="14"/>
      <c r="H389" s="131"/>
    </row>
    <row r="390">
      <c r="A390" s="3" t="b">
        <v>0</v>
      </c>
      <c r="B390" s="130"/>
      <c r="C390" s="131"/>
      <c r="D390" s="131"/>
      <c r="E390" s="131"/>
      <c r="F390" s="14"/>
      <c r="G390" s="14"/>
      <c r="H390" s="131"/>
    </row>
    <row r="391">
      <c r="A391" s="3" t="b">
        <v>0</v>
      </c>
      <c r="B391" s="130"/>
      <c r="C391" s="131"/>
      <c r="D391" s="131"/>
      <c r="E391" s="131"/>
      <c r="F391" s="14"/>
      <c r="G391" s="14"/>
      <c r="H391" s="131"/>
    </row>
    <row r="392">
      <c r="A392" s="3" t="b">
        <v>0</v>
      </c>
      <c r="B392" s="130"/>
      <c r="C392" s="131"/>
      <c r="D392" s="131"/>
      <c r="E392" s="131"/>
      <c r="F392" s="14"/>
      <c r="G392" s="14"/>
      <c r="H392" s="131"/>
    </row>
    <row r="393">
      <c r="A393" s="3" t="b">
        <v>0</v>
      </c>
      <c r="B393" s="130"/>
      <c r="C393" s="131"/>
      <c r="D393" s="131"/>
      <c r="E393" s="131"/>
      <c r="F393" s="14"/>
      <c r="G393" s="14"/>
      <c r="H393" s="131"/>
    </row>
    <row r="394">
      <c r="A394" s="3" t="b">
        <v>0</v>
      </c>
      <c r="B394" s="130"/>
      <c r="C394" s="131"/>
      <c r="D394" s="131"/>
      <c r="E394" s="131"/>
      <c r="F394" s="14"/>
      <c r="G394" s="14"/>
      <c r="H394" s="131"/>
    </row>
    <row r="395">
      <c r="A395" s="3" t="b">
        <v>0</v>
      </c>
      <c r="B395" s="130"/>
      <c r="C395" s="131"/>
      <c r="D395" s="131"/>
      <c r="E395" s="131"/>
      <c r="F395" s="14"/>
      <c r="G395" s="14"/>
      <c r="H395" s="131"/>
    </row>
    <row r="396">
      <c r="A396" s="3" t="b">
        <v>0</v>
      </c>
      <c r="B396" s="130"/>
      <c r="C396" s="131"/>
      <c r="D396" s="131"/>
      <c r="E396" s="131"/>
      <c r="F396" s="14"/>
      <c r="G396" s="14"/>
      <c r="H396" s="131"/>
    </row>
    <row r="397">
      <c r="A397" s="3" t="b">
        <v>0</v>
      </c>
      <c r="B397" s="130"/>
      <c r="C397" s="131"/>
      <c r="D397" s="131"/>
      <c r="E397" s="131"/>
      <c r="F397" s="14"/>
      <c r="G397" s="14"/>
      <c r="H397" s="131"/>
    </row>
    <row r="398">
      <c r="A398" s="3" t="b">
        <v>0</v>
      </c>
      <c r="B398" s="130"/>
      <c r="C398" s="131"/>
      <c r="D398" s="131"/>
      <c r="E398" s="131"/>
      <c r="F398" s="14"/>
      <c r="G398" s="14"/>
      <c r="H398" s="131"/>
    </row>
    <row r="399">
      <c r="A399" s="3" t="b">
        <v>0</v>
      </c>
      <c r="B399" s="130"/>
      <c r="C399" s="131"/>
      <c r="D399" s="131"/>
      <c r="E399" s="131"/>
      <c r="F399" s="14"/>
      <c r="G399" s="14"/>
      <c r="H399" s="131"/>
    </row>
    <row r="400">
      <c r="A400" s="3" t="b">
        <v>0</v>
      </c>
      <c r="B400" s="130"/>
      <c r="C400" s="131"/>
      <c r="D400" s="131"/>
      <c r="E400" s="131"/>
      <c r="F400" s="14"/>
      <c r="G400" s="14"/>
      <c r="H400" s="131"/>
    </row>
    <row r="401">
      <c r="A401" s="3" t="b">
        <v>0</v>
      </c>
      <c r="B401" s="130"/>
      <c r="C401" s="131"/>
      <c r="D401" s="131"/>
      <c r="E401" s="131"/>
      <c r="F401" s="14"/>
      <c r="G401" s="14"/>
      <c r="H401" s="131"/>
    </row>
    <row r="402">
      <c r="A402" s="3" t="b">
        <v>0</v>
      </c>
      <c r="B402" s="130"/>
      <c r="C402" s="131"/>
      <c r="D402" s="131"/>
      <c r="E402" s="131"/>
      <c r="F402" s="14"/>
      <c r="G402" s="14"/>
      <c r="H402" s="131"/>
    </row>
    <row r="403">
      <c r="A403" s="3" t="b">
        <v>0</v>
      </c>
      <c r="B403" s="130"/>
      <c r="C403" s="131"/>
      <c r="D403" s="131"/>
      <c r="E403" s="131"/>
      <c r="F403" s="14"/>
      <c r="G403" s="14"/>
      <c r="H403" s="131"/>
    </row>
    <row r="404">
      <c r="A404" s="3" t="b">
        <v>0</v>
      </c>
      <c r="B404" s="130"/>
      <c r="C404" s="131"/>
      <c r="D404" s="131"/>
      <c r="E404" s="131"/>
      <c r="F404" s="14"/>
      <c r="G404" s="14"/>
      <c r="H404" s="131"/>
    </row>
    <row r="405">
      <c r="A405" s="3" t="b">
        <v>0</v>
      </c>
      <c r="B405" s="130"/>
      <c r="C405" s="131"/>
      <c r="D405" s="131"/>
      <c r="E405" s="131"/>
      <c r="F405" s="14"/>
      <c r="G405" s="14"/>
      <c r="H405" s="131"/>
    </row>
    <row r="406">
      <c r="A406" s="3" t="b">
        <v>0</v>
      </c>
      <c r="B406" s="130"/>
      <c r="C406" s="131"/>
      <c r="D406" s="131"/>
      <c r="E406" s="131"/>
      <c r="F406" s="14"/>
      <c r="G406" s="14"/>
      <c r="H406" s="131"/>
    </row>
    <row r="407">
      <c r="A407" s="3" t="b">
        <v>0</v>
      </c>
      <c r="B407" s="130"/>
      <c r="C407" s="131"/>
      <c r="D407" s="131"/>
      <c r="E407" s="131"/>
      <c r="F407" s="14"/>
      <c r="G407" s="14"/>
      <c r="H407" s="131"/>
    </row>
    <row r="408">
      <c r="A408" s="3" t="b">
        <v>0</v>
      </c>
      <c r="B408" s="130"/>
      <c r="C408" s="131"/>
      <c r="D408" s="131"/>
      <c r="E408" s="131"/>
      <c r="F408" s="14"/>
      <c r="G408" s="14"/>
      <c r="H408" s="131"/>
    </row>
    <row r="409">
      <c r="A409" s="3" t="b">
        <v>0</v>
      </c>
      <c r="B409" s="130"/>
      <c r="C409" s="131"/>
      <c r="D409" s="131"/>
      <c r="E409" s="131"/>
      <c r="F409" s="14"/>
      <c r="G409" s="14"/>
      <c r="H409" s="131"/>
    </row>
    <row r="410">
      <c r="A410" s="3" t="b">
        <v>0</v>
      </c>
      <c r="B410" s="130"/>
      <c r="C410" s="131"/>
      <c r="D410" s="131"/>
      <c r="E410" s="131"/>
      <c r="F410" s="14"/>
      <c r="G410" s="14"/>
      <c r="H410" s="131"/>
    </row>
    <row r="411">
      <c r="A411" s="3" t="b">
        <v>0</v>
      </c>
      <c r="B411" s="130"/>
      <c r="C411" s="131"/>
      <c r="D411" s="131"/>
      <c r="E411" s="131"/>
      <c r="F411" s="14"/>
      <c r="G411" s="14"/>
      <c r="H411" s="131"/>
    </row>
    <row r="412">
      <c r="A412" s="3" t="b">
        <v>0</v>
      </c>
      <c r="B412" s="130"/>
      <c r="C412" s="131"/>
      <c r="D412" s="131"/>
      <c r="E412" s="131"/>
      <c r="F412" s="14"/>
      <c r="G412" s="14"/>
      <c r="H412" s="131"/>
    </row>
    <row r="413">
      <c r="A413" s="3" t="b">
        <v>0</v>
      </c>
      <c r="B413" s="130"/>
      <c r="C413" s="131"/>
      <c r="D413" s="131"/>
      <c r="E413" s="131"/>
      <c r="F413" s="14"/>
      <c r="G413" s="14"/>
      <c r="H413" s="131"/>
    </row>
    <row r="414">
      <c r="A414" s="3" t="b">
        <v>0</v>
      </c>
      <c r="B414" s="130"/>
      <c r="C414" s="131"/>
      <c r="D414" s="131"/>
      <c r="E414" s="131"/>
      <c r="F414" s="14"/>
      <c r="G414" s="14"/>
      <c r="H414" s="131"/>
    </row>
    <row r="415">
      <c r="A415" s="3" t="b">
        <v>0</v>
      </c>
      <c r="B415" s="130"/>
      <c r="C415" s="131"/>
      <c r="D415" s="131"/>
      <c r="E415" s="131"/>
      <c r="F415" s="14"/>
      <c r="G415" s="14"/>
      <c r="H415" s="131"/>
    </row>
    <row r="416">
      <c r="A416" s="3" t="b">
        <v>0</v>
      </c>
      <c r="B416" s="130"/>
      <c r="C416" s="131"/>
      <c r="D416" s="131"/>
      <c r="E416" s="131"/>
      <c r="F416" s="14"/>
      <c r="G416" s="14"/>
      <c r="H416" s="131"/>
    </row>
    <row r="417">
      <c r="A417" s="3" t="b">
        <v>0</v>
      </c>
      <c r="B417" s="130"/>
      <c r="C417" s="131"/>
      <c r="D417" s="131"/>
      <c r="E417" s="131"/>
      <c r="F417" s="14"/>
      <c r="G417" s="14"/>
      <c r="H417" s="131"/>
    </row>
    <row r="418">
      <c r="A418" s="3" t="b">
        <v>0</v>
      </c>
      <c r="B418" s="130"/>
      <c r="C418" s="131"/>
      <c r="D418" s="131"/>
      <c r="E418" s="131"/>
      <c r="F418" s="14"/>
      <c r="G418" s="14"/>
      <c r="H418" s="131"/>
    </row>
    <row r="419">
      <c r="A419" s="3" t="b">
        <v>0</v>
      </c>
      <c r="B419" s="130"/>
      <c r="C419" s="131"/>
      <c r="D419" s="131"/>
      <c r="E419" s="131"/>
      <c r="F419" s="14"/>
      <c r="G419" s="14"/>
      <c r="H419" s="131"/>
    </row>
    <row r="420">
      <c r="A420" s="3" t="b">
        <v>0</v>
      </c>
      <c r="B420" s="130"/>
      <c r="C420" s="131"/>
      <c r="D420" s="131"/>
      <c r="E420" s="131"/>
      <c r="F420" s="14"/>
      <c r="G420" s="14"/>
      <c r="H420" s="131"/>
    </row>
    <row r="421">
      <c r="A421" s="3" t="b">
        <v>0</v>
      </c>
      <c r="B421" s="130"/>
      <c r="C421" s="131"/>
      <c r="D421" s="131"/>
      <c r="E421" s="131"/>
      <c r="F421" s="14"/>
      <c r="G421" s="14"/>
      <c r="H421" s="131"/>
    </row>
    <row r="422">
      <c r="A422" s="3" t="b">
        <v>0</v>
      </c>
      <c r="B422" s="130"/>
      <c r="C422" s="131"/>
      <c r="D422" s="131"/>
      <c r="E422" s="131"/>
      <c r="F422" s="14"/>
      <c r="G422" s="14"/>
      <c r="H422" s="131"/>
    </row>
    <row r="423">
      <c r="A423" s="3" t="b">
        <v>0</v>
      </c>
      <c r="B423" s="130"/>
      <c r="C423" s="131"/>
      <c r="D423" s="131"/>
      <c r="E423" s="131"/>
      <c r="F423" s="14"/>
      <c r="G423" s="14"/>
      <c r="H423" s="131"/>
    </row>
    <row r="424">
      <c r="A424" s="3" t="b">
        <v>0</v>
      </c>
      <c r="B424" s="130"/>
      <c r="C424" s="131"/>
      <c r="D424" s="131"/>
      <c r="E424" s="131"/>
      <c r="F424" s="14"/>
      <c r="G424" s="14"/>
      <c r="H424" s="131"/>
    </row>
    <row r="425">
      <c r="A425" s="3" t="b">
        <v>0</v>
      </c>
      <c r="B425" s="130"/>
      <c r="C425" s="131"/>
      <c r="D425" s="131"/>
      <c r="E425" s="131"/>
      <c r="F425" s="14"/>
      <c r="G425" s="14"/>
      <c r="H425" s="131"/>
    </row>
    <row r="426">
      <c r="A426" s="3" t="b">
        <v>0</v>
      </c>
      <c r="B426" s="130"/>
      <c r="C426" s="131"/>
      <c r="D426" s="131"/>
      <c r="E426" s="131"/>
      <c r="F426" s="14"/>
      <c r="G426" s="14"/>
      <c r="H426" s="131"/>
    </row>
    <row r="427">
      <c r="A427" s="3" t="b">
        <v>0</v>
      </c>
      <c r="B427" s="130"/>
      <c r="C427" s="131"/>
      <c r="D427" s="131"/>
      <c r="E427" s="131"/>
      <c r="F427" s="14"/>
      <c r="G427" s="14"/>
      <c r="H427" s="131"/>
    </row>
    <row r="428">
      <c r="A428" s="3" t="b">
        <v>0</v>
      </c>
      <c r="B428" s="130"/>
      <c r="C428" s="131"/>
      <c r="D428" s="131"/>
      <c r="E428" s="131"/>
      <c r="F428" s="14"/>
      <c r="G428" s="14"/>
      <c r="H428" s="131"/>
    </row>
    <row r="429">
      <c r="A429" s="3" t="b">
        <v>0</v>
      </c>
      <c r="B429" s="130"/>
      <c r="C429" s="131"/>
      <c r="D429" s="131"/>
      <c r="E429" s="131"/>
      <c r="F429" s="14"/>
      <c r="G429" s="14"/>
      <c r="H429" s="131"/>
    </row>
    <row r="430">
      <c r="A430" s="3" t="b">
        <v>0</v>
      </c>
      <c r="B430" s="130"/>
      <c r="C430" s="131"/>
      <c r="D430" s="131"/>
      <c r="E430" s="131"/>
      <c r="F430" s="14"/>
      <c r="G430" s="14"/>
      <c r="H430" s="131"/>
    </row>
    <row r="431">
      <c r="A431" s="3" t="b">
        <v>0</v>
      </c>
      <c r="B431" s="130"/>
      <c r="C431" s="131"/>
      <c r="D431" s="131"/>
      <c r="E431" s="131"/>
      <c r="F431" s="14"/>
      <c r="G431" s="14"/>
      <c r="H431" s="131"/>
    </row>
    <row r="432">
      <c r="A432" s="3" t="b">
        <v>0</v>
      </c>
      <c r="B432" s="130"/>
      <c r="C432" s="131"/>
      <c r="D432" s="131"/>
      <c r="E432" s="131"/>
      <c r="F432" s="14"/>
      <c r="G432" s="14"/>
      <c r="H432" s="131"/>
    </row>
    <row r="433">
      <c r="A433" s="3" t="b">
        <v>0</v>
      </c>
      <c r="B433" s="130"/>
      <c r="C433" s="131"/>
      <c r="D433" s="131"/>
      <c r="E433" s="131"/>
      <c r="F433" s="14"/>
      <c r="G433" s="14"/>
      <c r="H433" s="131"/>
    </row>
    <row r="434">
      <c r="A434" s="3" t="b">
        <v>0</v>
      </c>
      <c r="B434" s="130"/>
      <c r="C434" s="131"/>
      <c r="D434" s="131"/>
      <c r="E434" s="131"/>
      <c r="F434" s="14"/>
      <c r="G434" s="14"/>
      <c r="H434" s="131"/>
    </row>
    <row r="435">
      <c r="A435" s="3" t="b">
        <v>0</v>
      </c>
      <c r="B435" s="130"/>
      <c r="C435" s="131"/>
      <c r="D435" s="131"/>
      <c r="E435" s="131"/>
      <c r="F435" s="14"/>
      <c r="G435" s="14"/>
      <c r="H435" s="131"/>
    </row>
    <row r="436">
      <c r="A436" s="3" t="b">
        <v>0</v>
      </c>
      <c r="B436" s="130"/>
      <c r="C436" s="131"/>
      <c r="D436" s="131"/>
      <c r="E436" s="131"/>
      <c r="F436" s="14"/>
      <c r="G436" s="14"/>
      <c r="H436" s="131"/>
    </row>
    <row r="437">
      <c r="A437" s="3" t="b">
        <v>0</v>
      </c>
      <c r="B437" s="130"/>
      <c r="C437" s="131"/>
      <c r="D437" s="131"/>
      <c r="E437" s="131"/>
      <c r="F437" s="14"/>
      <c r="G437" s="14"/>
      <c r="H437" s="131"/>
    </row>
    <row r="438">
      <c r="A438" s="3" t="b">
        <v>0</v>
      </c>
      <c r="B438" s="130"/>
      <c r="C438" s="131"/>
      <c r="D438" s="131"/>
      <c r="E438" s="131"/>
      <c r="F438" s="14"/>
      <c r="G438" s="14"/>
      <c r="H438" s="131"/>
    </row>
    <row r="439">
      <c r="A439" s="3" t="b">
        <v>0</v>
      </c>
      <c r="B439" s="130"/>
      <c r="C439" s="131"/>
      <c r="D439" s="131"/>
      <c r="E439" s="131"/>
      <c r="F439" s="14"/>
      <c r="G439" s="14"/>
      <c r="H439" s="131"/>
    </row>
    <row r="440">
      <c r="A440" s="3" t="b">
        <v>0</v>
      </c>
      <c r="B440" s="130"/>
      <c r="C440" s="131"/>
      <c r="D440" s="131"/>
      <c r="E440" s="131"/>
      <c r="F440" s="14"/>
      <c r="G440" s="14"/>
      <c r="H440" s="131"/>
    </row>
    <row r="441">
      <c r="A441" s="3" t="b">
        <v>0</v>
      </c>
      <c r="B441" s="130"/>
      <c r="C441" s="131"/>
      <c r="D441" s="131"/>
      <c r="E441" s="131"/>
      <c r="F441" s="14"/>
      <c r="G441" s="14"/>
      <c r="H441" s="131"/>
    </row>
    <row r="442">
      <c r="A442" s="3" t="b">
        <v>0</v>
      </c>
      <c r="B442" s="130"/>
      <c r="C442" s="131"/>
      <c r="D442" s="131"/>
      <c r="E442" s="131"/>
      <c r="F442" s="14"/>
      <c r="G442" s="14"/>
      <c r="H442" s="131"/>
    </row>
    <row r="443">
      <c r="A443" s="3" t="b">
        <v>0</v>
      </c>
      <c r="B443" s="130"/>
      <c r="C443" s="131"/>
      <c r="D443" s="131"/>
      <c r="E443" s="131"/>
      <c r="F443" s="14"/>
      <c r="G443" s="14"/>
      <c r="H443" s="131"/>
    </row>
    <row r="444">
      <c r="A444" s="3" t="b">
        <v>0</v>
      </c>
      <c r="B444" s="130"/>
      <c r="C444" s="131"/>
      <c r="D444" s="131"/>
      <c r="E444" s="131"/>
      <c r="F444" s="14"/>
      <c r="G444" s="14"/>
      <c r="H444" s="131"/>
    </row>
    <row r="445">
      <c r="A445" s="3" t="b">
        <v>0</v>
      </c>
      <c r="B445" s="130"/>
      <c r="C445" s="131"/>
      <c r="D445" s="131"/>
      <c r="E445" s="131"/>
      <c r="F445" s="14"/>
      <c r="G445" s="14"/>
      <c r="H445" s="131"/>
    </row>
    <row r="446">
      <c r="A446" s="3" t="b">
        <v>0</v>
      </c>
      <c r="B446" s="130"/>
      <c r="C446" s="131"/>
      <c r="D446" s="131"/>
      <c r="E446" s="131"/>
      <c r="F446" s="14"/>
      <c r="G446" s="14"/>
      <c r="H446" s="131"/>
    </row>
    <row r="447">
      <c r="A447" s="3" t="b">
        <v>0</v>
      </c>
      <c r="B447" s="130"/>
      <c r="C447" s="131"/>
      <c r="D447" s="131"/>
      <c r="E447" s="131"/>
      <c r="F447" s="14"/>
      <c r="G447" s="14"/>
      <c r="H447" s="131"/>
    </row>
    <row r="448">
      <c r="A448" s="3" t="b">
        <v>0</v>
      </c>
      <c r="B448" s="130"/>
      <c r="C448" s="131"/>
      <c r="D448" s="131"/>
      <c r="E448" s="131"/>
      <c r="F448" s="14"/>
      <c r="G448" s="14"/>
      <c r="H448" s="131"/>
    </row>
    <row r="449">
      <c r="A449" s="3" t="b">
        <v>0</v>
      </c>
      <c r="B449" s="130"/>
      <c r="C449" s="131"/>
      <c r="D449" s="131"/>
      <c r="E449" s="131"/>
      <c r="F449" s="14"/>
      <c r="G449" s="14"/>
      <c r="H449" s="131"/>
    </row>
    <row r="450">
      <c r="A450" s="3" t="b">
        <v>0</v>
      </c>
      <c r="B450" s="130"/>
      <c r="C450" s="131"/>
      <c r="D450" s="131"/>
      <c r="E450" s="131"/>
      <c r="F450" s="14"/>
      <c r="G450" s="14"/>
      <c r="H450" s="131"/>
    </row>
    <row r="451">
      <c r="A451" s="3" t="b">
        <v>0</v>
      </c>
      <c r="B451" s="130"/>
      <c r="C451" s="131"/>
      <c r="D451" s="131"/>
      <c r="E451" s="131"/>
      <c r="F451" s="14"/>
      <c r="G451" s="14"/>
      <c r="H451" s="131"/>
    </row>
    <row r="452">
      <c r="A452" s="3" t="b">
        <v>0</v>
      </c>
      <c r="B452" s="130"/>
      <c r="C452" s="131"/>
      <c r="D452" s="131"/>
      <c r="E452" s="131"/>
      <c r="F452" s="14"/>
      <c r="G452" s="14"/>
      <c r="H452" s="131"/>
    </row>
    <row r="453">
      <c r="A453" s="3" t="b">
        <v>0</v>
      </c>
      <c r="B453" s="130"/>
      <c r="C453" s="131"/>
      <c r="D453" s="131"/>
      <c r="E453" s="131"/>
      <c r="F453" s="14"/>
      <c r="G453" s="14"/>
      <c r="H453" s="131"/>
    </row>
    <row r="454">
      <c r="A454" s="3" t="b">
        <v>0</v>
      </c>
      <c r="B454" s="130"/>
      <c r="C454" s="131"/>
      <c r="D454" s="131"/>
      <c r="E454" s="131"/>
      <c r="F454" s="14"/>
      <c r="G454" s="14"/>
      <c r="H454" s="131"/>
    </row>
    <row r="455">
      <c r="A455" s="3" t="b">
        <v>0</v>
      </c>
      <c r="B455" s="130"/>
      <c r="C455" s="131"/>
      <c r="D455" s="131"/>
      <c r="E455" s="131"/>
      <c r="F455" s="14"/>
      <c r="G455" s="14"/>
      <c r="H455" s="131"/>
    </row>
    <row r="456">
      <c r="A456" s="3" t="b">
        <v>0</v>
      </c>
      <c r="B456" s="130"/>
      <c r="C456" s="131"/>
      <c r="D456" s="131"/>
      <c r="E456" s="131"/>
      <c r="F456" s="14"/>
      <c r="G456" s="14"/>
      <c r="H456" s="131"/>
    </row>
    <row r="457">
      <c r="A457" s="3" t="b">
        <v>0</v>
      </c>
      <c r="B457" s="130"/>
      <c r="C457" s="131"/>
      <c r="D457" s="131"/>
      <c r="E457" s="131"/>
      <c r="F457" s="14"/>
      <c r="G457" s="14"/>
      <c r="H457" s="131"/>
    </row>
    <row r="458">
      <c r="A458" s="3" t="b">
        <v>0</v>
      </c>
      <c r="B458" s="130"/>
      <c r="C458" s="131"/>
      <c r="D458" s="131"/>
      <c r="E458" s="131"/>
      <c r="F458" s="14"/>
      <c r="G458" s="14"/>
      <c r="H458" s="131"/>
    </row>
    <row r="459">
      <c r="A459" s="3" t="b">
        <v>0</v>
      </c>
      <c r="B459" s="130"/>
      <c r="C459" s="131"/>
      <c r="D459" s="131"/>
      <c r="E459" s="131"/>
      <c r="F459" s="14"/>
      <c r="G459" s="14"/>
      <c r="H459" s="131"/>
    </row>
    <row r="460">
      <c r="A460" s="3" t="b">
        <v>0</v>
      </c>
      <c r="B460" s="130"/>
      <c r="C460" s="131"/>
      <c r="D460" s="131"/>
      <c r="E460" s="131"/>
      <c r="F460" s="14"/>
      <c r="G460" s="14"/>
      <c r="H460" s="131"/>
    </row>
    <row r="461">
      <c r="A461" s="3" t="b">
        <v>0</v>
      </c>
      <c r="B461" s="130"/>
      <c r="C461" s="131"/>
      <c r="D461" s="131"/>
      <c r="E461" s="131"/>
      <c r="F461" s="14"/>
      <c r="G461" s="14"/>
      <c r="H461" s="131"/>
    </row>
    <row r="462">
      <c r="A462" s="3" t="b">
        <v>0</v>
      </c>
      <c r="B462" s="130"/>
      <c r="C462" s="131"/>
      <c r="D462" s="131"/>
      <c r="E462" s="131"/>
      <c r="F462" s="14"/>
      <c r="G462" s="14"/>
      <c r="H462" s="131"/>
    </row>
    <row r="463">
      <c r="A463" s="3" t="b">
        <v>0</v>
      </c>
      <c r="B463" s="130"/>
      <c r="C463" s="131"/>
      <c r="D463" s="131"/>
      <c r="E463" s="131"/>
      <c r="F463" s="14"/>
      <c r="G463" s="14"/>
      <c r="H463" s="131"/>
    </row>
    <row r="464">
      <c r="A464" s="3" t="b">
        <v>0</v>
      </c>
      <c r="B464" s="130"/>
      <c r="C464" s="131"/>
      <c r="D464" s="131"/>
      <c r="E464" s="131"/>
      <c r="F464" s="14"/>
      <c r="G464" s="14"/>
      <c r="H464" s="131"/>
    </row>
    <row r="465">
      <c r="A465" s="3" t="b">
        <v>0</v>
      </c>
      <c r="B465" s="130"/>
      <c r="C465" s="131"/>
      <c r="D465" s="131"/>
      <c r="E465" s="131"/>
      <c r="F465" s="14"/>
      <c r="G465" s="14"/>
      <c r="H465" s="131"/>
    </row>
    <row r="466">
      <c r="A466" s="3" t="b">
        <v>0</v>
      </c>
      <c r="B466" s="130"/>
      <c r="C466" s="131"/>
      <c r="D466" s="131"/>
      <c r="E466" s="131"/>
      <c r="F466" s="14"/>
      <c r="G466" s="14"/>
      <c r="H466" s="131"/>
    </row>
    <row r="467">
      <c r="A467" s="3" t="b">
        <v>0</v>
      </c>
      <c r="B467" s="130"/>
      <c r="C467" s="131"/>
      <c r="D467" s="131"/>
      <c r="E467" s="131"/>
      <c r="F467" s="14"/>
      <c r="G467" s="14"/>
      <c r="H467" s="131"/>
    </row>
    <row r="468">
      <c r="A468" s="3" t="b">
        <v>0</v>
      </c>
      <c r="B468" s="130"/>
      <c r="C468" s="131"/>
      <c r="D468" s="131"/>
      <c r="E468" s="131"/>
      <c r="F468" s="14"/>
      <c r="G468" s="14"/>
      <c r="H468" s="131"/>
    </row>
    <row r="469">
      <c r="A469" s="3" t="b">
        <v>0</v>
      </c>
      <c r="B469" s="130"/>
      <c r="C469" s="131"/>
      <c r="D469" s="131"/>
      <c r="E469" s="131"/>
      <c r="F469" s="14"/>
      <c r="G469" s="14"/>
      <c r="H469" s="131"/>
    </row>
    <row r="470">
      <c r="A470" s="3" t="b">
        <v>0</v>
      </c>
      <c r="B470" s="130"/>
      <c r="C470" s="131"/>
      <c r="D470" s="131"/>
      <c r="E470" s="131"/>
      <c r="F470" s="14"/>
      <c r="G470" s="14"/>
      <c r="H470" s="131"/>
    </row>
    <row r="471">
      <c r="A471" s="3" t="b">
        <v>0</v>
      </c>
      <c r="B471" s="130"/>
      <c r="C471" s="131"/>
      <c r="D471" s="131"/>
      <c r="E471" s="131"/>
      <c r="F471" s="14"/>
      <c r="G471" s="14"/>
      <c r="H471" s="131"/>
    </row>
    <row r="472">
      <c r="A472" s="3" t="b">
        <v>0</v>
      </c>
      <c r="B472" s="130"/>
      <c r="C472" s="131"/>
      <c r="D472" s="131"/>
      <c r="E472" s="131"/>
      <c r="F472" s="14"/>
      <c r="G472" s="14"/>
      <c r="H472" s="131"/>
    </row>
    <row r="473">
      <c r="A473" s="3" t="b">
        <v>0</v>
      </c>
      <c r="B473" s="130"/>
      <c r="C473" s="131"/>
      <c r="D473" s="131"/>
      <c r="E473" s="131"/>
      <c r="F473" s="14"/>
      <c r="G473" s="14"/>
      <c r="H473" s="131"/>
    </row>
    <row r="474">
      <c r="A474" s="3" t="b">
        <v>0</v>
      </c>
      <c r="B474" s="130"/>
      <c r="C474" s="131"/>
      <c r="D474" s="131"/>
      <c r="E474" s="131"/>
      <c r="F474" s="14"/>
      <c r="G474" s="14"/>
      <c r="H474" s="131"/>
    </row>
    <row r="475">
      <c r="A475" s="3" t="b">
        <v>0</v>
      </c>
      <c r="B475" s="130"/>
      <c r="C475" s="131"/>
      <c r="D475" s="131"/>
      <c r="E475" s="131"/>
      <c r="F475" s="14"/>
      <c r="G475" s="14"/>
      <c r="H475" s="131"/>
    </row>
    <row r="476">
      <c r="A476" s="3" t="b">
        <v>0</v>
      </c>
      <c r="B476" s="130"/>
      <c r="C476" s="131"/>
      <c r="D476" s="131"/>
      <c r="E476" s="131"/>
      <c r="F476" s="14"/>
      <c r="G476" s="14"/>
      <c r="H476" s="131"/>
    </row>
    <row r="477">
      <c r="A477" s="3" t="b">
        <v>0</v>
      </c>
      <c r="B477" s="130"/>
      <c r="C477" s="131"/>
      <c r="D477" s="131"/>
      <c r="E477" s="131"/>
      <c r="F477" s="14"/>
      <c r="G477" s="14"/>
      <c r="H477" s="131"/>
    </row>
    <row r="478">
      <c r="A478" s="3" t="b">
        <v>0</v>
      </c>
      <c r="B478" s="130"/>
      <c r="C478" s="131"/>
      <c r="D478" s="131"/>
      <c r="E478" s="131"/>
      <c r="F478" s="14"/>
      <c r="G478" s="14"/>
      <c r="H478" s="131"/>
    </row>
    <row r="479">
      <c r="A479" s="3" t="b">
        <v>0</v>
      </c>
      <c r="B479" s="130"/>
      <c r="C479" s="131"/>
      <c r="D479" s="131"/>
      <c r="E479" s="131"/>
      <c r="F479" s="14"/>
      <c r="G479" s="14"/>
      <c r="H479" s="131"/>
    </row>
    <row r="480">
      <c r="A480" s="3" t="b">
        <v>0</v>
      </c>
      <c r="B480" s="130"/>
      <c r="C480" s="131"/>
      <c r="D480" s="131"/>
      <c r="E480" s="131"/>
      <c r="F480" s="14"/>
      <c r="G480" s="14"/>
      <c r="H480" s="131"/>
    </row>
    <row r="481">
      <c r="A481" s="3" t="b">
        <v>0</v>
      </c>
      <c r="B481" s="130"/>
      <c r="C481" s="131"/>
      <c r="D481" s="131"/>
      <c r="E481" s="131"/>
      <c r="F481" s="14"/>
      <c r="G481" s="14"/>
      <c r="H481" s="131"/>
    </row>
    <row r="482">
      <c r="A482" s="3" t="b">
        <v>0</v>
      </c>
      <c r="B482" s="130"/>
      <c r="C482" s="131"/>
      <c r="D482" s="131"/>
      <c r="E482" s="131"/>
      <c r="F482" s="14"/>
      <c r="G482" s="14"/>
      <c r="H482" s="131"/>
    </row>
    <row r="483">
      <c r="A483" s="3" t="b">
        <v>0</v>
      </c>
      <c r="B483" s="130"/>
      <c r="C483" s="131"/>
      <c r="D483" s="131"/>
      <c r="E483" s="131"/>
      <c r="F483" s="14"/>
      <c r="G483" s="14"/>
      <c r="H483" s="131"/>
    </row>
    <row r="484">
      <c r="A484" s="3" t="b">
        <v>0</v>
      </c>
      <c r="B484" s="130"/>
      <c r="C484" s="131"/>
      <c r="D484" s="131"/>
      <c r="E484" s="131"/>
      <c r="F484" s="14"/>
      <c r="G484" s="14"/>
      <c r="H484" s="131"/>
    </row>
    <row r="485">
      <c r="A485" s="3" t="b">
        <v>0</v>
      </c>
      <c r="B485" s="130"/>
      <c r="C485" s="131"/>
      <c r="D485" s="131"/>
      <c r="E485" s="131"/>
      <c r="F485" s="14"/>
      <c r="G485" s="14"/>
      <c r="H485" s="131"/>
    </row>
    <row r="486">
      <c r="A486" s="3" t="b">
        <v>0</v>
      </c>
      <c r="B486" s="130"/>
      <c r="C486" s="131"/>
      <c r="D486" s="131"/>
      <c r="E486" s="131"/>
      <c r="F486" s="14"/>
      <c r="G486" s="14"/>
      <c r="H486" s="131"/>
    </row>
    <row r="487">
      <c r="A487" s="3" t="b">
        <v>0</v>
      </c>
      <c r="B487" s="130"/>
      <c r="C487" s="131"/>
      <c r="D487" s="131"/>
      <c r="E487" s="131"/>
      <c r="F487" s="14"/>
      <c r="G487" s="14"/>
      <c r="H487" s="131"/>
    </row>
    <row r="488">
      <c r="A488" s="3" t="b">
        <v>0</v>
      </c>
      <c r="B488" s="130"/>
      <c r="C488" s="131"/>
      <c r="D488" s="131"/>
      <c r="E488" s="131"/>
      <c r="F488" s="14"/>
      <c r="G488" s="14"/>
      <c r="H488" s="131"/>
    </row>
    <row r="489">
      <c r="A489" s="3" t="b">
        <v>0</v>
      </c>
      <c r="B489" s="130"/>
      <c r="C489" s="131"/>
      <c r="D489" s="131"/>
      <c r="E489" s="131"/>
      <c r="F489" s="14"/>
      <c r="G489" s="14"/>
      <c r="H489" s="131"/>
    </row>
    <row r="490">
      <c r="A490" s="3" t="b">
        <v>0</v>
      </c>
      <c r="B490" s="130"/>
      <c r="C490" s="131"/>
      <c r="D490" s="131"/>
      <c r="E490" s="131"/>
      <c r="F490" s="14"/>
      <c r="G490" s="14"/>
      <c r="H490" s="131"/>
    </row>
    <row r="491">
      <c r="A491" s="3" t="b">
        <v>0</v>
      </c>
      <c r="B491" s="130"/>
      <c r="C491" s="131"/>
      <c r="D491" s="131"/>
      <c r="E491" s="131"/>
      <c r="F491" s="14"/>
      <c r="G491" s="14"/>
      <c r="H491" s="131"/>
    </row>
    <row r="492">
      <c r="A492" s="3" t="b">
        <v>0</v>
      </c>
      <c r="B492" s="130"/>
      <c r="C492" s="131"/>
      <c r="D492" s="131"/>
      <c r="E492" s="131"/>
      <c r="F492" s="14"/>
      <c r="G492" s="14"/>
      <c r="H492" s="131"/>
    </row>
    <row r="493">
      <c r="A493" s="3" t="b">
        <v>0</v>
      </c>
      <c r="B493" s="130"/>
      <c r="C493" s="131"/>
      <c r="D493" s="131"/>
      <c r="E493" s="131"/>
      <c r="F493" s="14"/>
      <c r="G493" s="14"/>
      <c r="H493" s="131"/>
    </row>
    <row r="494">
      <c r="A494" s="3" t="b">
        <v>0</v>
      </c>
      <c r="B494" s="130"/>
      <c r="C494" s="131"/>
      <c r="D494" s="131"/>
      <c r="E494" s="131"/>
      <c r="F494" s="14"/>
      <c r="G494" s="14"/>
      <c r="H494" s="131"/>
    </row>
    <row r="495">
      <c r="A495" s="3" t="b">
        <v>0</v>
      </c>
      <c r="B495" s="130"/>
      <c r="C495" s="131"/>
      <c r="D495" s="131"/>
      <c r="E495" s="131"/>
      <c r="F495" s="14"/>
      <c r="G495" s="14"/>
      <c r="H495" s="131"/>
    </row>
    <row r="496">
      <c r="A496" s="3" t="b">
        <v>0</v>
      </c>
      <c r="B496" s="130"/>
      <c r="C496" s="131"/>
      <c r="D496" s="131"/>
      <c r="E496" s="131"/>
      <c r="F496" s="14"/>
      <c r="G496" s="14"/>
      <c r="H496" s="131"/>
    </row>
    <row r="497">
      <c r="A497" s="3" t="b">
        <v>0</v>
      </c>
      <c r="B497" s="130"/>
      <c r="C497" s="131"/>
      <c r="D497" s="131"/>
      <c r="E497" s="131"/>
      <c r="F497" s="14"/>
      <c r="G497" s="14"/>
      <c r="H497" s="131"/>
    </row>
    <row r="498">
      <c r="A498" s="3" t="b">
        <v>0</v>
      </c>
      <c r="B498" s="130"/>
      <c r="C498" s="131"/>
      <c r="D498" s="131"/>
      <c r="E498" s="131"/>
      <c r="F498" s="14"/>
      <c r="G498" s="14"/>
      <c r="H498" s="131"/>
    </row>
    <row r="499">
      <c r="A499" s="3" t="b">
        <v>0</v>
      </c>
      <c r="B499" s="130"/>
      <c r="C499" s="131"/>
      <c r="D499" s="131"/>
      <c r="E499" s="131"/>
      <c r="F499" s="14"/>
      <c r="G499" s="14"/>
      <c r="H499" s="131"/>
    </row>
    <row r="500">
      <c r="A500" s="3" t="b">
        <v>0</v>
      </c>
      <c r="B500" s="130"/>
      <c r="C500" s="131"/>
      <c r="D500" s="131"/>
      <c r="E500" s="131"/>
      <c r="F500" s="14"/>
      <c r="G500" s="14"/>
      <c r="H500" s="131"/>
    </row>
    <row r="501">
      <c r="A501" s="3" t="b">
        <v>0</v>
      </c>
      <c r="B501" s="130"/>
      <c r="C501" s="131"/>
      <c r="D501" s="131"/>
      <c r="E501" s="131"/>
      <c r="F501" s="14"/>
      <c r="G501" s="14"/>
      <c r="H501" s="131"/>
    </row>
    <row r="502">
      <c r="A502" s="3" t="b">
        <v>0</v>
      </c>
      <c r="B502" s="130"/>
      <c r="C502" s="131"/>
      <c r="D502" s="131"/>
      <c r="E502" s="131"/>
      <c r="F502" s="14"/>
      <c r="G502" s="14"/>
      <c r="H502" s="131"/>
    </row>
    <row r="503">
      <c r="A503" s="3" t="b">
        <v>0</v>
      </c>
      <c r="B503" s="130"/>
      <c r="C503" s="131"/>
      <c r="D503" s="131"/>
      <c r="E503" s="131"/>
      <c r="F503" s="14"/>
      <c r="G503" s="14"/>
      <c r="H503" s="131"/>
    </row>
    <row r="504">
      <c r="A504" s="3" t="b">
        <v>0</v>
      </c>
      <c r="B504" s="130"/>
      <c r="C504" s="131"/>
      <c r="D504" s="131"/>
      <c r="E504" s="131"/>
      <c r="F504" s="14"/>
      <c r="G504" s="14"/>
      <c r="H504" s="131"/>
    </row>
    <row r="505">
      <c r="A505" s="3" t="b">
        <v>0</v>
      </c>
      <c r="B505" s="130"/>
      <c r="C505" s="131"/>
      <c r="D505" s="131"/>
      <c r="E505" s="131"/>
      <c r="F505" s="14"/>
      <c r="G505" s="14"/>
      <c r="H505" s="131"/>
    </row>
    <row r="506">
      <c r="A506" s="3" t="b">
        <v>0</v>
      </c>
      <c r="B506" s="130"/>
      <c r="C506" s="131"/>
      <c r="D506" s="131"/>
      <c r="E506" s="131"/>
      <c r="F506" s="14"/>
      <c r="G506" s="14"/>
      <c r="H506" s="131"/>
    </row>
    <row r="507">
      <c r="A507" s="3" t="b">
        <v>0</v>
      </c>
      <c r="B507" s="130"/>
      <c r="C507" s="131"/>
      <c r="D507" s="131"/>
      <c r="E507" s="131"/>
      <c r="F507" s="14"/>
      <c r="G507" s="14"/>
      <c r="H507" s="131"/>
    </row>
    <row r="508">
      <c r="A508" s="3" t="b">
        <v>0</v>
      </c>
      <c r="B508" s="130"/>
      <c r="C508" s="131"/>
      <c r="D508" s="131"/>
      <c r="E508" s="131"/>
      <c r="F508" s="14"/>
      <c r="G508" s="14"/>
      <c r="H508" s="131"/>
    </row>
    <row r="509">
      <c r="A509" s="3" t="b">
        <v>0</v>
      </c>
      <c r="B509" s="130"/>
      <c r="C509" s="131"/>
      <c r="D509" s="131"/>
      <c r="E509" s="131"/>
      <c r="F509" s="14"/>
      <c r="G509" s="14"/>
      <c r="H509" s="131"/>
    </row>
    <row r="510">
      <c r="A510" s="3" t="b">
        <v>0</v>
      </c>
      <c r="B510" s="130"/>
      <c r="C510" s="131"/>
      <c r="D510" s="131"/>
      <c r="E510" s="131"/>
      <c r="F510" s="14"/>
      <c r="G510" s="14"/>
      <c r="H510" s="131"/>
    </row>
    <row r="511">
      <c r="A511" s="3" t="b">
        <v>0</v>
      </c>
      <c r="B511" s="130"/>
      <c r="C511" s="131"/>
      <c r="D511" s="131"/>
      <c r="E511" s="131"/>
      <c r="F511" s="14"/>
      <c r="G511" s="14"/>
      <c r="H511" s="131"/>
    </row>
    <row r="512">
      <c r="A512" s="3" t="b">
        <v>0</v>
      </c>
      <c r="B512" s="130"/>
      <c r="C512" s="131"/>
      <c r="D512" s="131"/>
      <c r="E512" s="131"/>
      <c r="F512" s="14"/>
      <c r="G512" s="14"/>
      <c r="H512" s="131"/>
    </row>
    <row r="513">
      <c r="A513" s="3" t="b">
        <v>0</v>
      </c>
      <c r="B513" s="130"/>
      <c r="C513" s="131"/>
      <c r="D513" s="131"/>
      <c r="E513" s="131"/>
      <c r="F513" s="14"/>
      <c r="G513" s="14"/>
      <c r="H513" s="131"/>
    </row>
    <row r="514">
      <c r="A514" s="3" t="b">
        <v>0</v>
      </c>
      <c r="B514" s="130"/>
      <c r="C514" s="131"/>
      <c r="D514" s="131"/>
      <c r="E514" s="131"/>
      <c r="F514" s="14"/>
      <c r="G514" s="14"/>
      <c r="H514" s="131"/>
    </row>
    <row r="515">
      <c r="A515" s="3" t="b">
        <v>0</v>
      </c>
      <c r="B515" s="130"/>
      <c r="C515" s="131"/>
      <c r="D515" s="131"/>
      <c r="E515" s="131"/>
      <c r="F515" s="14"/>
      <c r="G515" s="14"/>
      <c r="H515" s="131"/>
    </row>
    <row r="516">
      <c r="A516" s="3" t="b">
        <v>0</v>
      </c>
      <c r="B516" s="130"/>
      <c r="C516" s="131"/>
      <c r="D516" s="131"/>
      <c r="E516" s="131"/>
      <c r="F516" s="14"/>
      <c r="G516" s="14"/>
      <c r="H516" s="131"/>
    </row>
    <row r="517">
      <c r="A517" s="3" t="b">
        <v>0</v>
      </c>
      <c r="B517" s="130"/>
      <c r="C517" s="131"/>
      <c r="D517" s="131"/>
      <c r="E517" s="131"/>
      <c r="F517" s="14"/>
      <c r="G517" s="14"/>
      <c r="H517" s="131"/>
    </row>
    <row r="518">
      <c r="A518" s="3" t="b">
        <v>0</v>
      </c>
      <c r="B518" s="130"/>
      <c r="C518" s="131"/>
      <c r="D518" s="131"/>
      <c r="E518" s="131"/>
      <c r="F518" s="14"/>
      <c r="G518" s="14"/>
      <c r="H518" s="131"/>
    </row>
    <row r="519">
      <c r="A519" s="3" t="b">
        <v>0</v>
      </c>
      <c r="B519" s="130"/>
      <c r="C519" s="131"/>
      <c r="D519" s="131"/>
      <c r="E519" s="131"/>
      <c r="F519" s="14"/>
      <c r="G519" s="14"/>
      <c r="H519" s="131"/>
    </row>
    <row r="520">
      <c r="A520" s="3" t="b">
        <v>0</v>
      </c>
      <c r="B520" s="130"/>
      <c r="C520" s="131"/>
      <c r="D520" s="131"/>
      <c r="E520" s="131"/>
      <c r="F520" s="14"/>
      <c r="G520" s="14"/>
      <c r="H520" s="131"/>
    </row>
    <row r="521">
      <c r="A521" s="3" t="b">
        <v>0</v>
      </c>
      <c r="B521" s="130"/>
      <c r="C521" s="131"/>
      <c r="D521" s="131"/>
      <c r="E521" s="131"/>
      <c r="F521" s="14"/>
      <c r="G521" s="14"/>
      <c r="H521" s="131"/>
    </row>
    <row r="522">
      <c r="A522" s="3" t="b">
        <v>0</v>
      </c>
      <c r="B522" s="130"/>
      <c r="C522" s="131"/>
      <c r="D522" s="131"/>
      <c r="E522" s="131"/>
      <c r="F522" s="14"/>
      <c r="G522" s="14"/>
      <c r="H522" s="131"/>
    </row>
    <row r="523">
      <c r="A523" s="3" t="b">
        <v>0</v>
      </c>
      <c r="B523" s="130"/>
      <c r="C523" s="131"/>
      <c r="D523" s="131"/>
      <c r="E523" s="131"/>
      <c r="F523" s="14"/>
      <c r="G523" s="14"/>
      <c r="H523" s="131"/>
    </row>
    <row r="524">
      <c r="A524" s="3" t="b">
        <v>0</v>
      </c>
      <c r="B524" s="130"/>
      <c r="C524" s="131"/>
      <c r="D524" s="131"/>
      <c r="E524" s="131"/>
      <c r="F524" s="14"/>
      <c r="G524" s="14"/>
      <c r="H524" s="131"/>
    </row>
    <row r="525">
      <c r="A525" s="3" t="b">
        <v>0</v>
      </c>
      <c r="B525" s="130"/>
      <c r="C525" s="131"/>
      <c r="D525" s="131"/>
      <c r="E525" s="131"/>
      <c r="F525" s="14"/>
      <c r="G525" s="14"/>
      <c r="H525" s="131"/>
    </row>
    <row r="526">
      <c r="A526" s="3" t="b">
        <v>0</v>
      </c>
      <c r="B526" s="130"/>
      <c r="C526" s="131"/>
      <c r="D526" s="131"/>
      <c r="E526" s="131"/>
      <c r="F526" s="14"/>
      <c r="G526" s="14"/>
      <c r="H526" s="131"/>
    </row>
    <row r="527">
      <c r="A527" s="3" t="b">
        <v>0</v>
      </c>
      <c r="B527" s="130"/>
      <c r="C527" s="131"/>
      <c r="D527" s="131"/>
      <c r="E527" s="131"/>
      <c r="F527" s="14"/>
      <c r="G527" s="14"/>
      <c r="H527" s="131"/>
    </row>
    <row r="528">
      <c r="A528" s="3" t="b">
        <v>0</v>
      </c>
      <c r="B528" s="130"/>
      <c r="C528" s="131"/>
      <c r="D528" s="131"/>
      <c r="E528" s="131"/>
      <c r="F528" s="14"/>
      <c r="G528" s="14"/>
      <c r="H528" s="131"/>
    </row>
    <row r="529">
      <c r="A529" s="3" t="b">
        <v>0</v>
      </c>
      <c r="B529" s="130"/>
      <c r="C529" s="131"/>
      <c r="D529" s="131"/>
      <c r="E529" s="131"/>
      <c r="F529" s="14"/>
      <c r="G529" s="14"/>
      <c r="H529" s="131"/>
    </row>
    <row r="530">
      <c r="A530" s="3" t="b">
        <v>0</v>
      </c>
      <c r="B530" s="130"/>
      <c r="C530" s="131"/>
      <c r="D530" s="131"/>
      <c r="E530" s="131"/>
      <c r="F530" s="14"/>
      <c r="G530" s="14"/>
      <c r="H530" s="131"/>
    </row>
    <row r="531">
      <c r="A531" s="3" t="b">
        <v>0</v>
      </c>
      <c r="B531" s="130"/>
      <c r="C531" s="131"/>
      <c r="D531" s="131"/>
      <c r="E531" s="131"/>
      <c r="F531" s="14"/>
      <c r="G531" s="14"/>
      <c r="H531" s="131"/>
    </row>
    <row r="532">
      <c r="A532" s="3" t="b">
        <v>0</v>
      </c>
      <c r="B532" s="130"/>
      <c r="C532" s="131"/>
      <c r="D532" s="131"/>
      <c r="E532" s="131"/>
      <c r="F532" s="14"/>
      <c r="G532" s="14"/>
      <c r="H532" s="131"/>
    </row>
    <row r="533">
      <c r="A533" s="3" t="b">
        <v>0</v>
      </c>
      <c r="B533" s="130"/>
      <c r="C533" s="131"/>
      <c r="D533" s="131"/>
      <c r="E533" s="131"/>
      <c r="F533" s="14"/>
      <c r="G533" s="14"/>
      <c r="H533" s="131"/>
    </row>
    <row r="534">
      <c r="A534" s="3" t="b">
        <v>0</v>
      </c>
      <c r="B534" s="130"/>
      <c r="C534" s="131"/>
      <c r="D534" s="131"/>
      <c r="E534" s="131"/>
      <c r="F534" s="14"/>
      <c r="G534" s="14"/>
      <c r="H534" s="131"/>
    </row>
    <row r="535">
      <c r="A535" s="3" t="b">
        <v>0</v>
      </c>
      <c r="B535" s="130"/>
      <c r="C535" s="131"/>
      <c r="D535" s="131"/>
      <c r="E535" s="131"/>
      <c r="F535" s="14"/>
      <c r="G535" s="14"/>
      <c r="H535" s="131"/>
    </row>
    <row r="536">
      <c r="A536" s="3" t="b">
        <v>0</v>
      </c>
      <c r="B536" s="130"/>
      <c r="C536" s="131"/>
      <c r="D536" s="131"/>
      <c r="E536" s="131"/>
      <c r="F536" s="14"/>
      <c r="G536" s="14"/>
      <c r="H536" s="131"/>
    </row>
    <row r="537">
      <c r="A537" s="3" t="b">
        <v>0</v>
      </c>
      <c r="B537" s="130"/>
      <c r="C537" s="131"/>
      <c r="D537" s="131"/>
      <c r="E537" s="131"/>
      <c r="F537" s="14"/>
      <c r="G537" s="14"/>
      <c r="H537" s="131"/>
    </row>
    <row r="538">
      <c r="A538" s="3" t="b">
        <v>0</v>
      </c>
      <c r="B538" s="130"/>
      <c r="C538" s="131"/>
      <c r="D538" s="131"/>
      <c r="E538" s="131"/>
      <c r="F538" s="14"/>
      <c r="G538" s="14"/>
      <c r="H538" s="131"/>
    </row>
    <row r="539">
      <c r="A539" s="3" t="b">
        <v>0</v>
      </c>
      <c r="B539" s="130"/>
      <c r="C539" s="131"/>
      <c r="D539" s="131"/>
      <c r="E539" s="131"/>
      <c r="F539" s="14"/>
      <c r="G539" s="14"/>
      <c r="H539" s="131"/>
    </row>
    <row r="540">
      <c r="A540" s="3" t="b">
        <v>0</v>
      </c>
      <c r="B540" s="130"/>
      <c r="C540" s="131"/>
      <c r="D540" s="131"/>
      <c r="E540" s="131"/>
      <c r="F540" s="14"/>
      <c r="G540" s="14"/>
      <c r="H540" s="131"/>
    </row>
    <row r="541">
      <c r="A541" s="3" t="b">
        <v>0</v>
      </c>
      <c r="B541" s="130"/>
      <c r="C541" s="131"/>
      <c r="D541" s="131"/>
      <c r="E541" s="131"/>
      <c r="F541" s="14"/>
      <c r="G541" s="14"/>
      <c r="H541" s="131"/>
    </row>
    <row r="542">
      <c r="A542" s="3" t="b">
        <v>0</v>
      </c>
      <c r="B542" s="130"/>
      <c r="C542" s="131"/>
      <c r="D542" s="131"/>
      <c r="E542" s="131"/>
      <c r="F542" s="14"/>
      <c r="G542" s="14"/>
      <c r="H542" s="131"/>
    </row>
    <row r="543">
      <c r="A543" s="3" t="b">
        <v>0</v>
      </c>
      <c r="B543" s="130"/>
      <c r="C543" s="131"/>
      <c r="D543" s="131"/>
      <c r="E543" s="131"/>
      <c r="F543" s="14"/>
      <c r="G543" s="14"/>
      <c r="H543" s="131"/>
    </row>
    <row r="544">
      <c r="A544" s="3" t="b">
        <v>0</v>
      </c>
      <c r="B544" s="130"/>
      <c r="C544" s="131"/>
      <c r="D544" s="131"/>
      <c r="E544" s="131"/>
      <c r="F544" s="14"/>
      <c r="G544" s="14"/>
      <c r="H544" s="131"/>
    </row>
    <row r="545">
      <c r="A545" s="3" t="b">
        <v>0</v>
      </c>
      <c r="B545" s="130"/>
      <c r="C545" s="131"/>
      <c r="D545" s="131"/>
      <c r="E545" s="131"/>
      <c r="F545" s="14"/>
      <c r="G545" s="14"/>
      <c r="H545" s="131"/>
    </row>
    <row r="546">
      <c r="A546" s="3" t="b">
        <v>0</v>
      </c>
      <c r="B546" s="130"/>
      <c r="C546" s="131"/>
      <c r="D546" s="131"/>
      <c r="E546" s="131"/>
      <c r="F546" s="14"/>
      <c r="G546" s="14"/>
      <c r="H546" s="131"/>
    </row>
    <row r="547">
      <c r="A547" s="3" t="b">
        <v>0</v>
      </c>
      <c r="B547" s="130"/>
      <c r="C547" s="131"/>
      <c r="D547" s="131"/>
      <c r="E547" s="131"/>
      <c r="F547" s="14"/>
      <c r="G547" s="14"/>
      <c r="H547" s="131"/>
    </row>
    <row r="548">
      <c r="A548" s="3" t="b">
        <v>0</v>
      </c>
      <c r="B548" s="130"/>
      <c r="C548" s="131"/>
      <c r="D548" s="131"/>
      <c r="E548" s="131"/>
      <c r="F548" s="14"/>
      <c r="G548" s="14"/>
      <c r="H548" s="131"/>
    </row>
    <row r="549">
      <c r="A549" s="3" t="b">
        <v>0</v>
      </c>
      <c r="B549" s="130"/>
      <c r="C549" s="131"/>
      <c r="D549" s="131"/>
      <c r="E549" s="131"/>
      <c r="F549" s="14"/>
      <c r="G549" s="14"/>
      <c r="H549" s="131"/>
    </row>
    <row r="550">
      <c r="A550" s="3" t="b">
        <v>0</v>
      </c>
      <c r="B550" s="130"/>
      <c r="C550" s="131"/>
      <c r="D550" s="131"/>
      <c r="E550" s="131"/>
      <c r="F550" s="14"/>
      <c r="G550" s="14"/>
      <c r="H550" s="131"/>
    </row>
    <row r="551">
      <c r="A551" s="3" t="b">
        <v>0</v>
      </c>
      <c r="B551" s="130"/>
      <c r="C551" s="131"/>
      <c r="D551" s="131"/>
      <c r="E551" s="131"/>
      <c r="F551" s="14"/>
      <c r="G551" s="14"/>
      <c r="H551" s="131"/>
    </row>
    <row r="552">
      <c r="A552" s="3" t="b">
        <v>0</v>
      </c>
      <c r="B552" s="130"/>
      <c r="C552" s="131"/>
      <c r="D552" s="131"/>
      <c r="E552" s="131"/>
      <c r="F552" s="14"/>
      <c r="G552" s="14"/>
      <c r="H552" s="131"/>
    </row>
    <row r="553">
      <c r="A553" s="3" t="b">
        <v>0</v>
      </c>
      <c r="B553" s="130"/>
      <c r="C553" s="131"/>
      <c r="D553" s="131"/>
      <c r="E553" s="131"/>
      <c r="F553" s="14"/>
      <c r="G553" s="14"/>
      <c r="H553" s="131"/>
    </row>
    <row r="554">
      <c r="A554" s="3" t="b">
        <v>0</v>
      </c>
      <c r="B554" s="130"/>
      <c r="C554" s="131"/>
      <c r="D554" s="131"/>
      <c r="E554" s="131"/>
      <c r="F554" s="14"/>
      <c r="G554" s="14"/>
      <c r="H554" s="131"/>
    </row>
    <row r="555">
      <c r="A555" s="3" t="b">
        <v>0</v>
      </c>
      <c r="B555" s="130"/>
      <c r="C555" s="131"/>
      <c r="D555" s="131"/>
      <c r="E555" s="131"/>
      <c r="F555" s="14"/>
      <c r="G555" s="14"/>
      <c r="H555" s="131"/>
    </row>
    <row r="556">
      <c r="A556" s="3" t="b">
        <v>0</v>
      </c>
      <c r="B556" s="130"/>
      <c r="C556" s="131"/>
      <c r="D556" s="131"/>
      <c r="E556" s="131"/>
      <c r="F556" s="14"/>
      <c r="G556" s="14"/>
      <c r="H556" s="131"/>
    </row>
    <row r="557">
      <c r="A557" s="3" t="b">
        <v>0</v>
      </c>
      <c r="B557" s="130"/>
      <c r="C557" s="131"/>
      <c r="D557" s="131"/>
      <c r="E557" s="131"/>
      <c r="F557" s="14"/>
      <c r="G557" s="14"/>
      <c r="H557" s="131"/>
    </row>
    <row r="558">
      <c r="A558" s="3" t="b">
        <v>0</v>
      </c>
      <c r="B558" s="130"/>
      <c r="C558" s="131"/>
      <c r="D558" s="131"/>
      <c r="E558" s="131"/>
      <c r="F558" s="14"/>
      <c r="G558" s="14"/>
      <c r="H558" s="131"/>
    </row>
    <row r="559">
      <c r="A559" s="3" t="b">
        <v>0</v>
      </c>
      <c r="B559" s="130"/>
      <c r="C559" s="131"/>
      <c r="D559" s="131"/>
      <c r="E559" s="131"/>
      <c r="F559" s="14"/>
      <c r="G559" s="14"/>
      <c r="H559" s="131"/>
    </row>
    <row r="560">
      <c r="A560" s="3" t="b">
        <v>0</v>
      </c>
      <c r="B560" s="130"/>
      <c r="C560" s="131"/>
      <c r="D560" s="131"/>
      <c r="E560" s="131"/>
      <c r="F560" s="14"/>
      <c r="G560" s="14"/>
      <c r="H560" s="131"/>
    </row>
    <row r="561">
      <c r="A561" s="3" t="b">
        <v>0</v>
      </c>
      <c r="B561" s="130"/>
      <c r="C561" s="131"/>
      <c r="D561" s="131"/>
      <c r="E561" s="131"/>
      <c r="F561" s="14"/>
      <c r="G561" s="14"/>
      <c r="H561" s="131"/>
    </row>
    <row r="562">
      <c r="A562" s="3" t="b">
        <v>0</v>
      </c>
      <c r="B562" s="130"/>
      <c r="C562" s="131"/>
      <c r="D562" s="131"/>
      <c r="E562" s="131"/>
      <c r="F562" s="14"/>
      <c r="G562" s="14"/>
      <c r="H562" s="131"/>
    </row>
    <row r="563">
      <c r="A563" s="3" t="b">
        <v>0</v>
      </c>
      <c r="B563" s="130"/>
      <c r="C563" s="131"/>
      <c r="D563" s="131"/>
      <c r="E563" s="131"/>
      <c r="F563" s="14"/>
      <c r="G563" s="14"/>
      <c r="H563" s="131"/>
    </row>
    <row r="564">
      <c r="A564" s="3" t="b">
        <v>0</v>
      </c>
      <c r="B564" s="130"/>
      <c r="C564" s="131"/>
      <c r="D564" s="131"/>
      <c r="E564" s="131"/>
      <c r="F564" s="14"/>
      <c r="G564" s="14"/>
      <c r="H564" s="131"/>
    </row>
    <row r="565">
      <c r="A565" s="3" t="b">
        <v>0</v>
      </c>
      <c r="B565" s="130"/>
      <c r="C565" s="131"/>
      <c r="D565" s="131"/>
      <c r="E565" s="131"/>
      <c r="F565" s="14"/>
      <c r="G565" s="14"/>
      <c r="H565" s="131"/>
    </row>
    <row r="566">
      <c r="A566" s="3" t="b">
        <v>0</v>
      </c>
      <c r="B566" s="130"/>
      <c r="C566" s="131"/>
      <c r="D566" s="131"/>
      <c r="E566" s="131"/>
      <c r="F566" s="14"/>
      <c r="G566" s="14"/>
      <c r="H566" s="131"/>
    </row>
    <row r="567">
      <c r="A567" s="3" t="b">
        <v>0</v>
      </c>
      <c r="B567" s="130"/>
      <c r="C567" s="131"/>
      <c r="D567" s="131"/>
      <c r="E567" s="131"/>
      <c r="F567" s="14"/>
      <c r="G567" s="14"/>
      <c r="H567" s="131"/>
    </row>
    <row r="568">
      <c r="A568" s="3" t="b">
        <v>0</v>
      </c>
      <c r="B568" s="130"/>
      <c r="C568" s="131"/>
      <c r="D568" s="131"/>
      <c r="E568" s="131"/>
      <c r="F568" s="14"/>
      <c r="G568" s="14"/>
      <c r="H568" s="131"/>
    </row>
    <row r="569">
      <c r="A569" s="3" t="b">
        <v>0</v>
      </c>
      <c r="B569" s="130"/>
      <c r="C569" s="131"/>
      <c r="D569" s="131"/>
      <c r="E569" s="131"/>
      <c r="F569" s="14"/>
      <c r="G569" s="14"/>
      <c r="H569" s="131"/>
    </row>
    <row r="570">
      <c r="A570" s="3" t="b">
        <v>0</v>
      </c>
      <c r="B570" s="130"/>
      <c r="C570" s="131"/>
      <c r="D570" s="131"/>
      <c r="E570" s="131"/>
      <c r="F570" s="14"/>
      <c r="G570" s="14"/>
      <c r="H570" s="131"/>
    </row>
    <row r="571">
      <c r="A571" s="3" t="b">
        <v>0</v>
      </c>
      <c r="B571" s="130"/>
      <c r="C571" s="131"/>
      <c r="D571" s="131"/>
      <c r="E571" s="131"/>
      <c r="F571" s="14"/>
      <c r="G571" s="14"/>
      <c r="H571" s="131"/>
    </row>
    <row r="572">
      <c r="A572" s="3" t="b">
        <v>0</v>
      </c>
      <c r="B572" s="130"/>
      <c r="C572" s="131"/>
      <c r="D572" s="131"/>
      <c r="E572" s="131"/>
      <c r="F572" s="14"/>
      <c r="G572" s="14"/>
      <c r="H572" s="131"/>
    </row>
    <row r="573">
      <c r="A573" s="3" t="b">
        <v>0</v>
      </c>
      <c r="B573" s="130"/>
      <c r="C573" s="131"/>
      <c r="D573" s="131"/>
      <c r="E573" s="131"/>
      <c r="F573" s="14"/>
      <c r="G573" s="14"/>
      <c r="H573" s="131"/>
    </row>
    <row r="574">
      <c r="A574" s="3" t="b">
        <v>0</v>
      </c>
      <c r="B574" s="130"/>
      <c r="C574" s="131"/>
      <c r="D574" s="131"/>
      <c r="E574" s="131"/>
      <c r="F574" s="14"/>
      <c r="G574" s="14"/>
      <c r="H574" s="131"/>
    </row>
    <row r="575">
      <c r="A575" s="3" t="b">
        <v>0</v>
      </c>
      <c r="B575" s="130"/>
      <c r="C575" s="131"/>
      <c r="D575" s="131"/>
      <c r="E575" s="131"/>
      <c r="F575" s="14"/>
      <c r="G575" s="14"/>
      <c r="H575" s="131"/>
    </row>
    <row r="576">
      <c r="A576" s="3" t="b">
        <v>0</v>
      </c>
      <c r="B576" s="130"/>
      <c r="C576" s="131"/>
      <c r="D576" s="131"/>
      <c r="E576" s="131"/>
      <c r="F576" s="14"/>
      <c r="G576" s="14"/>
      <c r="H576" s="131"/>
    </row>
    <row r="577">
      <c r="A577" s="3" t="b">
        <v>0</v>
      </c>
      <c r="B577" s="130"/>
      <c r="C577" s="131"/>
      <c r="D577" s="131"/>
      <c r="E577" s="131"/>
      <c r="F577" s="14"/>
      <c r="G577" s="14"/>
      <c r="H577" s="131"/>
    </row>
    <row r="578">
      <c r="A578" s="3" t="b">
        <v>0</v>
      </c>
      <c r="B578" s="130"/>
      <c r="C578" s="131"/>
      <c r="D578" s="131"/>
      <c r="E578" s="131"/>
      <c r="F578" s="14"/>
      <c r="G578" s="14"/>
      <c r="H578" s="131"/>
    </row>
    <row r="579">
      <c r="A579" s="3" t="b">
        <v>0</v>
      </c>
      <c r="B579" s="130"/>
      <c r="C579" s="131"/>
      <c r="D579" s="131"/>
      <c r="E579" s="131"/>
      <c r="F579" s="14"/>
      <c r="G579" s="14"/>
      <c r="H579" s="131"/>
    </row>
    <row r="580">
      <c r="A580" s="3" t="b">
        <v>0</v>
      </c>
      <c r="B580" s="130"/>
      <c r="C580" s="131"/>
      <c r="D580" s="131"/>
      <c r="E580" s="131"/>
      <c r="F580" s="14"/>
      <c r="G580" s="14"/>
      <c r="H580" s="131"/>
    </row>
    <row r="581">
      <c r="A581" s="3" t="b">
        <v>0</v>
      </c>
      <c r="B581" s="130"/>
      <c r="C581" s="131"/>
      <c r="D581" s="131"/>
      <c r="E581" s="131"/>
      <c r="F581" s="14"/>
      <c r="G581" s="14"/>
      <c r="H581" s="131"/>
    </row>
    <row r="582">
      <c r="A582" s="3" t="b">
        <v>0</v>
      </c>
      <c r="B582" s="130"/>
      <c r="C582" s="131"/>
      <c r="D582" s="131"/>
      <c r="E582" s="131"/>
      <c r="F582" s="14"/>
      <c r="G582" s="14"/>
      <c r="H582" s="131"/>
    </row>
    <row r="583">
      <c r="A583" s="3" t="b">
        <v>0</v>
      </c>
      <c r="B583" s="130"/>
      <c r="C583" s="131"/>
      <c r="D583" s="131"/>
      <c r="E583" s="131"/>
      <c r="F583" s="14"/>
      <c r="G583" s="14"/>
      <c r="H583" s="131"/>
    </row>
    <row r="584">
      <c r="A584" s="3" t="b">
        <v>0</v>
      </c>
      <c r="B584" s="130"/>
      <c r="C584" s="131"/>
      <c r="D584" s="131"/>
      <c r="E584" s="131"/>
      <c r="F584" s="14"/>
      <c r="G584" s="14"/>
      <c r="H584" s="131"/>
    </row>
    <row r="585">
      <c r="A585" s="3" t="b">
        <v>0</v>
      </c>
      <c r="B585" s="130"/>
      <c r="C585" s="131"/>
      <c r="D585" s="131"/>
      <c r="E585" s="131"/>
      <c r="F585" s="14"/>
      <c r="G585" s="14"/>
      <c r="H585" s="131"/>
    </row>
    <row r="586">
      <c r="A586" s="3" t="b">
        <v>0</v>
      </c>
      <c r="B586" s="130"/>
      <c r="C586" s="131"/>
      <c r="D586" s="131"/>
      <c r="E586" s="131"/>
      <c r="F586" s="14"/>
      <c r="G586" s="14"/>
      <c r="H586" s="131"/>
    </row>
    <row r="587">
      <c r="A587" s="3" t="b">
        <v>0</v>
      </c>
      <c r="B587" s="130"/>
      <c r="C587" s="131"/>
      <c r="D587" s="131"/>
      <c r="E587" s="131"/>
      <c r="F587" s="14"/>
      <c r="G587" s="14"/>
      <c r="H587" s="131"/>
    </row>
    <row r="588">
      <c r="A588" s="3" t="b">
        <v>0</v>
      </c>
      <c r="B588" s="130"/>
      <c r="C588" s="131"/>
      <c r="D588" s="131"/>
      <c r="E588" s="131"/>
      <c r="F588" s="14"/>
      <c r="G588" s="14"/>
      <c r="H588" s="131"/>
    </row>
    <row r="589">
      <c r="A589" s="3" t="b">
        <v>0</v>
      </c>
      <c r="B589" s="130"/>
      <c r="C589" s="131"/>
      <c r="D589" s="131"/>
      <c r="E589" s="131"/>
      <c r="F589" s="14"/>
      <c r="G589" s="14"/>
      <c r="H589" s="131"/>
    </row>
    <row r="590">
      <c r="A590" s="3" t="b">
        <v>0</v>
      </c>
      <c r="B590" s="130"/>
      <c r="C590" s="131"/>
      <c r="D590" s="131"/>
      <c r="E590" s="131"/>
      <c r="F590" s="14"/>
      <c r="G590" s="14"/>
      <c r="H590" s="131"/>
    </row>
    <row r="591">
      <c r="A591" s="3" t="b">
        <v>0</v>
      </c>
      <c r="B591" s="130"/>
      <c r="C591" s="131"/>
      <c r="D591" s="131"/>
      <c r="E591" s="131"/>
      <c r="F591" s="14"/>
      <c r="G591" s="14"/>
      <c r="H591" s="131"/>
    </row>
    <row r="592">
      <c r="A592" s="3" t="b">
        <v>0</v>
      </c>
      <c r="B592" s="130"/>
      <c r="C592" s="131"/>
      <c r="D592" s="131"/>
      <c r="E592" s="131"/>
      <c r="F592" s="14"/>
      <c r="G592" s="14"/>
      <c r="H592" s="131"/>
    </row>
    <row r="593">
      <c r="A593" s="3" t="b">
        <v>0</v>
      </c>
      <c r="B593" s="130"/>
      <c r="C593" s="131"/>
      <c r="D593" s="131"/>
      <c r="E593" s="131"/>
      <c r="F593" s="14"/>
      <c r="G593" s="14"/>
      <c r="H593" s="131"/>
    </row>
    <row r="594">
      <c r="A594" s="3" t="b">
        <v>0</v>
      </c>
      <c r="B594" s="130"/>
      <c r="C594" s="131"/>
      <c r="D594" s="131"/>
      <c r="E594" s="131"/>
      <c r="F594" s="14"/>
      <c r="G594" s="14"/>
      <c r="H594" s="131"/>
    </row>
    <row r="595">
      <c r="A595" s="3" t="b">
        <v>0</v>
      </c>
      <c r="B595" s="130"/>
      <c r="C595" s="131"/>
      <c r="D595" s="131"/>
      <c r="E595" s="131"/>
      <c r="F595" s="14"/>
      <c r="G595" s="14"/>
      <c r="H595" s="131"/>
    </row>
    <row r="596">
      <c r="A596" s="3" t="b">
        <v>0</v>
      </c>
      <c r="B596" s="130"/>
      <c r="C596" s="131"/>
      <c r="D596" s="131"/>
      <c r="E596" s="131"/>
      <c r="F596" s="14"/>
      <c r="G596" s="14"/>
      <c r="H596" s="131"/>
    </row>
    <row r="597">
      <c r="A597" s="3" t="b">
        <v>0</v>
      </c>
      <c r="B597" s="130"/>
      <c r="C597" s="131"/>
      <c r="D597" s="131"/>
      <c r="E597" s="131"/>
      <c r="F597" s="14"/>
      <c r="G597" s="14"/>
      <c r="H597" s="131"/>
    </row>
    <row r="598">
      <c r="A598" s="3" t="b">
        <v>0</v>
      </c>
      <c r="B598" s="130"/>
      <c r="C598" s="131"/>
      <c r="D598" s="131"/>
      <c r="E598" s="131"/>
      <c r="F598" s="14"/>
      <c r="G598" s="14"/>
      <c r="H598" s="131"/>
    </row>
    <row r="599">
      <c r="A599" s="3" t="b">
        <v>0</v>
      </c>
      <c r="B599" s="130"/>
      <c r="C599" s="131"/>
      <c r="D599" s="131"/>
      <c r="E599" s="131"/>
      <c r="F599" s="14"/>
      <c r="G599" s="14"/>
      <c r="H599" s="131"/>
    </row>
    <row r="600">
      <c r="A600" s="3" t="b">
        <v>0</v>
      </c>
      <c r="B600" s="130"/>
      <c r="C600" s="131"/>
      <c r="D600" s="131"/>
      <c r="E600" s="131"/>
      <c r="F600" s="14"/>
      <c r="G600" s="14"/>
      <c r="H600" s="131"/>
    </row>
    <row r="601">
      <c r="A601" s="3" t="b">
        <v>0</v>
      </c>
      <c r="B601" s="130"/>
      <c r="C601" s="131"/>
      <c r="D601" s="131"/>
      <c r="E601" s="131"/>
      <c r="F601" s="14"/>
      <c r="G601" s="14"/>
      <c r="H601" s="131"/>
    </row>
    <row r="602">
      <c r="A602" s="3" t="b">
        <v>0</v>
      </c>
      <c r="B602" s="130"/>
      <c r="C602" s="131"/>
      <c r="D602" s="131"/>
      <c r="E602" s="131"/>
      <c r="F602" s="14"/>
      <c r="G602" s="14"/>
      <c r="H602" s="131"/>
    </row>
    <row r="603">
      <c r="A603" s="3" t="b">
        <v>0</v>
      </c>
      <c r="B603" s="130"/>
      <c r="C603" s="131"/>
      <c r="D603" s="131"/>
      <c r="E603" s="131"/>
      <c r="F603" s="14"/>
      <c r="G603" s="14"/>
      <c r="H603" s="131"/>
    </row>
    <row r="604">
      <c r="A604" s="3" t="b">
        <v>0</v>
      </c>
      <c r="B604" s="130"/>
      <c r="C604" s="131"/>
      <c r="D604" s="131"/>
      <c r="E604" s="131"/>
      <c r="F604" s="14"/>
      <c r="G604" s="14"/>
      <c r="H604" s="131"/>
    </row>
    <row r="605">
      <c r="A605" s="3" t="b">
        <v>0</v>
      </c>
      <c r="B605" s="130"/>
      <c r="C605" s="131"/>
      <c r="D605" s="131"/>
      <c r="E605" s="131"/>
      <c r="F605" s="14"/>
      <c r="G605" s="14"/>
      <c r="H605" s="131"/>
    </row>
    <row r="606">
      <c r="A606" s="3" t="b">
        <v>0</v>
      </c>
      <c r="B606" s="130"/>
      <c r="C606" s="131"/>
      <c r="D606" s="131"/>
      <c r="E606" s="131"/>
      <c r="F606" s="14"/>
      <c r="G606" s="14"/>
      <c r="H606" s="131"/>
    </row>
    <row r="607">
      <c r="A607" s="3" t="b">
        <v>0</v>
      </c>
      <c r="B607" s="130"/>
      <c r="C607" s="131"/>
      <c r="D607" s="131"/>
      <c r="E607" s="131"/>
      <c r="F607" s="14"/>
      <c r="G607" s="14"/>
      <c r="H607" s="131"/>
    </row>
    <row r="608">
      <c r="A608" s="3" t="b">
        <v>0</v>
      </c>
      <c r="B608" s="130"/>
      <c r="C608" s="131"/>
      <c r="D608" s="131"/>
      <c r="E608" s="131"/>
      <c r="F608" s="14"/>
      <c r="G608" s="14"/>
      <c r="H608" s="131"/>
    </row>
    <row r="609">
      <c r="A609" s="3" t="b">
        <v>0</v>
      </c>
      <c r="B609" s="130"/>
      <c r="C609" s="131"/>
      <c r="D609" s="131"/>
      <c r="E609" s="131"/>
      <c r="F609" s="14"/>
      <c r="G609" s="14"/>
      <c r="H609" s="131"/>
    </row>
    <row r="610">
      <c r="A610" s="3" t="b">
        <v>0</v>
      </c>
      <c r="B610" s="130"/>
      <c r="C610" s="131"/>
      <c r="D610" s="131"/>
      <c r="E610" s="131"/>
      <c r="F610" s="14"/>
      <c r="G610" s="14"/>
      <c r="H610" s="131"/>
    </row>
    <row r="611">
      <c r="A611" s="3" t="b">
        <v>0</v>
      </c>
      <c r="B611" s="130"/>
      <c r="C611" s="131"/>
      <c r="D611" s="131"/>
      <c r="E611" s="131"/>
      <c r="F611" s="14"/>
      <c r="G611" s="14"/>
      <c r="H611" s="131"/>
    </row>
    <row r="612">
      <c r="A612" s="3" t="b">
        <v>0</v>
      </c>
      <c r="B612" s="130"/>
      <c r="C612" s="131"/>
      <c r="D612" s="131"/>
      <c r="E612" s="131"/>
      <c r="F612" s="14"/>
      <c r="G612" s="14"/>
      <c r="H612" s="131"/>
    </row>
    <row r="613">
      <c r="A613" s="3" t="b">
        <v>0</v>
      </c>
      <c r="B613" s="130"/>
      <c r="C613" s="131"/>
      <c r="D613" s="131"/>
      <c r="E613" s="131"/>
      <c r="F613" s="14"/>
      <c r="G613" s="14"/>
      <c r="H613" s="131"/>
    </row>
    <row r="614">
      <c r="A614" s="3" t="b">
        <v>0</v>
      </c>
      <c r="B614" s="130"/>
      <c r="C614" s="131"/>
      <c r="D614" s="131"/>
      <c r="E614" s="131"/>
      <c r="F614" s="14"/>
      <c r="G614" s="14"/>
      <c r="H614" s="131"/>
    </row>
    <row r="615">
      <c r="A615" s="3" t="b">
        <v>0</v>
      </c>
      <c r="B615" s="130"/>
      <c r="C615" s="131"/>
      <c r="D615" s="131"/>
      <c r="E615" s="131"/>
      <c r="F615" s="14"/>
      <c r="G615" s="14"/>
      <c r="H615" s="131"/>
    </row>
    <row r="616">
      <c r="A616" s="3" t="b">
        <v>0</v>
      </c>
      <c r="B616" s="130"/>
      <c r="C616" s="131"/>
      <c r="D616" s="131"/>
      <c r="E616" s="131"/>
      <c r="F616" s="14"/>
      <c r="G616" s="14"/>
      <c r="H616" s="131"/>
    </row>
    <row r="617">
      <c r="A617" s="3" t="b">
        <v>0</v>
      </c>
      <c r="B617" s="130"/>
      <c r="C617" s="131"/>
      <c r="D617" s="131"/>
      <c r="E617" s="131"/>
      <c r="F617" s="14"/>
      <c r="G617" s="14"/>
      <c r="H617" s="131"/>
    </row>
    <row r="618">
      <c r="A618" s="3" t="b">
        <v>0</v>
      </c>
      <c r="B618" s="130"/>
      <c r="C618" s="131"/>
      <c r="D618" s="131"/>
      <c r="E618" s="131"/>
      <c r="F618" s="14"/>
      <c r="G618" s="14"/>
      <c r="H618" s="131"/>
    </row>
    <row r="619">
      <c r="A619" s="3" t="b">
        <v>0</v>
      </c>
      <c r="B619" s="130"/>
      <c r="C619" s="131"/>
      <c r="D619" s="131"/>
      <c r="E619" s="131"/>
      <c r="F619" s="14"/>
      <c r="G619" s="14"/>
      <c r="H619" s="131"/>
    </row>
    <row r="620">
      <c r="A620" s="3" t="b">
        <v>0</v>
      </c>
      <c r="B620" s="130"/>
      <c r="C620" s="131"/>
      <c r="D620" s="131"/>
      <c r="E620" s="131"/>
      <c r="F620" s="14"/>
      <c r="G620" s="14"/>
      <c r="H620" s="131"/>
    </row>
    <row r="621">
      <c r="A621" s="3" t="b">
        <v>0</v>
      </c>
      <c r="B621" s="130"/>
      <c r="C621" s="131"/>
      <c r="D621" s="131"/>
      <c r="E621" s="131"/>
      <c r="F621" s="14"/>
      <c r="G621" s="14"/>
      <c r="H621" s="131"/>
    </row>
    <row r="622">
      <c r="A622" s="3" t="b">
        <v>0</v>
      </c>
      <c r="B622" s="130"/>
      <c r="C622" s="131"/>
      <c r="D622" s="131"/>
      <c r="E622" s="131"/>
      <c r="F622" s="14"/>
      <c r="G622" s="14"/>
      <c r="H622" s="131"/>
    </row>
    <row r="623">
      <c r="A623" s="3" t="b">
        <v>0</v>
      </c>
      <c r="B623" s="130"/>
      <c r="C623" s="131"/>
      <c r="D623" s="131"/>
      <c r="E623" s="131"/>
      <c r="F623" s="14"/>
      <c r="G623" s="14"/>
      <c r="H623" s="131"/>
    </row>
    <row r="624">
      <c r="A624" s="3" t="b">
        <v>0</v>
      </c>
      <c r="B624" s="130"/>
      <c r="C624" s="131"/>
      <c r="D624" s="131"/>
      <c r="E624" s="131"/>
      <c r="F624" s="14"/>
      <c r="G624" s="14"/>
      <c r="H624" s="131"/>
    </row>
    <row r="625">
      <c r="A625" s="3" t="b">
        <v>0</v>
      </c>
      <c r="B625" s="130"/>
      <c r="C625" s="131"/>
      <c r="D625" s="131"/>
      <c r="E625" s="131"/>
      <c r="F625" s="14"/>
      <c r="G625" s="14"/>
      <c r="H625" s="131"/>
    </row>
    <row r="626">
      <c r="A626" s="3" t="b">
        <v>0</v>
      </c>
      <c r="B626" s="130"/>
      <c r="C626" s="131"/>
      <c r="D626" s="131"/>
      <c r="E626" s="131"/>
      <c r="F626" s="14"/>
      <c r="G626" s="14"/>
      <c r="H626" s="131"/>
    </row>
    <row r="627">
      <c r="A627" s="3" t="b">
        <v>0</v>
      </c>
      <c r="B627" s="130"/>
      <c r="C627" s="131"/>
      <c r="D627" s="131"/>
      <c r="E627" s="131"/>
      <c r="F627" s="14"/>
      <c r="G627" s="14"/>
      <c r="H627" s="131"/>
    </row>
    <row r="628">
      <c r="A628" s="3" t="b">
        <v>0</v>
      </c>
      <c r="B628" s="130"/>
      <c r="C628" s="131"/>
      <c r="D628" s="131"/>
      <c r="E628" s="131"/>
      <c r="F628" s="14"/>
      <c r="G628" s="14"/>
      <c r="H628" s="131"/>
    </row>
    <row r="629">
      <c r="A629" s="3" t="b">
        <v>0</v>
      </c>
      <c r="B629" s="130"/>
      <c r="C629" s="131"/>
      <c r="D629" s="131"/>
      <c r="E629" s="131"/>
      <c r="F629" s="14"/>
      <c r="G629" s="14"/>
      <c r="H629" s="131"/>
    </row>
    <row r="630">
      <c r="A630" s="3" t="b">
        <v>0</v>
      </c>
      <c r="B630" s="130"/>
      <c r="C630" s="131"/>
      <c r="D630" s="131"/>
      <c r="E630" s="131"/>
      <c r="F630" s="14"/>
      <c r="G630" s="14"/>
      <c r="H630" s="131"/>
    </row>
    <row r="631">
      <c r="A631" s="3" t="b">
        <v>0</v>
      </c>
      <c r="B631" s="130"/>
      <c r="C631" s="131"/>
      <c r="D631" s="131"/>
      <c r="E631" s="131"/>
      <c r="F631" s="14"/>
      <c r="G631" s="14"/>
      <c r="H631" s="131"/>
    </row>
    <row r="632">
      <c r="A632" s="3" t="b">
        <v>0</v>
      </c>
      <c r="B632" s="130"/>
      <c r="C632" s="131"/>
      <c r="D632" s="131"/>
      <c r="E632" s="131"/>
      <c r="F632" s="14"/>
      <c r="G632" s="14"/>
      <c r="H632" s="131"/>
    </row>
    <row r="633">
      <c r="A633" s="3" t="b">
        <v>0</v>
      </c>
      <c r="B633" s="130"/>
      <c r="C633" s="131"/>
      <c r="D633" s="131"/>
      <c r="E633" s="131"/>
      <c r="F633" s="14"/>
      <c r="G633" s="14"/>
      <c r="H633" s="131"/>
    </row>
    <row r="634">
      <c r="A634" s="3" t="b">
        <v>0</v>
      </c>
      <c r="B634" s="130"/>
      <c r="C634" s="131"/>
      <c r="D634" s="131"/>
      <c r="E634" s="131"/>
      <c r="F634" s="14"/>
      <c r="G634" s="14"/>
      <c r="H634" s="131"/>
    </row>
    <row r="635">
      <c r="A635" s="3" t="b">
        <v>0</v>
      </c>
      <c r="B635" s="130"/>
      <c r="C635" s="131"/>
      <c r="D635" s="131"/>
      <c r="E635" s="131"/>
      <c r="F635" s="14"/>
      <c r="G635" s="14"/>
      <c r="H635" s="131"/>
    </row>
    <row r="636">
      <c r="A636" s="3" t="b">
        <v>0</v>
      </c>
      <c r="B636" s="130"/>
      <c r="C636" s="131"/>
      <c r="D636" s="131"/>
      <c r="E636" s="131"/>
      <c r="F636" s="14"/>
      <c r="G636" s="14"/>
      <c r="H636" s="131"/>
    </row>
    <row r="637">
      <c r="A637" s="3" t="b">
        <v>0</v>
      </c>
      <c r="B637" s="130"/>
      <c r="C637" s="131"/>
      <c r="D637" s="131"/>
      <c r="E637" s="131"/>
      <c r="F637" s="14"/>
      <c r="G637" s="14"/>
      <c r="H637" s="131"/>
    </row>
    <row r="638">
      <c r="A638" s="3" t="b">
        <v>0</v>
      </c>
      <c r="B638" s="130"/>
      <c r="C638" s="131"/>
      <c r="D638" s="131"/>
      <c r="E638" s="131"/>
      <c r="F638" s="14"/>
      <c r="G638" s="14"/>
      <c r="H638" s="131"/>
    </row>
    <row r="639">
      <c r="A639" s="3" t="b">
        <v>0</v>
      </c>
      <c r="B639" s="130"/>
      <c r="C639" s="131"/>
      <c r="D639" s="131"/>
      <c r="E639" s="131"/>
      <c r="F639" s="14"/>
      <c r="G639" s="14"/>
      <c r="H639" s="131"/>
    </row>
    <row r="640">
      <c r="A640" s="3" t="b">
        <v>0</v>
      </c>
      <c r="B640" s="130"/>
      <c r="C640" s="131"/>
      <c r="D640" s="131"/>
      <c r="E640" s="131"/>
      <c r="F640" s="14"/>
      <c r="G640" s="14"/>
      <c r="H640" s="131"/>
    </row>
    <row r="641">
      <c r="A641" s="3" t="b">
        <v>0</v>
      </c>
      <c r="B641" s="130"/>
      <c r="C641" s="131"/>
      <c r="D641" s="131"/>
      <c r="E641" s="131"/>
      <c r="F641" s="14"/>
      <c r="G641" s="14"/>
      <c r="H641" s="131"/>
    </row>
    <row r="642">
      <c r="A642" s="3" t="b">
        <v>0</v>
      </c>
      <c r="B642" s="130"/>
      <c r="C642" s="131"/>
      <c r="D642" s="131"/>
      <c r="E642" s="131"/>
      <c r="F642" s="14"/>
      <c r="G642" s="14"/>
      <c r="H642" s="131"/>
    </row>
    <row r="643">
      <c r="A643" s="3" t="b">
        <v>0</v>
      </c>
      <c r="B643" s="130"/>
      <c r="C643" s="131"/>
      <c r="D643" s="131"/>
      <c r="E643" s="131"/>
      <c r="F643" s="14"/>
      <c r="G643" s="14"/>
      <c r="H643" s="131"/>
    </row>
    <row r="644">
      <c r="A644" s="3" t="b">
        <v>0</v>
      </c>
      <c r="B644" s="130"/>
      <c r="C644" s="131"/>
      <c r="D644" s="131"/>
      <c r="E644" s="131"/>
      <c r="F644" s="14"/>
      <c r="G644" s="14"/>
      <c r="H644" s="131"/>
    </row>
    <row r="645">
      <c r="A645" s="3" t="b">
        <v>0</v>
      </c>
      <c r="B645" s="130"/>
      <c r="C645" s="131"/>
      <c r="D645" s="131"/>
      <c r="E645" s="131"/>
      <c r="F645" s="14"/>
      <c r="G645" s="14"/>
      <c r="H645" s="131"/>
    </row>
    <row r="646">
      <c r="A646" s="3" t="b">
        <v>0</v>
      </c>
      <c r="B646" s="130"/>
      <c r="C646" s="131"/>
      <c r="D646" s="131"/>
      <c r="E646" s="131"/>
      <c r="F646" s="14"/>
      <c r="G646" s="14"/>
      <c r="H646" s="131"/>
    </row>
    <row r="647">
      <c r="A647" s="3" t="b">
        <v>0</v>
      </c>
      <c r="B647" s="130"/>
      <c r="C647" s="131"/>
      <c r="D647" s="131"/>
      <c r="E647" s="131"/>
      <c r="F647" s="14"/>
      <c r="G647" s="14"/>
      <c r="H647" s="131"/>
    </row>
    <row r="648">
      <c r="A648" s="3" t="b">
        <v>0</v>
      </c>
      <c r="B648" s="130"/>
      <c r="C648" s="131"/>
      <c r="D648" s="131"/>
      <c r="E648" s="131"/>
      <c r="F648" s="14"/>
      <c r="G648" s="14"/>
      <c r="H648" s="131"/>
    </row>
    <row r="649">
      <c r="A649" s="3" t="b">
        <v>0</v>
      </c>
      <c r="B649" s="130"/>
      <c r="C649" s="131"/>
      <c r="D649" s="131"/>
      <c r="E649" s="131"/>
      <c r="F649" s="14"/>
      <c r="G649" s="14"/>
      <c r="H649" s="131"/>
    </row>
    <row r="650">
      <c r="A650" s="3" t="b">
        <v>0</v>
      </c>
      <c r="B650" s="130"/>
      <c r="C650" s="131"/>
      <c r="D650" s="131"/>
      <c r="E650" s="131"/>
      <c r="F650" s="14"/>
      <c r="G650" s="14"/>
      <c r="H650" s="131"/>
    </row>
    <row r="651">
      <c r="A651" s="3" t="b">
        <v>0</v>
      </c>
      <c r="B651" s="130"/>
      <c r="C651" s="131"/>
      <c r="D651" s="131"/>
      <c r="E651" s="131"/>
      <c r="F651" s="14"/>
      <c r="G651" s="14"/>
      <c r="H651" s="131"/>
    </row>
    <row r="652">
      <c r="A652" s="3" t="b">
        <v>0</v>
      </c>
      <c r="B652" s="130"/>
      <c r="C652" s="131"/>
      <c r="D652" s="131"/>
      <c r="E652" s="131"/>
      <c r="F652" s="14"/>
      <c r="G652" s="14"/>
      <c r="H652" s="131"/>
    </row>
    <row r="653">
      <c r="A653" s="3" t="b">
        <v>0</v>
      </c>
      <c r="B653" s="130"/>
      <c r="C653" s="131"/>
      <c r="D653" s="131"/>
      <c r="E653" s="131"/>
      <c r="F653" s="14"/>
      <c r="G653" s="14"/>
      <c r="H653" s="131"/>
    </row>
    <row r="654">
      <c r="A654" s="3" t="b">
        <v>0</v>
      </c>
      <c r="B654" s="130"/>
      <c r="C654" s="131"/>
      <c r="D654" s="131"/>
      <c r="E654" s="131"/>
      <c r="F654" s="14"/>
      <c r="G654" s="14"/>
      <c r="H654" s="131"/>
    </row>
    <row r="655">
      <c r="A655" s="3" t="b">
        <v>0</v>
      </c>
      <c r="B655" s="130"/>
      <c r="C655" s="131"/>
      <c r="D655" s="131"/>
      <c r="E655" s="131"/>
      <c r="F655" s="14"/>
      <c r="G655" s="14"/>
      <c r="H655" s="131"/>
    </row>
    <row r="656">
      <c r="A656" s="3" t="b">
        <v>0</v>
      </c>
      <c r="B656" s="130"/>
      <c r="C656" s="131"/>
      <c r="D656" s="131"/>
      <c r="E656" s="131"/>
      <c r="F656" s="14"/>
      <c r="G656" s="14"/>
      <c r="H656" s="131"/>
    </row>
    <row r="657">
      <c r="A657" s="3" t="b">
        <v>0</v>
      </c>
      <c r="B657" s="130"/>
      <c r="C657" s="131"/>
      <c r="D657" s="131"/>
      <c r="E657" s="131"/>
      <c r="F657" s="14"/>
      <c r="G657" s="14"/>
      <c r="H657" s="131"/>
    </row>
    <row r="658">
      <c r="A658" s="3" t="b">
        <v>0</v>
      </c>
      <c r="B658" s="130"/>
      <c r="C658" s="131"/>
      <c r="D658" s="131"/>
      <c r="E658" s="131"/>
      <c r="F658" s="14"/>
      <c r="G658" s="14"/>
      <c r="H658" s="131"/>
    </row>
    <row r="659">
      <c r="A659" s="3" t="b">
        <v>0</v>
      </c>
      <c r="B659" s="130"/>
      <c r="C659" s="131"/>
      <c r="D659" s="131"/>
      <c r="E659" s="131"/>
      <c r="F659" s="14"/>
      <c r="G659" s="14"/>
      <c r="H659" s="131"/>
    </row>
    <row r="660">
      <c r="A660" s="3" t="b">
        <v>0</v>
      </c>
      <c r="B660" s="130"/>
      <c r="C660" s="131"/>
      <c r="D660" s="131"/>
      <c r="E660" s="131"/>
      <c r="F660" s="14"/>
      <c r="G660" s="14"/>
      <c r="H660" s="131"/>
    </row>
    <row r="661">
      <c r="A661" s="3" t="b">
        <v>0</v>
      </c>
      <c r="B661" s="130"/>
      <c r="C661" s="131"/>
      <c r="D661" s="131"/>
      <c r="E661" s="131"/>
      <c r="F661" s="14"/>
      <c r="G661" s="14"/>
      <c r="H661" s="131"/>
    </row>
    <row r="662">
      <c r="A662" s="3" t="b">
        <v>0</v>
      </c>
      <c r="B662" s="130"/>
      <c r="C662" s="131"/>
      <c r="D662" s="131"/>
      <c r="E662" s="131"/>
      <c r="F662" s="14"/>
      <c r="G662" s="14"/>
      <c r="H662" s="131"/>
    </row>
    <row r="663">
      <c r="A663" s="3" t="b">
        <v>0</v>
      </c>
      <c r="B663" s="130"/>
      <c r="C663" s="131"/>
      <c r="D663" s="131"/>
      <c r="E663" s="131"/>
      <c r="F663" s="14"/>
      <c r="G663" s="14"/>
      <c r="H663" s="131"/>
    </row>
    <row r="664">
      <c r="A664" s="3" t="b">
        <v>0</v>
      </c>
      <c r="B664" s="130"/>
      <c r="C664" s="131"/>
      <c r="D664" s="131"/>
      <c r="E664" s="131"/>
      <c r="F664" s="14"/>
      <c r="G664" s="14"/>
      <c r="H664" s="131"/>
    </row>
    <row r="665">
      <c r="A665" s="3" t="b">
        <v>0</v>
      </c>
      <c r="B665" s="130"/>
      <c r="C665" s="131"/>
      <c r="D665" s="131"/>
      <c r="E665" s="131"/>
      <c r="F665" s="14"/>
      <c r="G665" s="14"/>
      <c r="H665" s="131"/>
    </row>
    <row r="666">
      <c r="A666" s="3" t="b">
        <v>0</v>
      </c>
      <c r="B666" s="130"/>
      <c r="C666" s="131"/>
      <c r="D666" s="131"/>
      <c r="E666" s="131"/>
      <c r="F666" s="14"/>
      <c r="G666" s="14"/>
      <c r="H666" s="131"/>
    </row>
    <row r="667">
      <c r="A667" s="3" t="b">
        <v>0</v>
      </c>
      <c r="B667" s="130"/>
      <c r="C667" s="131"/>
      <c r="D667" s="131"/>
      <c r="E667" s="131"/>
      <c r="F667" s="14"/>
      <c r="G667" s="14"/>
      <c r="H667" s="131"/>
    </row>
    <row r="668">
      <c r="A668" s="3" t="b">
        <v>0</v>
      </c>
      <c r="B668" s="130"/>
      <c r="C668" s="131"/>
      <c r="D668" s="131"/>
      <c r="E668" s="131"/>
      <c r="F668" s="14"/>
      <c r="G668" s="14"/>
      <c r="H668" s="131"/>
    </row>
    <row r="669">
      <c r="A669" s="3" t="b">
        <v>0</v>
      </c>
      <c r="B669" s="130"/>
      <c r="C669" s="131"/>
      <c r="D669" s="131"/>
      <c r="E669" s="131"/>
      <c r="F669" s="14"/>
      <c r="G669" s="14"/>
      <c r="H669" s="131"/>
    </row>
    <row r="670">
      <c r="A670" s="3" t="b">
        <v>0</v>
      </c>
      <c r="B670" s="130"/>
      <c r="C670" s="131"/>
      <c r="D670" s="131"/>
      <c r="E670" s="131"/>
      <c r="F670" s="14"/>
      <c r="G670" s="14"/>
      <c r="H670" s="131"/>
    </row>
    <row r="671">
      <c r="A671" s="3" t="b">
        <v>0</v>
      </c>
      <c r="B671" s="130"/>
      <c r="C671" s="131"/>
      <c r="D671" s="131"/>
      <c r="E671" s="131"/>
      <c r="F671" s="14"/>
      <c r="G671" s="14"/>
      <c r="H671" s="131"/>
    </row>
    <row r="672">
      <c r="A672" s="3" t="b">
        <v>0</v>
      </c>
      <c r="B672" s="130"/>
      <c r="C672" s="131"/>
      <c r="D672" s="131"/>
      <c r="E672" s="131"/>
      <c r="F672" s="14"/>
      <c r="G672" s="14"/>
      <c r="H672" s="131"/>
    </row>
    <row r="673">
      <c r="A673" s="3" t="b">
        <v>0</v>
      </c>
      <c r="B673" s="130"/>
      <c r="C673" s="131"/>
      <c r="D673" s="131"/>
      <c r="E673" s="131"/>
      <c r="F673" s="14"/>
      <c r="G673" s="14"/>
      <c r="H673" s="131"/>
    </row>
    <row r="674">
      <c r="A674" s="3" t="b">
        <v>0</v>
      </c>
      <c r="B674" s="130"/>
      <c r="C674" s="131"/>
      <c r="D674" s="131"/>
      <c r="E674" s="131"/>
      <c r="F674" s="14"/>
      <c r="G674" s="14"/>
      <c r="H674" s="131"/>
    </row>
    <row r="675">
      <c r="A675" s="3" t="b">
        <v>0</v>
      </c>
      <c r="B675" s="130"/>
      <c r="C675" s="131"/>
      <c r="D675" s="131"/>
      <c r="E675" s="131"/>
      <c r="F675" s="14"/>
      <c r="G675" s="14"/>
      <c r="H675" s="131"/>
    </row>
    <row r="676">
      <c r="A676" s="3" t="b">
        <v>0</v>
      </c>
      <c r="B676" s="130"/>
      <c r="C676" s="131"/>
      <c r="D676" s="131"/>
      <c r="E676" s="131"/>
      <c r="F676" s="14"/>
      <c r="G676" s="14"/>
      <c r="H676" s="131"/>
    </row>
    <row r="677">
      <c r="A677" s="3" t="b">
        <v>0</v>
      </c>
      <c r="B677" s="130"/>
      <c r="C677" s="131"/>
      <c r="D677" s="131"/>
      <c r="E677" s="131"/>
      <c r="F677" s="14"/>
      <c r="G677" s="14"/>
      <c r="H677" s="131"/>
    </row>
    <row r="678">
      <c r="A678" s="3" t="b">
        <v>0</v>
      </c>
      <c r="B678" s="130"/>
      <c r="C678" s="131"/>
      <c r="D678" s="131"/>
      <c r="E678" s="131"/>
      <c r="F678" s="14"/>
      <c r="G678" s="14"/>
      <c r="H678" s="131"/>
    </row>
    <row r="679">
      <c r="A679" s="3" t="b">
        <v>0</v>
      </c>
      <c r="B679" s="130"/>
      <c r="C679" s="131"/>
      <c r="D679" s="131"/>
      <c r="E679" s="131"/>
      <c r="F679" s="14"/>
      <c r="G679" s="14"/>
      <c r="H679" s="131"/>
    </row>
    <row r="680">
      <c r="A680" s="3" t="b">
        <v>0</v>
      </c>
      <c r="B680" s="130"/>
      <c r="C680" s="131"/>
      <c r="D680" s="131"/>
      <c r="E680" s="131"/>
      <c r="F680" s="14"/>
      <c r="G680" s="14"/>
      <c r="H680" s="131"/>
    </row>
    <row r="681">
      <c r="A681" s="3" t="b">
        <v>0</v>
      </c>
      <c r="B681" s="130"/>
      <c r="C681" s="131"/>
      <c r="D681" s="131"/>
      <c r="E681" s="131"/>
      <c r="F681" s="14"/>
      <c r="G681" s="14"/>
      <c r="H681" s="131"/>
    </row>
    <row r="682">
      <c r="A682" s="3" t="b">
        <v>0</v>
      </c>
      <c r="B682" s="130"/>
      <c r="C682" s="131"/>
      <c r="D682" s="131"/>
      <c r="E682" s="131"/>
      <c r="F682" s="14"/>
      <c r="G682" s="14"/>
      <c r="H682" s="131"/>
    </row>
    <row r="683">
      <c r="A683" s="3" t="b">
        <v>0</v>
      </c>
      <c r="B683" s="130"/>
      <c r="C683" s="131"/>
      <c r="D683" s="131"/>
      <c r="E683" s="131"/>
      <c r="F683" s="14"/>
      <c r="G683" s="14"/>
      <c r="H683" s="131"/>
    </row>
    <row r="684">
      <c r="A684" s="3" t="b">
        <v>0</v>
      </c>
      <c r="B684" s="130"/>
      <c r="C684" s="131"/>
      <c r="D684" s="131"/>
      <c r="E684" s="131"/>
      <c r="F684" s="14"/>
      <c r="G684" s="14"/>
      <c r="H684" s="131"/>
    </row>
    <row r="685">
      <c r="A685" s="3" t="b">
        <v>0</v>
      </c>
      <c r="B685" s="130"/>
      <c r="C685" s="131"/>
      <c r="D685" s="131"/>
      <c r="E685" s="131"/>
      <c r="F685" s="14"/>
      <c r="G685" s="14"/>
      <c r="H685" s="131"/>
    </row>
    <row r="686">
      <c r="A686" s="3" t="b">
        <v>0</v>
      </c>
      <c r="B686" s="130"/>
      <c r="C686" s="131"/>
      <c r="D686" s="131"/>
      <c r="E686" s="131"/>
      <c r="F686" s="14"/>
      <c r="G686" s="14"/>
      <c r="H686" s="131"/>
    </row>
    <row r="687">
      <c r="A687" s="3" t="b">
        <v>0</v>
      </c>
      <c r="B687" s="130"/>
      <c r="C687" s="131"/>
      <c r="D687" s="131"/>
      <c r="E687" s="131"/>
      <c r="F687" s="14"/>
      <c r="G687" s="14"/>
      <c r="H687" s="131"/>
    </row>
    <row r="688">
      <c r="A688" s="3" t="b">
        <v>0</v>
      </c>
      <c r="B688" s="130"/>
      <c r="C688" s="131"/>
      <c r="D688" s="131"/>
      <c r="E688" s="131"/>
      <c r="F688" s="14"/>
      <c r="G688" s="14"/>
      <c r="H688" s="131"/>
    </row>
    <row r="689">
      <c r="A689" s="3" t="b">
        <v>0</v>
      </c>
      <c r="B689" s="130"/>
      <c r="C689" s="131"/>
      <c r="D689" s="131"/>
      <c r="E689" s="131"/>
      <c r="F689" s="14"/>
      <c r="G689" s="14"/>
      <c r="H689" s="131"/>
    </row>
    <row r="690">
      <c r="A690" s="3" t="b">
        <v>0</v>
      </c>
      <c r="B690" s="130"/>
      <c r="C690" s="131"/>
      <c r="D690" s="131"/>
      <c r="E690" s="131"/>
      <c r="F690" s="14"/>
      <c r="G690" s="14"/>
      <c r="H690" s="131"/>
    </row>
    <row r="691">
      <c r="A691" s="3" t="b">
        <v>0</v>
      </c>
      <c r="B691" s="130"/>
      <c r="C691" s="131"/>
      <c r="D691" s="131"/>
      <c r="E691" s="131"/>
      <c r="F691" s="14"/>
      <c r="G691" s="14"/>
      <c r="H691" s="131"/>
    </row>
    <row r="692">
      <c r="A692" s="3" t="b">
        <v>0</v>
      </c>
      <c r="B692" s="130"/>
      <c r="C692" s="131"/>
      <c r="D692" s="131"/>
      <c r="E692" s="131"/>
      <c r="F692" s="14"/>
      <c r="G692" s="14"/>
      <c r="H692" s="131"/>
    </row>
    <row r="693">
      <c r="A693" s="3" t="b">
        <v>0</v>
      </c>
      <c r="B693" s="130"/>
      <c r="C693" s="131"/>
      <c r="D693" s="131"/>
      <c r="E693" s="131"/>
      <c r="F693" s="14"/>
      <c r="G693" s="14"/>
      <c r="H693" s="131"/>
    </row>
    <row r="694">
      <c r="A694" s="3" t="b">
        <v>0</v>
      </c>
      <c r="B694" s="130"/>
      <c r="C694" s="131"/>
      <c r="D694" s="131"/>
      <c r="E694" s="131"/>
      <c r="F694" s="14"/>
      <c r="G694" s="14"/>
      <c r="H694" s="131"/>
    </row>
    <row r="695">
      <c r="A695" s="3" t="b">
        <v>0</v>
      </c>
      <c r="B695" s="130"/>
      <c r="C695" s="131"/>
      <c r="D695" s="131"/>
      <c r="E695" s="131"/>
      <c r="F695" s="14"/>
      <c r="G695" s="14"/>
      <c r="H695" s="131"/>
    </row>
    <row r="696">
      <c r="A696" s="3" t="b">
        <v>0</v>
      </c>
      <c r="B696" s="130"/>
      <c r="C696" s="131"/>
      <c r="D696" s="131"/>
      <c r="E696" s="131"/>
      <c r="F696" s="14"/>
      <c r="G696" s="14"/>
      <c r="H696" s="131"/>
    </row>
    <row r="697">
      <c r="A697" s="3" t="b">
        <v>0</v>
      </c>
      <c r="B697" s="130"/>
      <c r="C697" s="131"/>
      <c r="D697" s="131"/>
      <c r="E697" s="131"/>
      <c r="F697" s="14"/>
      <c r="G697" s="14"/>
      <c r="H697" s="131"/>
    </row>
    <row r="698">
      <c r="A698" s="3" t="b">
        <v>0</v>
      </c>
      <c r="B698" s="130"/>
      <c r="C698" s="131"/>
      <c r="D698" s="131"/>
      <c r="E698" s="131"/>
      <c r="F698" s="14"/>
      <c r="G698" s="14"/>
      <c r="H698" s="131"/>
    </row>
    <row r="699">
      <c r="A699" s="3" t="b">
        <v>0</v>
      </c>
      <c r="B699" s="130"/>
      <c r="C699" s="131"/>
      <c r="D699" s="131"/>
      <c r="E699" s="131"/>
      <c r="F699" s="14"/>
      <c r="G699" s="14"/>
      <c r="H699" s="131"/>
    </row>
    <row r="700">
      <c r="A700" s="3" t="b">
        <v>0</v>
      </c>
      <c r="B700" s="130"/>
      <c r="C700" s="131"/>
      <c r="D700" s="131"/>
      <c r="E700" s="131"/>
      <c r="F700" s="14"/>
      <c r="G700" s="14"/>
      <c r="H700" s="131"/>
    </row>
    <row r="701">
      <c r="A701" s="3" t="b">
        <v>0</v>
      </c>
      <c r="B701" s="130"/>
      <c r="C701" s="131"/>
      <c r="D701" s="131"/>
      <c r="E701" s="131"/>
      <c r="F701" s="14"/>
      <c r="G701" s="14"/>
      <c r="H701" s="131"/>
    </row>
    <row r="702">
      <c r="A702" s="3" t="b">
        <v>0</v>
      </c>
      <c r="B702" s="130"/>
      <c r="C702" s="131"/>
      <c r="D702" s="131"/>
      <c r="E702" s="131"/>
      <c r="F702" s="14"/>
      <c r="G702" s="14"/>
      <c r="H702" s="131"/>
    </row>
    <row r="703">
      <c r="A703" s="3" t="b">
        <v>0</v>
      </c>
      <c r="B703" s="130"/>
      <c r="C703" s="131"/>
      <c r="D703" s="131"/>
      <c r="E703" s="131"/>
      <c r="F703" s="14"/>
      <c r="G703" s="14"/>
      <c r="H703" s="131"/>
    </row>
    <row r="704">
      <c r="A704" s="3" t="b">
        <v>0</v>
      </c>
      <c r="B704" s="130"/>
      <c r="C704" s="131"/>
      <c r="D704" s="131"/>
      <c r="E704" s="131"/>
      <c r="F704" s="14"/>
      <c r="G704" s="14"/>
      <c r="H704" s="131"/>
    </row>
    <row r="705">
      <c r="A705" s="3" t="b">
        <v>0</v>
      </c>
      <c r="B705" s="130"/>
      <c r="C705" s="131"/>
      <c r="D705" s="131"/>
      <c r="E705" s="131"/>
      <c r="F705" s="14"/>
      <c r="G705" s="14"/>
      <c r="H705" s="131"/>
    </row>
    <row r="706">
      <c r="A706" s="3" t="b">
        <v>0</v>
      </c>
      <c r="B706" s="130"/>
      <c r="C706" s="131"/>
      <c r="D706" s="131"/>
      <c r="E706" s="131"/>
      <c r="F706" s="14"/>
      <c r="G706" s="14"/>
      <c r="H706" s="131"/>
    </row>
    <row r="707">
      <c r="A707" s="3" t="b">
        <v>0</v>
      </c>
      <c r="B707" s="130"/>
      <c r="C707" s="131"/>
      <c r="D707" s="131"/>
      <c r="E707" s="131"/>
      <c r="F707" s="14"/>
      <c r="G707" s="14"/>
      <c r="H707" s="131"/>
    </row>
    <row r="708">
      <c r="A708" s="3" t="b">
        <v>0</v>
      </c>
      <c r="B708" s="130"/>
      <c r="C708" s="131"/>
      <c r="D708" s="131"/>
      <c r="E708" s="131"/>
      <c r="F708" s="14"/>
      <c r="G708" s="14"/>
      <c r="H708" s="131"/>
    </row>
    <row r="709">
      <c r="A709" s="3" t="b">
        <v>0</v>
      </c>
      <c r="B709" s="130"/>
      <c r="C709" s="131"/>
      <c r="D709" s="131"/>
      <c r="E709" s="131"/>
      <c r="F709" s="14"/>
      <c r="G709" s="14"/>
      <c r="H709" s="131"/>
    </row>
    <row r="710">
      <c r="A710" s="3" t="b">
        <v>0</v>
      </c>
      <c r="B710" s="130"/>
      <c r="C710" s="131"/>
      <c r="D710" s="131"/>
      <c r="E710" s="131"/>
      <c r="F710" s="14"/>
      <c r="G710" s="14"/>
      <c r="H710" s="131"/>
    </row>
    <row r="711">
      <c r="A711" s="3" t="b">
        <v>0</v>
      </c>
      <c r="B711" s="130"/>
      <c r="C711" s="131"/>
      <c r="D711" s="131"/>
      <c r="E711" s="131"/>
      <c r="F711" s="14"/>
      <c r="G711" s="14"/>
      <c r="H711" s="131"/>
    </row>
    <row r="712">
      <c r="A712" s="3" t="b">
        <v>0</v>
      </c>
      <c r="B712" s="130"/>
      <c r="C712" s="131"/>
      <c r="D712" s="131"/>
      <c r="E712" s="131"/>
      <c r="F712" s="14"/>
      <c r="G712" s="14"/>
      <c r="H712" s="131"/>
    </row>
    <row r="713">
      <c r="A713" s="3" t="b">
        <v>0</v>
      </c>
      <c r="B713" s="130"/>
      <c r="C713" s="131"/>
      <c r="D713" s="131"/>
      <c r="E713" s="131"/>
      <c r="F713" s="14"/>
      <c r="G713" s="14"/>
      <c r="H713" s="131"/>
    </row>
    <row r="714">
      <c r="A714" s="3" t="b">
        <v>0</v>
      </c>
      <c r="B714" s="130"/>
      <c r="C714" s="131"/>
      <c r="D714" s="131"/>
      <c r="E714" s="131"/>
      <c r="F714" s="14"/>
      <c r="G714" s="14"/>
      <c r="H714" s="131"/>
    </row>
    <row r="715">
      <c r="A715" s="3" t="b">
        <v>0</v>
      </c>
      <c r="B715" s="130"/>
      <c r="C715" s="131"/>
      <c r="D715" s="131"/>
      <c r="E715" s="131"/>
      <c r="F715" s="14"/>
      <c r="G715" s="14"/>
      <c r="H715" s="131"/>
    </row>
    <row r="716">
      <c r="A716" s="3" t="b">
        <v>0</v>
      </c>
      <c r="B716" s="130"/>
      <c r="C716" s="131"/>
      <c r="D716" s="131"/>
      <c r="E716" s="131"/>
      <c r="F716" s="14"/>
      <c r="G716" s="14"/>
      <c r="H716" s="131"/>
    </row>
    <row r="717">
      <c r="A717" s="3" t="b">
        <v>0</v>
      </c>
      <c r="B717" s="130"/>
      <c r="C717" s="131"/>
      <c r="D717" s="131"/>
      <c r="E717" s="131"/>
      <c r="F717" s="14"/>
      <c r="G717" s="14"/>
      <c r="H717" s="131"/>
    </row>
    <row r="718">
      <c r="A718" s="3" t="b">
        <v>0</v>
      </c>
      <c r="B718" s="130"/>
      <c r="C718" s="131"/>
      <c r="D718" s="131"/>
      <c r="E718" s="131"/>
      <c r="F718" s="14"/>
      <c r="G718" s="14"/>
      <c r="H718" s="131"/>
    </row>
    <row r="719">
      <c r="A719" s="3" t="b">
        <v>0</v>
      </c>
      <c r="B719" s="130"/>
      <c r="C719" s="131"/>
      <c r="D719" s="131"/>
      <c r="E719" s="131"/>
      <c r="F719" s="14"/>
      <c r="G719" s="14"/>
      <c r="H719" s="131"/>
    </row>
    <row r="720">
      <c r="A720" s="3" t="b">
        <v>0</v>
      </c>
      <c r="B720" s="130"/>
      <c r="C720" s="131"/>
      <c r="D720" s="131"/>
      <c r="E720" s="131"/>
      <c r="F720" s="14"/>
      <c r="G720" s="14"/>
      <c r="H720" s="131"/>
    </row>
    <row r="721">
      <c r="A721" s="3" t="b">
        <v>0</v>
      </c>
      <c r="B721" s="130"/>
      <c r="C721" s="131"/>
      <c r="D721" s="131"/>
      <c r="E721" s="131"/>
      <c r="F721" s="14"/>
      <c r="G721" s="14"/>
      <c r="H721" s="131"/>
    </row>
    <row r="722">
      <c r="A722" s="3" t="b">
        <v>0</v>
      </c>
      <c r="B722" s="130"/>
      <c r="C722" s="131"/>
      <c r="D722" s="131"/>
      <c r="E722" s="131"/>
      <c r="F722" s="14"/>
      <c r="G722" s="14"/>
      <c r="H722" s="131"/>
    </row>
    <row r="723">
      <c r="A723" s="3" t="b">
        <v>0</v>
      </c>
      <c r="B723" s="130"/>
      <c r="C723" s="131"/>
      <c r="D723" s="131"/>
      <c r="E723" s="131"/>
      <c r="F723" s="14"/>
      <c r="G723" s="14"/>
      <c r="H723" s="131"/>
    </row>
    <row r="724">
      <c r="A724" s="3" t="b">
        <v>0</v>
      </c>
      <c r="B724" s="130"/>
      <c r="C724" s="131"/>
      <c r="D724" s="131"/>
      <c r="E724" s="131"/>
      <c r="F724" s="14"/>
      <c r="G724" s="14"/>
      <c r="H724" s="131"/>
    </row>
    <row r="725">
      <c r="A725" s="3" t="b">
        <v>0</v>
      </c>
      <c r="B725" s="130"/>
      <c r="C725" s="131"/>
      <c r="D725" s="131"/>
      <c r="E725" s="131"/>
      <c r="F725" s="14"/>
      <c r="G725" s="14"/>
      <c r="H725" s="131"/>
    </row>
    <row r="726">
      <c r="A726" s="3" t="b">
        <v>0</v>
      </c>
      <c r="B726" s="130"/>
      <c r="C726" s="131"/>
      <c r="D726" s="131"/>
      <c r="E726" s="131"/>
      <c r="F726" s="14"/>
      <c r="G726" s="14"/>
      <c r="H726" s="131"/>
    </row>
    <row r="727">
      <c r="A727" s="3" t="b">
        <v>0</v>
      </c>
      <c r="B727" s="130"/>
      <c r="C727" s="131"/>
      <c r="D727" s="131"/>
      <c r="E727" s="131"/>
      <c r="F727" s="14"/>
      <c r="G727" s="14"/>
      <c r="H727" s="131"/>
    </row>
    <row r="728">
      <c r="A728" s="3" t="b">
        <v>0</v>
      </c>
      <c r="B728" s="130"/>
      <c r="C728" s="131"/>
      <c r="D728" s="131"/>
      <c r="E728" s="131"/>
      <c r="F728" s="14"/>
      <c r="G728" s="14"/>
      <c r="H728" s="131"/>
    </row>
    <row r="729">
      <c r="A729" s="3" t="b">
        <v>0</v>
      </c>
      <c r="B729" s="130"/>
      <c r="C729" s="131"/>
      <c r="D729" s="131"/>
      <c r="E729" s="131"/>
      <c r="F729" s="14"/>
      <c r="G729" s="14"/>
      <c r="H729" s="131"/>
    </row>
    <row r="730">
      <c r="A730" s="3" t="b">
        <v>0</v>
      </c>
      <c r="B730" s="130"/>
      <c r="C730" s="131"/>
      <c r="D730" s="131"/>
      <c r="E730" s="131"/>
      <c r="F730" s="14"/>
      <c r="G730" s="14"/>
      <c r="H730" s="131"/>
    </row>
    <row r="731">
      <c r="A731" s="3" t="b">
        <v>0</v>
      </c>
      <c r="B731" s="130"/>
      <c r="C731" s="131"/>
      <c r="D731" s="131"/>
      <c r="E731" s="131"/>
      <c r="F731" s="14"/>
      <c r="G731" s="14"/>
      <c r="H731" s="131"/>
    </row>
    <row r="732">
      <c r="A732" s="3" t="b">
        <v>0</v>
      </c>
      <c r="B732" s="130"/>
      <c r="C732" s="131"/>
      <c r="D732" s="131"/>
      <c r="E732" s="131"/>
      <c r="F732" s="14"/>
      <c r="G732" s="14"/>
      <c r="H732" s="131"/>
    </row>
    <row r="733">
      <c r="A733" s="3" t="b">
        <v>0</v>
      </c>
      <c r="B733" s="130"/>
      <c r="C733" s="131"/>
      <c r="D733" s="131"/>
      <c r="E733" s="131"/>
      <c r="F733" s="14"/>
      <c r="G733" s="14"/>
      <c r="H733" s="131"/>
    </row>
    <row r="734">
      <c r="A734" s="3" t="b">
        <v>0</v>
      </c>
      <c r="B734" s="130"/>
      <c r="C734" s="131"/>
      <c r="D734" s="131"/>
      <c r="E734" s="131"/>
      <c r="F734" s="14"/>
      <c r="G734" s="14"/>
      <c r="H734" s="131"/>
    </row>
    <row r="735">
      <c r="A735" s="3" t="b">
        <v>0</v>
      </c>
      <c r="B735" s="130"/>
      <c r="C735" s="131"/>
      <c r="D735" s="131"/>
      <c r="E735" s="131"/>
      <c r="F735" s="14"/>
      <c r="G735" s="14"/>
      <c r="H735" s="131"/>
    </row>
    <row r="736">
      <c r="A736" s="3" t="b">
        <v>0</v>
      </c>
      <c r="B736" s="130"/>
      <c r="C736" s="131"/>
      <c r="D736" s="131"/>
      <c r="E736" s="131"/>
      <c r="F736" s="14"/>
      <c r="G736" s="14"/>
      <c r="H736" s="131"/>
    </row>
    <row r="737">
      <c r="A737" s="3" t="b">
        <v>0</v>
      </c>
      <c r="B737" s="130"/>
      <c r="C737" s="131"/>
      <c r="D737" s="131"/>
      <c r="E737" s="131"/>
      <c r="F737" s="14"/>
      <c r="G737" s="14"/>
      <c r="H737" s="131"/>
    </row>
    <row r="738">
      <c r="A738" s="3" t="b">
        <v>0</v>
      </c>
      <c r="B738" s="130"/>
      <c r="C738" s="131"/>
      <c r="D738" s="131"/>
      <c r="E738" s="131"/>
      <c r="F738" s="14"/>
      <c r="G738" s="14"/>
      <c r="H738" s="131"/>
    </row>
    <row r="739">
      <c r="A739" s="3" t="b">
        <v>0</v>
      </c>
      <c r="B739" s="130"/>
      <c r="C739" s="131"/>
      <c r="D739" s="131"/>
      <c r="E739" s="131"/>
      <c r="F739" s="14"/>
      <c r="G739" s="14"/>
      <c r="H739" s="131"/>
    </row>
    <row r="740">
      <c r="A740" s="3" t="b">
        <v>0</v>
      </c>
      <c r="B740" s="130"/>
      <c r="C740" s="131"/>
      <c r="D740" s="131"/>
      <c r="E740" s="131"/>
      <c r="F740" s="14"/>
      <c r="G740" s="14"/>
      <c r="H740" s="131"/>
    </row>
    <row r="741">
      <c r="A741" s="3" t="b">
        <v>0</v>
      </c>
      <c r="B741" s="130"/>
      <c r="C741" s="131"/>
      <c r="D741" s="131"/>
      <c r="E741" s="131"/>
      <c r="F741" s="14"/>
      <c r="G741" s="14"/>
      <c r="H741" s="131"/>
    </row>
    <row r="742">
      <c r="A742" s="3" t="b">
        <v>0</v>
      </c>
      <c r="B742" s="130"/>
      <c r="C742" s="131"/>
      <c r="D742" s="131"/>
      <c r="E742" s="131"/>
      <c r="F742" s="14"/>
      <c r="G742" s="14"/>
      <c r="H742" s="131"/>
    </row>
    <row r="743">
      <c r="A743" s="3" t="b">
        <v>0</v>
      </c>
      <c r="B743" s="130"/>
      <c r="C743" s="131"/>
      <c r="D743" s="131"/>
      <c r="E743" s="131"/>
      <c r="F743" s="14"/>
      <c r="G743" s="14"/>
      <c r="H743" s="131"/>
    </row>
    <row r="744">
      <c r="A744" s="3" t="b">
        <v>0</v>
      </c>
      <c r="B744" s="130"/>
      <c r="C744" s="131"/>
      <c r="D744" s="131"/>
      <c r="E744" s="131"/>
      <c r="F744" s="14"/>
      <c r="G744" s="14"/>
      <c r="H744" s="131"/>
    </row>
    <row r="745">
      <c r="A745" s="3" t="b">
        <v>0</v>
      </c>
      <c r="B745" s="130"/>
      <c r="C745" s="131"/>
      <c r="D745" s="131"/>
      <c r="E745" s="131"/>
      <c r="F745" s="14"/>
      <c r="G745" s="14"/>
      <c r="H745" s="131"/>
    </row>
    <row r="746">
      <c r="A746" s="3" t="b">
        <v>0</v>
      </c>
      <c r="B746" s="130"/>
      <c r="C746" s="131"/>
      <c r="D746" s="131"/>
      <c r="E746" s="131"/>
      <c r="F746" s="14"/>
      <c r="G746" s="14"/>
      <c r="H746" s="131"/>
    </row>
    <row r="747">
      <c r="A747" s="3" t="b">
        <v>0</v>
      </c>
      <c r="B747" s="130"/>
      <c r="C747" s="131"/>
      <c r="D747" s="131"/>
      <c r="E747" s="131"/>
      <c r="F747" s="14"/>
      <c r="G747" s="14"/>
      <c r="H747" s="131"/>
    </row>
    <row r="748">
      <c r="A748" s="3" t="b">
        <v>0</v>
      </c>
      <c r="B748" s="130"/>
      <c r="C748" s="131"/>
      <c r="D748" s="131"/>
      <c r="E748" s="131"/>
      <c r="F748" s="14"/>
      <c r="G748" s="14"/>
      <c r="H748" s="131"/>
    </row>
    <row r="749">
      <c r="A749" s="3" t="b">
        <v>0</v>
      </c>
      <c r="B749" s="130"/>
      <c r="C749" s="131"/>
      <c r="D749" s="131"/>
      <c r="E749" s="131"/>
      <c r="F749" s="14"/>
      <c r="G749" s="14"/>
      <c r="H749" s="131"/>
    </row>
    <row r="750">
      <c r="A750" s="3" t="b">
        <v>0</v>
      </c>
      <c r="B750" s="130"/>
      <c r="C750" s="131"/>
      <c r="D750" s="131"/>
      <c r="E750" s="131"/>
      <c r="F750" s="14"/>
      <c r="G750" s="14"/>
      <c r="H750" s="131"/>
    </row>
    <row r="751">
      <c r="A751" s="3" t="b">
        <v>0</v>
      </c>
      <c r="B751" s="130"/>
      <c r="C751" s="131"/>
      <c r="D751" s="131"/>
      <c r="E751" s="131"/>
      <c r="F751" s="14"/>
      <c r="G751" s="14"/>
      <c r="H751" s="131"/>
    </row>
    <row r="752">
      <c r="A752" s="3" t="b">
        <v>0</v>
      </c>
      <c r="B752" s="130"/>
      <c r="C752" s="131"/>
      <c r="D752" s="131"/>
      <c r="E752" s="131"/>
      <c r="F752" s="14"/>
      <c r="G752" s="14"/>
      <c r="H752" s="131"/>
    </row>
    <row r="753">
      <c r="A753" s="3" t="b">
        <v>0</v>
      </c>
      <c r="B753" s="130"/>
      <c r="C753" s="131"/>
      <c r="D753" s="131"/>
      <c r="E753" s="131"/>
      <c r="F753" s="14"/>
      <c r="G753" s="14"/>
      <c r="H753" s="131"/>
    </row>
    <row r="754">
      <c r="A754" s="3" t="b">
        <v>0</v>
      </c>
      <c r="B754" s="130"/>
      <c r="C754" s="131"/>
      <c r="D754" s="131"/>
      <c r="E754" s="131"/>
      <c r="F754" s="14"/>
      <c r="G754" s="14"/>
      <c r="H754" s="131"/>
    </row>
    <row r="755">
      <c r="A755" s="3" t="b">
        <v>0</v>
      </c>
      <c r="B755" s="130"/>
      <c r="C755" s="131"/>
      <c r="D755" s="131"/>
      <c r="E755" s="131"/>
      <c r="F755" s="14"/>
      <c r="G755" s="14"/>
      <c r="H755" s="131"/>
    </row>
    <row r="756">
      <c r="A756" s="3" t="b">
        <v>0</v>
      </c>
      <c r="B756" s="130"/>
      <c r="C756" s="131"/>
      <c r="D756" s="131"/>
      <c r="E756" s="131"/>
      <c r="F756" s="14"/>
      <c r="G756" s="14"/>
      <c r="H756" s="131"/>
    </row>
    <row r="757">
      <c r="A757" s="3" t="b">
        <v>0</v>
      </c>
      <c r="B757" s="130"/>
      <c r="C757" s="131"/>
      <c r="D757" s="131"/>
      <c r="E757" s="131"/>
      <c r="F757" s="14"/>
      <c r="G757" s="14"/>
      <c r="H757" s="131"/>
    </row>
    <row r="758">
      <c r="A758" s="3" t="b">
        <v>0</v>
      </c>
      <c r="B758" s="130"/>
      <c r="C758" s="131"/>
      <c r="D758" s="131"/>
      <c r="E758" s="131"/>
      <c r="F758" s="14"/>
      <c r="G758" s="14"/>
      <c r="H758" s="131"/>
    </row>
    <row r="759">
      <c r="A759" s="3" t="b">
        <v>0</v>
      </c>
      <c r="B759" s="130"/>
      <c r="C759" s="131"/>
      <c r="D759" s="131"/>
      <c r="E759" s="131"/>
      <c r="F759" s="14"/>
      <c r="G759" s="14"/>
      <c r="H759" s="131"/>
    </row>
    <row r="760">
      <c r="A760" s="3" t="b">
        <v>0</v>
      </c>
      <c r="B760" s="130"/>
      <c r="C760" s="131"/>
      <c r="D760" s="131"/>
      <c r="E760" s="131"/>
      <c r="F760" s="14"/>
      <c r="G760" s="14"/>
      <c r="H760" s="131"/>
    </row>
    <row r="761">
      <c r="A761" s="3" t="b">
        <v>0</v>
      </c>
      <c r="B761" s="130"/>
      <c r="C761" s="131"/>
      <c r="D761" s="131"/>
      <c r="E761" s="131"/>
      <c r="F761" s="14"/>
      <c r="G761" s="14"/>
      <c r="H761" s="131"/>
    </row>
    <row r="762">
      <c r="A762" s="3" t="b">
        <v>0</v>
      </c>
      <c r="B762" s="130"/>
      <c r="C762" s="131"/>
      <c r="D762" s="131"/>
      <c r="E762" s="131"/>
      <c r="F762" s="14"/>
      <c r="G762" s="14"/>
      <c r="H762" s="131"/>
    </row>
    <row r="763">
      <c r="A763" s="3" t="b">
        <v>0</v>
      </c>
      <c r="B763" s="130"/>
      <c r="C763" s="131"/>
      <c r="D763" s="131"/>
      <c r="E763" s="131"/>
      <c r="F763" s="14"/>
      <c r="G763" s="14"/>
      <c r="H763" s="131"/>
    </row>
    <row r="764">
      <c r="A764" s="3" t="b">
        <v>0</v>
      </c>
      <c r="B764" s="130"/>
      <c r="C764" s="131"/>
      <c r="D764" s="131"/>
      <c r="E764" s="131"/>
      <c r="F764" s="14"/>
      <c r="G764" s="14"/>
      <c r="H764" s="131"/>
    </row>
    <row r="765">
      <c r="A765" s="3" t="b">
        <v>0</v>
      </c>
      <c r="B765" s="130"/>
      <c r="C765" s="131"/>
      <c r="D765" s="131"/>
      <c r="E765" s="131"/>
      <c r="F765" s="14"/>
      <c r="G765" s="14"/>
      <c r="H765" s="131"/>
    </row>
    <row r="766">
      <c r="A766" s="3" t="b">
        <v>0</v>
      </c>
      <c r="B766" s="130"/>
      <c r="C766" s="131"/>
      <c r="D766" s="131"/>
      <c r="E766" s="131"/>
      <c r="F766" s="14"/>
      <c r="G766" s="14"/>
      <c r="H766" s="131"/>
    </row>
    <row r="767">
      <c r="A767" s="3" t="b">
        <v>0</v>
      </c>
      <c r="B767" s="130"/>
      <c r="C767" s="131"/>
      <c r="D767" s="131"/>
      <c r="E767" s="131"/>
      <c r="F767" s="14"/>
      <c r="G767" s="14"/>
      <c r="H767" s="131"/>
    </row>
    <row r="768">
      <c r="A768" s="3" t="b">
        <v>0</v>
      </c>
      <c r="B768" s="130"/>
      <c r="C768" s="131"/>
      <c r="D768" s="131"/>
      <c r="E768" s="131"/>
      <c r="F768" s="14"/>
      <c r="G768" s="14"/>
      <c r="H768" s="131"/>
    </row>
    <row r="769">
      <c r="A769" s="3" t="b">
        <v>0</v>
      </c>
      <c r="B769" s="130"/>
      <c r="C769" s="131"/>
      <c r="D769" s="131"/>
      <c r="E769" s="131"/>
      <c r="F769" s="14"/>
      <c r="G769" s="14"/>
      <c r="H769" s="131"/>
    </row>
    <row r="770">
      <c r="A770" s="3" t="b">
        <v>0</v>
      </c>
      <c r="B770" s="130"/>
      <c r="C770" s="131"/>
      <c r="D770" s="131"/>
      <c r="E770" s="131"/>
      <c r="F770" s="14"/>
      <c r="G770" s="14"/>
      <c r="H770" s="131"/>
    </row>
    <row r="771">
      <c r="A771" s="3" t="b">
        <v>0</v>
      </c>
      <c r="B771" s="130"/>
      <c r="C771" s="131"/>
      <c r="D771" s="131"/>
      <c r="E771" s="131"/>
      <c r="F771" s="14"/>
      <c r="G771" s="14"/>
      <c r="H771" s="131"/>
    </row>
    <row r="772">
      <c r="A772" s="3" t="b">
        <v>0</v>
      </c>
      <c r="B772" s="130"/>
      <c r="C772" s="131"/>
      <c r="D772" s="131"/>
      <c r="E772" s="131"/>
      <c r="F772" s="14"/>
      <c r="G772" s="14"/>
      <c r="H772" s="131"/>
    </row>
    <row r="773">
      <c r="A773" s="3" t="b">
        <v>0</v>
      </c>
      <c r="B773" s="130"/>
      <c r="C773" s="131"/>
      <c r="D773" s="131"/>
      <c r="E773" s="131"/>
      <c r="F773" s="14"/>
      <c r="G773" s="14"/>
      <c r="H773" s="131"/>
    </row>
    <row r="774">
      <c r="A774" s="3" t="b">
        <v>0</v>
      </c>
      <c r="B774" s="130"/>
      <c r="C774" s="131"/>
      <c r="D774" s="131"/>
      <c r="E774" s="131"/>
      <c r="F774" s="14"/>
      <c r="G774" s="14"/>
      <c r="H774" s="131"/>
    </row>
    <row r="775">
      <c r="A775" s="3" t="b">
        <v>0</v>
      </c>
      <c r="B775" s="130"/>
      <c r="C775" s="131"/>
      <c r="D775" s="131"/>
      <c r="E775" s="131"/>
      <c r="F775" s="14"/>
      <c r="G775" s="14"/>
      <c r="H775" s="131"/>
    </row>
    <row r="776">
      <c r="A776" s="3" t="b">
        <v>0</v>
      </c>
      <c r="B776" s="130"/>
      <c r="C776" s="131"/>
      <c r="D776" s="131"/>
      <c r="E776" s="131"/>
      <c r="F776" s="14"/>
      <c r="G776" s="14"/>
      <c r="H776" s="131"/>
    </row>
    <row r="777">
      <c r="A777" s="3" t="b">
        <v>0</v>
      </c>
      <c r="B777" s="130"/>
      <c r="C777" s="131"/>
      <c r="D777" s="131"/>
      <c r="E777" s="131"/>
      <c r="F777" s="14"/>
      <c r="G777" s="14"/>
      <c r="H777" s="131"/>
    </row>
    <row r="778">
      <c r="A778" s="3" t="b">
        <v>0</v>
      </c>
      <c r="B778" s="130"/>
      <c r="C778" s="131"/>
      <c r="D778" s="131"/>
      <c r="E778" s="131"/>
      <c r="F778" s="14"/>
      <c r="G778" s="14"/>
      <c r="H778" s="131"/>
    </row>
    <row r="779">
      <c r="A779" s="3" t="b">
        <v>0</v>
      </c>
      <c r="B779" s="130"/>
      <c r="C779" s="131"/>
      <c r="D779" s="131"/>
      <c r="E779" s="131"/>
      <c r="F779" s="14"/>
      <c r="G779" s="14"/>
      <c r="H779" s="131"/>
    </row>
    <row r="780">
      <c r="A780" s="3" t="b">
        <v>0</v>
      </c>
      <c r="B780" s="130"/>
      <c r="C780" s="131"/>
      <c r="D780" s="131"/>
      <c r="E780" s="131"/>
      <c r="F780" s="14"/>
      <c r="G780" s="14"/>
      <c r="H780" s="131"/>
    </row>
    <row r="781">
      <c r="A781" s="3" t="b">
        <v>0</v>
      </c>
      <c r="B781" s="130"/>
      <c r="C781" s="131"/>
      <c r="D781" s="131"/>
      <c r="E781" s="131"/>
      <c r="F781" s="14"/>
      <c r="G781" s="14"/>
      <c r="H781" s="131"/>
    </row>
    <row r="782">
      <c r="A782" s="3" t="b">
        <v>0</v>
      </c>
      <c r="B782" s="130"/>
      <c r="C782" s="131"/>
      <c r="D782" s="131"/>
      <c r="E782" s="131"/>
      <c r="F782" s="14"/>
      <c r="G782" s="14"/>
      <c r="H782" s="131"/>
    </row>
    <row r="783">
      <c r="A783" s="3" t="b">
        <v>0</v>
      </c>
      <c r="B783" s="130"/>
      <c r="C783" s="131"/>
      <c r="D783" s="131"/>
      <c r="E783" s="131"/>
      <c r="F783" s="14"/>
      <c r="G783" s="14"/>
      <c r="H783" s="131"/>
    </row>
    <row r="784">
      <c r="A784" s="3" t="b">
        <v>0</v>
      </c>
      <c r="B784" s="130"/>
      <c r="C784" s="131"/>
      <c r="D784" s="131"/>
      <c r="E784" s="131"/>
      <c r="F784" s="14"/>
      <c r="G784" s="14"/>
      <c r="H784" s="131"/>
    </row>
    <row r="785">
      <c r="A785" s="3" t="b">
        <v>0</v>
      </c>
      <c r="B785" s="130"/>
      <c r="C785" s="131"/>
      <c r="D785" s="131"/>
      <c r="E785" s="131"/>
      <c r="F785" s="14"/>
      <c r="G785" s="14"/>
      <c r="H785" s="131"/>
    </row>
    <row r="786">
      <c r="A786" s="3" t="b">
        <v>0</v>
      </c>
      <c r="B786" s="130"/>
      <c r="C786" s="131"/>
      <c r="D786" s="131"/>
      <c r="E786" s="131"/>
      <c r="F786" s="14"/>
      <c r="G786" s="14"/>
      <c r="H786" s="131"/>
    </row>
    <row r="787">
      <c r="A787" s="3" t="b">
        <v>0</v>
      </c>
      <c r="B787" s="130"/>
      <c r="C787" s="131"/>
      <c r="D787" s="131"/>
      <c r="E787" s="131"/>
      <c r="F787" s="14"/>
      <c r="G787" s="14"/>
      <c r="H787" s="131"/>
    </row>
    <row r="788">
      <c r="A788" s="3" t="b">
        <v>0</v>
      </c>
      <c r="B788" s="130"/>
      <c r="C788" s="131"/>
      <c r="D788" s="131"/>
      <c r="E788" s="131"/>
      <c r="F788" s="14"/>
      <c r="G788" s="14"/>
      <c r="H788" s="131"/>
    </row>
    <row r="789">
      <c r="A789" s="3" t="b">
        <v>0</v>
      </c>
      <c r="B789" s="130"/>
      <c r="C789" s="131"/>
      <c r="D789" s="131"/>
      <c r="E789" s="131"/>
      <c r="F789" s="14"/>
      <c r="G789" s="14"/>
      <c r="H789" s="131"/>
    </row>
    <row r="790">
      <c r="A790" s="3" t="b">
        <v>0</v>
      </c>
      <c r="B790" s="130"/>
      <c r="C790" s="131"/>
      <c r="D790" s="131"/>
      <c r="E790" s="131"/>
      <c r="F790" s="14"/>
      <c r="G790" s="14"/>
      <c r="H790" s="131"/>
    </row>
    <row r="791">
      <c r="A791" s="3" t="b">
        <v>0</v>
      </c>
      <c r="B791" s="130"/>
      <c r="C791" s="131"/>
      <c r="D791" s="131"/>
      <c r="E791" s="131"/>
      <c r="F791" s="14"/>
      <c r="G791" s="14"/>
      <c r="H791" s="131"/>
    </row>
    <row r="792">
      <c r="A792" s="3" t="b">
        <v>0</v>
      </c>
      <c r="B792" s="130"/>
      <c r="C792" s="131"/>
      <c r="D792" s="131"/>
      <c r="E792" s="131"/>
      <c r="F792" s="14"/>
      <c r="G792" s="14"/>
      <c r="H792" s="131"/>
    </row>
    <row r="793">
      <c r="A793" s="3" t="b">
        <v>0</v>
      </c>
      <c r="B793" s="130"/>
      <c r="C793" s="131"/>
      <c r="D793" s="131"/>
      <c r="E793" s="131"/>
      <c r="F793" s="14"/>
      <c r="G793" s="14"/>
      <c r="H793" s="131"/>
    </row>
    <row r="794">
      <c r="A794" s="3" t="b">
        <v>0</v>
      </c>
      <c r="B794" s="130"/>
      <c r="C794" s="131"/>
      <c r="D794" s="131"/>
      <c r="E794" s="131"/>
      <c r="F794" s="14"/>
      <c r="G794" s="14"/>
      <c r="H794" s="131"/>
    </row>
    <row r="795">
      <c r="A795" s="3" t="b">
        <v>0</v>
      </c>
      <c r="B795" s="130"/>
      <c r="C795" s="131"/>
      <c r="D795" s="131"/>
      <c r="E795" s="131"/>
      <c r="F795" s="14"/>
      <c r="G795" s="14"/>
      <c r="H795" s="131"/>
    </row>
    <row r="796">
      <c r="A796" s="3" t="b">
        <v>0</v>
      </c>
      <c r="B796" s="130"/>
      <c r="C796" s="131"/>
      <c r="D796" s="131"/>
      <c r="E796" s="131"/>
      <c r="F796" s="14"/>
      <c r="G796" s="14"/>
      <c r="H796" s="131"/>
    </row>
    <row r="797">
      <c r="A797" s="3" t="b">
        <v>0</v>
      </c>
      <c r="B797" s="130"/>
      <c r="C797" s="131"/>
      <c r="D797" s="131"/>
      <c r="E797" s="131"/>
      <c r="F797" s="14"/>
      <c r="G797" s="14"/>
      <c r="H797" s="131"/>
    </row>
    <row r="798">
      <c r="A798" s="3" t="b">
        <v>0</v>
      </c>
      <c r="B798" s="130"/>
      <c r="C798" s="131"/>
      <c r="D798" s="131"/>
      <c r="E798" s="131"/>
      <c r="F798" s="14"/>
      <c r="G798" s="14"/>
      <c r="H798" s="131"/>
    </row>
    <row r="799">
      <c r="A799" s="3" t="b">
        <v>0</v>
      </c>
      <c r="B799" s="130"/>
      <c r="C799" s="131"/>
      <c r="D799" s="131"/>
      <c r="E799" s="131"/>
      <c r="F799" s="14"/>
      <c r="G799" s="14"/>
      <c r="H799" s="131"/>
    </row>
    <row r="800">
      <c r="A800" s="3" t="b">
        <v>0</v>
      </c>
      <c r="B800" s="130"/>
      <c r="C800" s="131"/>
      <c r="D800" s="131"/>
      <c r="E800" s="131"/>
      <c r="F800" s="14"/>
      <c r="G800" s="14"/>
      <c r="H800" s="131"/>
    </row>
    <row r="801">
      <c r="A801" s="3" t="b">
        <v>0</v>
      </c>
      <c r="B801" s="130"/>
      <c r="C801" s="131"/>
      <c r="D801" s="131"/>
      <c r="E801" s="131"/>
      <c r="F801" s="14"/>
      <c r="G801" s="14"/>
      <c r="H801" s="131"/>
    </row>
    <row r="802">
      <c r="A802" s="3" t="b">
        <v>0</v>
      </c>
      <c r="B802" s="130"/>
      <c r="C802" s="131"/>
      <c r="D802" s="131"/>
      <c r="E802" s="131"/>
      <c r="F802" s="14"/>
      <c r="G802" s="14"/>
      <c r="H802" s="131"/>
    </row>
    <row r="803">
      <c r="A803" s="3" t="b">
        <v>0</v>
      </c>
      <c r="B803" s="130"/>
      <c r="C803" s="131"/>
      <c r="D803" s="131"/>
      <c r="E803" s="131"/>
      <c r="F803" s="14"/>
      <c r="G803" s="14"/>
      <c r="H803" s="131"/>
    </row>
    <row r="804">
      <c r="A804" s="3" t="b">
        <v>0</v>
      </c>
      <c r="B804" s="130"/>
      <c r="C804" s="131"/>
      <c r="D804" s="131"/>
      <c r="E804" s="131"/>
      <c r="F804" s="14"/>
      <c r="G804" s="14"/>
      <c r="H804" s="131"/>
    </row>
    <row r="805">
      <c r="A805" s="3" t="b">
        <v>0</v>
      </c>
      <c r="B805" s="130"/>
      <c r="C805" s="131"/>
      <c r="D805" s="131"/>
      <c r="E805" s="131"/>
      <c r="F805" s="14"/>
      <c r="G805" s="14"/>
      <c r="H805" s="131"/>
    </row>
    <row r="806">
      <c r="A806" s="3" t="b">
        <v>0</v>
      </c>
      <c r="B806" s="130"/>
      <c r="C806" s="131"/>
      <c r="D806" s="131"/>
      <c r="E806" s="131"/>
      <c r="F806" s="14"/>
      <c r="G806" s="14"/>
      <c r="H806" s="131"/>
    </row>
    <row r="807">
      <c r="A807" s="3" t="b">
        <v>0</v>
      </c>
      <c r="B807" s="130"/>
      <c r="C807" s="131"/>
      <c r="D807" s="131"/>
      <c r="E807" s="131"/>
      <c r="F807" s="14"/>
      <c r="G807" s="14"/>
      <c r="H807" s="131"/>
    </row>
    <row r="808">
      <c r="A808" s="3" t="b">
        <v>0</v>
      </c>
      <c r="B808" s="130"/>
      <c r="C808" s="131"/>
      <c r="D808" s="131"/>
      <c r="E808" s="131"/>
      <c r="F808" s="14"/>
      <c r="G808" s="14"/>
      <c r="H808" s="131"/>
    </row>
    <row r="809">
      <c r="A809" s="3" t="b">
        <v>0</v>
      </c>
      <c r="B809" s="130"/>
      <c r="C809" s="131"/>
      <c r="D809" s="131"/>
      <c r="E809" s="131"/>
      <c r="F809" s="14"/>
      <c r="G809" s="14"/>
      <c r="H809" s="131"/>
    </row>
    <row r="810">
      <c r="A810" s="3" t="b">
        <v>0</v>
      </c>
      <c r="B810" s="130"/>
      <c r="C810" s="131"/>
      <c r="D810" s="131"/>
      <c r="E810" s="131"/>
      <c r="F810" s="14"/>
      <c r="G810" s="14"/>
      <c r="H810" s="131"/>
    </row>
    <row r="811">
      <c r="A811" s="3" t="b">
        <v>0</v>
      </c>
      <c r="B811" s="130"/>
      <c r="C811" s="131"/>
      <c r="D811" s="131"/>
      <c r="E811" s="131"/>
      <c r="F811" s="14"/>
      <c r="G811" s="14"/>
      <c r="H811" s="131"/>
    </row>
    <row r="812">
      <c r="A812" s="3" t="b">
        <v>0</v>
      </c>
      <c r="B812" s="130"/>
      <c r="C812" s="131"/>
      <c r="D812" s="131"/>
      <c r="E812" s="131"/>
      <c r="F812" s="14"/>
      <c r="G812" s="14"/>
      <c r="H812" s="131"/>
    </row>
    <row r="813">
      <c r="A813" s="3" t="b">
        <v>0</v>
      </c>
      <c r="B813" s="130"/>
      <c r="C813" s="131"/>
      <c r="D813" s="131"/>
      <c r="E813" s="131"/>
      <c r="F813" s="14"/>
      <c r="G813" s="14"/>
      <c r="H813" s="131"/>
    </row>
    <row r="814">
      <c r="A814" s="3" t="b">
        <v>0</v>
      </c>
      <c r="B814" s="130"/>
      <c r="C814" s="131"/>
      <c r="D814" s="131"/>
      <c r="E814" s="131"/>
      <c r="F814" s="14"/>
      <c r="G814" s="14"/>
      <c r="H814" s="131"/>
    </row>
    <row r="815">
      <c r="A815" s="3" t="b">
        <v>0</v>
      </c>
      <c r="B815" s="130"/>
      <c r="C815" s="131"/>
      <c r="D815" s="131"/>
      <c r="E815" s="131"/>
      <c r="F815" s="14"/>
      <c r="G815" s="14"/>
      <c r="H815" s="131"/>
    </row>
    <row r="816">
      <c r="A816" s="3" t="b">
        <v>0</v>
      </c>
      <c r="B816" s="130"/>
      <c r="C816" s="131"/>
      <c r="D816" s="131"/>
      <c r="E816" s="131"/>
      <c r="F816" s="14"/>
      <c r="G816" s="14"/>
      <c r="H816" s="131"/>
    </row>
    <row r="817">
      <c r="A817" s="3" t="b">
        <v>0</v>
      </c>
      <c r="B817" s="130"/>
      <c r="C817" s="131"/>
      <c r="D817" s="131"/>
      <c r="E817" s="131"/>
      <c r="F817" s="14"/>
      <c r="G817" s="14"/>
      <c r="H817" s="131"/>
    </row>
    <row r="818">
      <c r="A818" s="3" t="b">
        <v>0</v>
      </c>
      <c r="B818" s="130"/>
      <c r="C818" s="131"/>
      <c r="D818" s="131"/>
      <c r="E818" s="131"/>
      <c r="F818" s="14"/>
      <c r="G818" s="14"/>
      <c r="H818" s="131"/>
    </row>
    <row r="819">
      <c r="A819" s="3" t="b">
        <v>0</v>
      </c>
      <c r="B819" s="130"/>
      <c r="C819" s="131"/>
      <c r="D819" s="131"/>
      <c r="E819" s="131"/>
      <c r="F819" s="14"/>
      <c r="G819" s="14"/>
      <c r="H819" s="131"/>
    </row>
    <row r="820">
      <c r="A820" s="3" t="b">
        <v>0</v>
      </c>
      <c r="B820" s="130"/>
      <c r="C820" s="131"/>
      <c r="D820" s="131"/>
      <c r="E820" s="131"/>
      <c r="F820" s="14"/>
      <c r="G820" s="14"/>
      <c r="H820" s="131"/>
    </row>
    <row r="821">
      <c r="A821" s="3" t="b">
        <v>0</v>
      </c>
      <c r="B821" s="130"/>
      <c r="C821" s="131"/>
      <c r="D821" s="131"/>
      <c r="E821" s="131"/>
      <c r="F821" s="14"/>
      <c r="G821" s="14"/>
      <c r="H821" s="131"/>
    </row>
    <row r="822">
      <c r="A822" s="3" t="b">
        <v>0</v>
      </c>
      <c r="B822" s="130"/>
      <c r="C822" s="131"/>
      <c r="D822" s="131"/>
      <c r="E822" s="131"/>
      <c r="F822" s="14"/>
      <c r="G822" s="14"/>
      <c r="H822" s="131"/>
    </row>
    <row r="823">
      <c r="A823" s="3" t="b">
        <v>0</v>
      </c>
      <c r="B823" s="130"/>
      <c r="C823" s="131"/>
      <c r="D823" s="131"/>
      <c r="E823" s="131"/>
      <c r="F823" s="14"/>
      <c r="G823" s="14"/>
      <c r="H823" s="131"/>
    </row>
    <row r="824">
      <c r="A824" s="3" t="b">
        <v>0</v>
      </c>
      <c r="B824" s="130"/>
      <c r="C824" s="131"/>
      <c r="D824" s="131"/>
      <c r="E824" s="131"/>
      <c r="F824" s="14"/>
      <c r="G824" s="14"/>
      <c r="H824" s="131"/>
    </row>
    <row r="825">
      <c r="A825" s="3" t="b">
        <v>0</v>
      </c>
      <c r="B825" s="130"/>
      <c r="C825" s="131"/>
      <c r="D825" s="131"/>
      <c r="E825" s="131"/>
      <c r="F825" s="14"/>
      <c r="G825" s="14"/>
      <c r="H825" s="131"/>
    </row>
    <row r="826">
      <c r="A826" s="3" t="b">
        <v>0</v>
      </c>
      <c r="B826" s="130"/>
      <c r="C826" s="131"/>
      <c r="D826" s="131"/>
      <c r="E826" s="131"/>
      <c r="F826" s="14"/>
      <c r="G826" s="14"/>
      <c r="H826" s="131"/>
    </row>
    <row r="827">
      <c r="A827" s="3" t="b">
        <v>0</v>
      </c>
      <c r="B827" s="130"/>
      <c r="C827" s="131"/>
      <c r="D827" s="131"/>
      <c r="E827" s="131"/>
      <c r="F827" s="14"/>
      <c r="G827" s="14"/>
      <c r="H827" s="131"/>
    </row>
    <row r="828">
      <c r="A828" s="3" t="b">
        <v>0</v>
      </c>
      <c r="B828" s="130"/>
      <c r="C828" s="131"/>
      <c r="D828" s="131"/>
      <c r="E828" s="131"/>
      <c r="F828" s="14"/>
      <c r="G828" s="14"/>
      <c r="H828" s="131"/>
    </row>
    <row r="829">
      <c r="A829" s="3" t="b">
        <v>0</v>
      </c>
      <c r="B829" s="130"/>
      <c r="C829" s="131"/>
      <c r="D829" s="131"/>
      <c r="E829" s="131"/>
      <c r="F829" s="14"/>
      <c r="G829" s="14"/>
      <c r="H829" s="131"/>
    </row>
    <row r="830">
      <c r="A830" s="3" t="b">
        <v>0</v>
      </c>
      <c r="B830" s="130"/>
      <c r="C830" s="131"/>
      <c r="D830" s="131"/>
      <c r="E830" s="131"/>
      <c r="F830" s="14"/>
      <c r="G830" s="14"/>
      <c r="H830" s="131"/>
    </row>
    <row r="831">
      <c r="A831" s="3" t="b">
        <v>0</v>
      </c>
      <c r="B831" s="130"/>
      <c r="C831" s="131"/>
      <c r="D831" s="131"/>
      <c r="E831" s="131"/>
      <c r="F831" s="14"/>
      <c r="G831" s="14"/>
      <c r="H831" s="131"/>
    </row>
    <row r="832">
      <c r="A832" s="3" t="b">
        <v>0</v>
      </c>
      <c r="B832" s="130"/>
      <c r="C832" s="131"/>
      <c r="D832" s="131"/>
      <c r="E832" s="131"/>
      <c r="F832" s="14"/>
      <c r="G832" s="14"/>
      <c r="H832" s="131"/>
    </row>
    <row r="833">
      <c r="A833" s="3" t="b">
        <v>0</v>
      </c>
      <c r="B833" s="130"/>
      <c r="C833" s="131"/>
      <c r="D833" s="131"/>
      <c r="E833" s="131"/>
      <c r="F833" s="14"/>
      <c r="G833" s="14"/>
      <c r="H833" s="131"/>
    </row>
    <row r="834">
      <c r="A834" s="3" t="b">
        <v>0</v>
      </c>
      <c r="B834" s="130"/>
      <c r="C834" s="131"/>
      <c r="D834" s="131"/>
      <c r="E834" s="131"/>
      <c r="F834" s="14"/>
      <c r="G834" s="14"/>
      <c r="H834" s="131"/>
    </row>
    <row r="835">
      <c r="A835" s="3" t="b">
        <v>0</v>
      </c>
      <c r="B835" s="130"/>
      <c r="C835" s="131"/>
      <c r="D835" s="131"/>
      <c r="E835" s="131"/>
      <c r="F835" s="14"/>
      <c r="G835" s="14"/>
      <c r="H835" s="131"/>
    </row>
    <row r="836">
      <c r="A836" s="3" t="b">
        <v>0</v>
      </c>
      <c r="B836" s="130"/>
      <c r="C836" s="131"/>
      <c r="D836" s="131"/>
      <c r="E836" s="131"/>
      <c r="F836" s="14"/>
      <c r="G836" s="14"/>
      <c r="H836" s="131"/>
    </row>
    <row r="837">
      <c r="A837" s="3" t="b">
        <v>0</v>
      </c>
      <c r="B837" s="130"/>
      <c r="C837" s="131"/>
      <c r="D837" s="131"/>
      <c r="E837" s="131"/>
      <c r="F837" s="14"/>
      <c r="G837" s="14"/>
      <c r="H837" s="131"/>
    </row>
    <row r="838">
      <c r="A838" s="3" t="b">
        <v>0</v>
      </c>
      <c r="B838" s="130"/>
      <c r="C838" s="131"/>
      <c r="D838" s="131"/>
      <c r="E838" s="131"/>
      <c r="F838" s="14"/>
      <c r="G838" s="14"/>
      <c r="H838" s="131"/>
    </row>
    <row r="839">
      <c r="A839" s="3" t="b">
        <v>0</v>
      </c>
      <c r="B839" s="130"/>
      <c r="C839" s="131"/>
      <c r="D839" s="131"/>
      <c r="E839" s="131"/>
      <c r="F839" s="14"/>
      <c r="G839" s="14"/>
      <c r="H839" s="131"/>
    </row>
    <row r="840">
      <c r="A840" s="3" t="b">
        <v>0</v>
      </c>
      <c r="B840" s="130"/>
      <c r="C840" s="131"/>
      <c r="D840" s="131"/>
      <c r="E840" s="131"/>
      <c r="F840" s="14"/>
      <c r="G840" s="14"/>
      <c r="H840" s="131"/>
    </row>
    <row r="841">
      <c r="A841" s="3" t="b">
        <v>0</v>
      </c>
      <c r="B841" s="130"/>
      <c r="C841" s="131"/>
      <c r="D841" s="131"/>
      <c r="E841" s="131"/>
      <c r="F841" s="14"/>
      <c r="G841" s="14"/>
      <c r="H841" s="131"/>
    </row>
    <row r="842">
      <c r="A842" s="3" t="b">
        <v>0</v>
      </c>
      <c r="B842" s="130"/>
      <c r="C842" s="131"/>
      <c r="D842" s="131"/>
      <c r="E842" s="131"/>
      <c r="F842" s="14"/>
      <c r="G842" s="14"/>
      <c r="H842" s="131"/>
    </row>
    <row r="843">
      <c r="A843" s="3" t="b">
        <v>0</v>
      </c>
      <c r="B843" s="130"/>
      <c r="C843" s="131"/>
      <c r="D843" s="131"/>
      <c r="E843" s="131"/>
      <c r="F843" s="14"/>
      <c r="G843" s="14"/>
      <c r="H843" s="131"/>
    </row>
    <row r="844">
      <c r="A844" s="3" t="b">
        <v>0</v>
      </c>
      <c r="B844" s="130"/>
      <c r="C844" s="131"/>
      <c r="D844" s="131"/>
      <c r="E844" s="131"/>
      <c r="F844" s="14"/>
      <c r="G844" s="14"/>
      <c r="H844" s="131"/>
    </row>
    <row r="845">
      <c r="A845" s="3" t="b">
        <v>0</v>
      </c>
      <c r="B845" s="130"/>
      <c r="C845" s="131"/>
      <c r="D845" s="131"/>
      <c r="E845" s="131"/>
      <c r="F845" s="14"/>
      <c r="G845" s="14"/>
      <c r="H845" s="131"/>
    </row>
    <row r="846">
      <c r="A846" s="3" t="b">
        <v>0</v>
      </c>
      <c r="B846" s="130"/>
      <c r="C846" s="131"/>
      <c r="D846" s="131"/>
      <c r="E846" s="131"/>
      <c r="F846" s="14"/>
      <c r="G846" s="14"/>
      <c r="H846" s="131"/>
    </row>
    <row r="847">
      <c r="A847" s="3" t="b">
        <v>0</v>
      </c>
      <c r="B847" s="130"/>
      <c r="C847" s="131"/>
      <c r="D847" s="131"/>
      <c r="E847" s="131"/>
      <c r="F847" s="14"/>
      <c r="G847" s="14"/>
      <c r="H847" s="131"/>
    </row>
    <row r="848">
      <c r="A848" s="3" t="b">
        <v>0</v>
      </c>
      <c r="B848" s="130"/>
      <c r="C848" s="131"/>
      <c r="D848" s="131"/>
      <c r="E848" s="131"/>
      <c r="F848" s="14"/>
      <c r="G848" s="14"/>
      <c r="H848" s="131"/>
    </row>
    <row r="849">
      <c r="A849" s="3" t="b">
        <v>0</v>
      </c>
      <c r="B849" s="130"/>
      <c r="C849" s="131"/>
      <c r="D849" s="131"/>
      <c r="E849" s="131"/>
      <c r="F849" s="14"/>
      <c r="G849" s="14"/>
      <c r="H849" s="131"/>
    </row>
    <row r="850">
      <c r="A850" s="3" t="b">
        <v>0</v>
      </c>
      <c r="B850" s="130"/>
      <c r="C850" s="131"/>
      <c r="D850" s="131"/>
      <c r="E850" s="131"/>
      <c r="F850" s="14"/>
      <c r="G850" s="14"/>
      <c r="H850" s="131"/>
    </row>
    <row r="851">
      <c r="A851" s="3" t="b">
        <v>0</v>
      </c>
      <c r="B851" s="130"/>
      <c r="C851" s="131"/>
      <c r="D851" s="131"/>
      <c r="E851" s="131"/>
      <c r="F851" s="14"/>
      <c r="G851" s="14"/>
      <c r="H851" s="131"/>
    </row>
    <row r="852">
      <c r="A852" s="3" t="b">
        <v>0</v>
      </c>
      <c r="B852" s="130"/>
      <c r="C852" s="131"/>
      <c r="D852" s="131"/>
      <c r="E852" s="131"/>
      <c r="F852" s="14"/>
      <c r="G852" s="14"/>
      <c r="H852" s="131"/>
    </row>
    <row r="853">
      <c r="A853" s="3" t="b">
        <v>0</v>
      </c>
      <c r="B853" s="130"/>
      <c r="C853" s="131"/>
      <c r="D853" s="131"/>
      <c r="E853" s="131"/>
      <c r="F853" s="14"/>
      <c r="G853" s="14"/>
      <c r="H853" s="131"/>
    </row>
    <row r="854">
      <c r="A854" s="3" t="b">
        <v>0</v>
      </c>
      <c r="B854" s="130"/>
      <c r="C854" s="131"/>
      <c r="D854" s="131"/>
      <c r="E854" s="131"/>
      <c r="F854" s="14"/>
      <c r="G854" s="14"/>
      <c r="H854" s="131"/>
    </row>
    <row r="855">
      <c r="A855" s="3" t="b">
        <v>0</v>
      </c>
      <c r="B855" s="130"/>
      <c r="C855" s="131"/>
      <c r="D855" s="131"/>
      <c r="E855" s="131"/>
      <c r="F855" s="14"/>
      <c r="G855" s="14"/>
      <c r="H855" s="131"/>
    </row>
    <row r="856">
      <c r="A856" s="3" t="b">
        <v>0</v>
      </c>
      <c r="B856" s="130"/>
      <c r="C856" s="131"/>
      <c r="D856" s="131"/>
      <c r="E856" s="131"/>
      <c r="F856" s="14"/>
      <c r="G856" s="14"/>
      <c r="H856" s="131"/>
    </row>
    <row r="857">
      <c r="A857" s="3" t="b">
        <v>0</v>
      </c>
      <c r="B857" s="130"/>
      <c r="C857" s="131"/>
      <c r="D857" s="131"/>
      <c r="E857" s="131"/>
      <c r="F857" s="14"/>
      <c r="G857" s="14"/>
      <c r="H857" s="131"/>
    </row>
    <row r="858">
      <c r="A858" s="3" t="b">
        <v>0</v>
      </c>
      <c r="B858" s="130"/>
      <c r="C858" s="131"/>
      <c r="D858" s="131"/>
      <c r="E858" s="131"/>
      <c r="F858" s="14"/>
      <c r="G858" s="14"/>
      <c r="H858" s="131"/>
    </row>
    <row r="859">
      <c r="A859" s="3" t="b">
        <v>0</v>
      </c>
      <c r="B859" s="130"/>
      <c r="C859" s="131"/>
      <c r="D859" s="131"/>
      <c r="E859" s="131"/>
      <c r="F859" s="14"/>
      <c r="G859" s="14"/>
      <c r="H859" s="131"/>
    </row>
    <row r="860">
      <c r="A860" s="3" t="b">
        <v>0</v>
      </c>
      <c r="B860" s="130"/>
      <c r="C860" s="131"/>
      <c r="D860" s="131"/>
      <c r="E860" s="131"/>
      <c r="F860" s="14"/>
      <c r="G860" s="14"/>
      <c r="H860" s="131"/>
    </row>
    <row r="861">
      <c r="A861" s="3" t="b">
        <v>0</v>
      </c>
      <c r="B861" s="130"/>
      <c r="C861" s="131"/>
      <c r="D861" s="131"/>
      <c r="E861" s="131"/>
      <c r="F861" s="14"/>
      <c r="G861" s="14"/>
      <c r="H861" s="131"/>
    </row>
    <row r="862">
      <c r="A862" s="3" t="b">
        <v>0</v>
      </c>
      <c r="B862" s="130"/>
      <c r="C862" s="131"/>
      <c r="D862" s="131"/>
      <c r="E862" s="131"/>
      <c r="F862" s="14"/>
      <c r="G862" s="14"/>
      <c r="H862" s="131"/>
    </row>
    <row r="863">
      <c r="A863" s="3" t="b">
        <v>0</v>
      </c>
      <c r="B863" s="130"/>
      <c r="C863" s="131"/>
      <c r="D863" s="131"/>
      <c r="E863" s="131"/>
      <c r="F863" s="14"/>
      <c r="G863" s="14"/>
      <c r="H863" s="131"/>
    </row>
    <row r="864">
      <c r="A864" s="3" t="b">
        <v>0</v>
      </c>
      <c r="B864" s="130"/>
      <c r="C864" s="131"/>
      <c r="D864" s="131"/>
      <c r="E864" s="131"/>
      <c r="F864" s="14"/>
      <c r="G864" s="14"/>
      <c r="H864" s="131"/>
    </row>
    <row r="865">
      <c r="A865" s="3" t="b">
        <v>0</v>
      </c>
      <c r="B865" s="130"/>
      <c r="C865" s="131"/>
      <c r="D865" s="131"/>
      <c r="E865" s="131"/>
      <c r="F865" s="14"/>
      <c r="G865" s="14"/>
      <c r="H865" s="131"/>
    </row>
    <row r="866">
      <c r="A866" s="3" t="b">
        <v>0</v>
      </c>
      <c r="B866" s="130"/>
      <c r="C866" s="131"/>
      <c r="D866" s="131"/>
      <c r="E866" s="131"/>
      <c r="F866" s="14"/>
      <c r="G866" s="14"/>
      <c r="H866" s="131"/>
    </row>
    <row r="867">
      <c r="A867" s="3" t="b">
        <v>0</v>
      </c>
      <c r="B867" s="130"/>
      <c r="C867" s="131"/>
      <c r="D867" s="131"/>
      <c r="E867" s="131"/>
      <c r="F867" s="14"/>
      <c r="G867" s="14"/>
      <c r="H867" s="131"/>
    </row>
    <row r="868">
      <c r="A868" s="3" t="b">
        <v>0</v>
      </c>
      <c r="B868" s="130"/>
      <c r="C868" s="131"/>
      <c r="D868" s="131"/>
      <c r="E868" s="131"/>
      <c r="F868" s="14"/>
      <c r="G868" s="14"/>
      <c r="H868" s="131"/>
    </row>
    <row r="869">
      <c r="A869" s="3" t="b">
        <v>0</v>
      </c>
      <c r="B869" s="130"/>
      <c r="C869" s="131"/>
      <c r="D869" s="131"/>
      <c r="E869" s="131"/>
      <c r="F869" s="14"/>
      <c r="G869" s="14"/>
      <c r="H869" s="131"/>
    </row>
    <row r="870">
      <c r="A870" s="3" t="b">
        <v>0</v>
      </c>
      <c r="B870" s="130"/>
      <c r="C870" s="131"/>
      <c r="D870" s="131"/>
      <c r="E870" s="131"/>
      <c r="F870" s="14"/>
      <c r="G870" s="14"/>
      <c r="H870" s="131"/>
    </row>
    <row r="871">
      <c r="A871" s="3" t="b">
        <v>0</v>
      </c>
      <c r="B871" s="130"/>
      <c r="C871" s="131"/>
      <c r="D871" s="131"/>
      <c r="E871" s="131"/>
      <c r="F871" s="14"/>
      <c r="G871" s="14"/>
      <c r="H871" s="131"/>
    </row>
    <row r="872">
      <c r="A872" s="3" t="b">
        <v>0</v>
      </c>
      <c r="B872" s="130"/>
      <c r="C872" s="131"/>
      <c r="D872" s="131"/>
      <c r="E872" s="131"/>
      <c r="F872" s="14"/>
      <c r="G872" s="14"/>
      <c r="H872" s="131"/>
    </row>
    <row r="873">
      <c r="A873" s="3" t="b">
        <v>0</v>
      </c>
      <c r="B873" s="130"/>
      <c r="C873" s="131"/>
      <c r="D873" s="131"/>
      <c r="E873" s="131"/>
      <c r="F873" s="14"/>
      <c r="G873" s="14"/>
      <c r="H873" s="131"/>
    </row>
    <row r="874">
      <c r="A874" s="3" t="b">
        <v>0</v>
      </c>
      <c r="B874" s="130"/>
      <c r="C874" s="131"/>
      <c r="D874" s="131"/>
      <c r="E874" s="131"/>
      <c r="F874" s="14"/>
      <c r="G874" s="14"/>
      <c r="H874" s="131"/>
    </row>
    <row r="875">
      <c r="A875" s="3" t="b">
        <v>0</v>
      </c>
      <c r="B875" s="130"/>
      <c r="C875" s="131"/>
      <c r="D875" s="131"/>
      <c r="E875" s="131"/>
      <c r="F875" s="14"/>
      <c r="G875" s="14"/>
      <c r="H875" s="131"/>
    </row>
    <row r="876">
      <c r="A876" s="3" t="b">
        <v>0</v>
      </c>
      <c r="B876" s="130"/>
      <c r="C876" s="131"/>
      <c r="D876" s="131"/>
      <c r="E876" s="131"/>
      <c r="F876" s="14"/>
      <c r="G876" s="14"/>
      <c r="H876" s="131"/>
    </row>
    <row r="877">
      <c r="A877" s="3" t="b">
        <v>0</v>
      </c>
      <c r="B877" s="130"/>
      <c r="C877" s="131"/>
      <c r="D877" s="131"/>
      <c r="E877" s="131"/>
      <c r="F877" s="14"/>
      <c r="G877" s="14"/>
      <c r="H877" s="131"/>
    </row>
    <row r="878">
      <c r="A878" s="3" t="b">
        <v>0</v>
      </c>
      <c r="B878" s="130"/>
      <c r="C878" s="131"/>
      <c r="D878" s="131"/>
      <c r="E878" s="131"/>
      <c r="F878" s="14"/>
      <c r="G878" s="14"/>
      <c r="H878" s="131"/>
    </row>
    <row r="879">
      <c r="A879" s="3" t="b">
        <v>0</v>
      </c>
      <c r="B879" s="130"/>
      <c r="C879" s="131"/>
      <c r="D879" s="131"/>
      <c r="E879" s="131"/>
      <c r="F879" s="14"/>
      <c r="G879" s="14"/>
      <c r="H879" s="131"/>
    </row>
    <row r="880">
      <c r="A880" s="3" t="b">
        <v>0</v>
      </c>
      <c r="B880" s="130"/>
      <c r="C880" s="131"/>
      <c r="D880" s="131"/>
      <c r="E880" s="131"/>
      <c r="F880" s="14"/>
      <c r="G880" s="14"/>
      <c r="H880" s="131"/>
    </row>
    <row r="881">
      <c r="A881" s="3" t="b">
        <v>0</v>
      </c>
      <c r="B881" s="130"/>
      <c r="C881" s="131"/>
      <c r="D881" s="131"/>
      <c r="E881" s="131"/>
      <c r="F881" s="14"/>
      <c r="G881" s="14"/>
      <c r="H881" s="131"/>
    </row>
    <row r="882">
      <c r="A882" s="3" t="b">
        <v>0</v>
      </c>
      <c r="B882" s="130"/>
      <c r="C882" s="131"/>
      <c r="D882" s="131"/>
      <c r="E882" s="131"/>
      <c r="F882" s="14"/>
      <c r="G882" s="14"/>
      <c r="H882" s="131"/>
    </row>
    <row r="883">
      <c r="A883" s="3" t="b">
        <v>0</v>
      </c>
      <c r="B883" s="130"/>
      <c r="C883" s="131"/>
      <c r="D883" s="131"/>
      <c r="E883" s="131"/>
      <c r="F883" s="14"/>
      <c r="G883" s="14"/>
      <c r="H883" s="131"/>
    </row>
    <row r="884">
      <c r="A884" s="3" t="b">
        <v>0</v>
      </c>
      <c r="B884" s="130"/>
      <c r="C884" s="131"/>
      <c r="D884" s="131"/>
      <c r="E884" s="131"/>
      <c r="F884" s="14"/>
      <c r="G884" s="14"/>
      <c r="H884" s="131"/>
    </row>
    <row r="885">
      <c r="A885" s="3" t="b">
        <v>0</v>
      </c>
      <c r="B885" s="130"/>
      <c r="C885" s="131"/>
      <c r="D885" s="131"/>
      <c r="E885" s="131"/>
      <c r="F885" s="14"/>
      <c r="G885" s="14"/>
      <c r="H885" s="131"/>
    </row>
    <row r="886">
      <c r="A886" s="3" t="b">
        <v>0</v>
      </c>
      <c r="B886" s="130"/>
      <c r="C886" s="131"/>
      <c r="D886" s="131"/>
      <c r="E886" s="131"/>
      <c r="F886" s="14"/>
      <c r="G886" s="14"/>
      <c r="H886" s="131"/>
    </row>
    <row r="887">
      <c r="A887" s="3" t="b">
        <v>0</v>
      </c>
      <c r="B887" s="130"/>
      <c r="C887" s="131"/>
      <c r="D887" s="131"/>
      <c r="E887" s="131"/>
      <c r="F887" s="14"/>
      <c r="G887" s="14"/>
      <c r="H887" s="131"/>
    </row>
    <row r="888">
      <c r="A888" s="3" t="b">
        <v>0</v>
      </c>
      <c r="B888" s="130"/>
      <c r="C888" s="131"/>
      <c r="D888" s="131"/>
      <c r="E888" s="131"/>
      <c r="F888" s="14"/>
      <c r="G888" s="14"/>
      <c r="H888" s="131"/>
    </row>
    <row r="889">
      <c r="A889" s="3" t="b">
        <v>0</v>
      </c>
      <c r="B889" s="130"/>
      <c r="C889" s="131"/>
      <c r="D889" s="131"/>
      <c r="E889" s="131"/>
      <c r="F889" s="14"/>
      <c r="G889" s="14"/>
      <c r="H889" s="131"/>
    </row>
    <row r="890">
      <c r="A890" s="3" t="b">
        <v>0</v>
      </c>
      <c r="B890" s="130"/>
      <c r="C890" s="131"/>
      <c r="D890" s="131"/>
      <c r="E890" s="131"/>
      <c r="F890" s="14"/>
      <c r="G890" s="14"/>
      <c r="H890" s="131"/>
    </row>
    <row r="891">
      <c r="A891" s="3" t="b">
        <v>0</v>
      </c>
      <c r="B891" s="130"/>
      <c r="C891" s="131"/>
      <c r="D891" s="131"/>
      <c r="E891" s="131"/>
      <c r="F891" s="14"/>
      <c r="G891" s="14"/>
      <c r="H891" s="131"/>
    </row>
    <row r="892">
      <c r="A892" s="3" t="b">
        <v>0</v>
      </c>
      <c r="B892" s="130"/>
      <c r="C892" s="131"/>
      <c r="D892" s="131"/>
      <c r="E892" s="131"/>
      <c r="F892" s="14"/>
      <c r="G892" s="14"/>
      <c r="H892" s="131"/>
    </row>
    <row r="893">
      <c r="A893" s="3" t="b">
        <v>0</v>
      </c>
      <c r="B893" s="130"/>
      <c r="C893" s="131"/>
      <c r="D893" s="131"/>
      <c r="E893" s="131"/>
      <c r="F893" s="14"/>
      <c r="G893" s="14"/>
      <c r="H893" s="131"/>
    </row>
    <row r="894">
      <c r="A894" s="3" t="b">
        <v>0</v>
      </c>
      <c r="B894" s="130"/>
      <c r="C894" s="131"/>
      <c r="D894" s="131"/>
      <c r="E894" s="131"/>
      <c r="F894" s="14"/>
      <c r="G894" s="14"/>
      <c r="H894" s="131"/>
    </row>
    <row r="895">
      <c r="A895" s="3" t="b">
        <v>0</v>
      </c>
      <c r="B895" s="130"/>
      <c r="C895" s="131"/>
      <c r="D895" s="131"/>
      <c r="E895" s="131"/>
      <c r="F895" s="14"/>
      <c r="G895" s="14"/>
      <c r="H895" s="131"/>
    </row>
    <row r="896">
      <c r="A896" s="3" t="b">
        <v>0</v>
      </c>
      <c r="B896" s="130"/>
      <c r="C896" s="131"/>
      <c r="D896" s="131"/>
      <c r="E896" s="131"/>
      <c r="F896" s="14"/>
      <c r="G896" s="14"/>
      <c r="H896" s="131"/>
    </row>
    <row r="897">
      <c r="A897" s="3" t="b">
        <v>0</v>
      </c>
      <c r="B897" s="130"/>
      <c r="C897" s="131"/>
      <c r="D897" s="131"/>
      <c r="E897" s="131"/>
      <c r="F897" s="14"/>
      <c r="G897" s="14"/>
      <c r="H897" s="131"/>
    </row>
    <row r="898">
      <c r="A898" s="3" t="b">
        <v>0</v>
      </c>
      <c r="B898" s="130"/>
      <c r="C898" s="131"/>
      <c r="D898" s="131"/>
      <c r="E898" s="131"/>
      <c r="F898" s="14"/>
      <c r="G898" s="14"/>
      <c r="H898" s="131"/>
    </row>
    <row r="899">
      <c r="A899" s="3" t="b">
        <v>0</v>
      </c>
      <c r="B899" s="130"/>
      <c r="C899" s="131"/>
      <c r="D899" s="131"/>
      <c r="E899" s="131"/>
      <c r="F899" s="14"/>
      <c r="G899" s="14"/>
      <c r="H899" s="131"/>
    </row>
    <row r="900">
      <c r="A900" s="3" t="b">
        <v>0</v>
      </c>
      <c r="B900" s="130"/>
      <c r="C900" s="131"/>
      <c r="D900" s="131"/>
      <c r="E900" s="131"/>
      <c r="F900" s="14"/>
      <c r="G900" s="14"/>
      <c r="H900" s="131"/>
    </row>
    <row r="901">
      <c r="A901" s="3" t="b">
        <v>0</v>
      </c>
      <c r="B901" s="130"/>
      <c r="C901" s="131"/>
      <c r="D901" s="131"/>
      <c r="E901" s="131"/>
      <c r="F901" s="14"/>
      <c r="G901" s="14"/>
      <c r="H901" s="131"/>
    </row>
    <row r="902">
      <c r="A902" s="3" t="b">
        <v>0</v>
      </c>
      <c r="B902" s="130"/>
      <c r="C902" s="131"/>
      <c r="D902" s="131"/>
      <c r="E902" s="131"/>
      <c r="F902" s="14"/>
      <c r="G902" s="14"/>
      <c r="H902" s="131"/>
    </row>
    <row r="903">
      <c r="A903" s="3" t="b">
        <v>0</v>
      </c>
      <c r="B903" s="130"/>
      <c r="C903" s="131"/>
      <c r="D903" s="131"/>
      <c r="E903" s="131"/>
      <c r="F903" s="14"/>
      <c r="G903" s="14"/>
      <c r="H903" s="131"/>
    </row>
    <row r="904">
      <c r="A904" s="3" t="b">
        <v>0</v>
      </c>
      <c r="B904" s="130"/>
      <c r="C904" s="131"/>
      <c r="D904" s="131"/>
      <c r="E904" s="131"/>
      <c r="F904" s="14"/>
      <c r="G904" s="14"/>
      <c r="H904" s="131"/>
    </row>
    <row r="905">
      <c r="A905" s="3" t="b">
        <v>0</v>
      </c>
      <c r="B905" s="130"/>
      <c r="C905" s="131"/>
      <c r="D905" s="131"/>
      <c r="E905" s="131"/>
      <c r="F905" s="14"/>
      <c r="G905" s="14"/>
      <c r="H905" s="131"/>
    </row>
    <row r="906">
      <c r="A906" s="3" t="b">
        <v>0</v>
      </c>
      <c r="B906" s="130"/>
      <c r="C906" s="131"/>
      <c r="D906" s="131"/>
      <c r="E906" s="131"/>
      <c r="F906" s="14"/>
      <c r="G906" s="14"/>
      <c r="H906" s="131"/>
    </row>
    <row r="907">
      <c r="A907" s="3" t="b">
        <v>0</v>
      </c>
      <c r="B907" s="130"/>
      <c r="C907" s="131"/>
      <c r="D907" s="131"/>
      <c r="E907" s="131"/>
      <c r="F907" s="14"/>
      <c r="G907" s="14"/>
      <c r="H907" s="131"/>
    </row>
    <row r="908">
      <c r="A908" s="3" t="b">
        <v>0</v>
      </c>
      <c r="B908" s="130"/>
      <c r="C908" s="131"/>
      <c r="D908" s="131"/>
      <c r="E908" s="131"/>
      <c r="F908" s="14"/>
      <c r="G908" s="14"/>
      <c r="H908" s="131"/>
    </row>
    <row r="909">
      <c r="A909" s="3" t="b">
        <v>0</v>
      </c>
      <c r="B909" s="130"/>
      <c r="C909" s="131"/>
      <c r="D909" s="131"/>
      <c r="E909" s="131"/>
      <c r="F909" s="14"/>
      <c r="G909" s="14"/>
      <c r="H909" s="131"/>
    </row>
    <row r="910">
      <c r="A910" s="3" t="b">
        <v>0</v>
      </c>
      <c r="B910" s="130"/>
      <c r="C910" s="131"/>
      <c r="D910" s="131"/>
      <c r="E910" s="131"/>
      <c r="F910" s="14"/>
      <c r="G910" s="14"/>
      <c r="H910" s="131"/>
    </row>
    <row r="911">
      <c r="A911" s="3" t="b">
        <v>0</v>
      </c>
      <c r="B911" s="130"/>
      <c r="C911" s="131"/>
      <c r="D911" s="131"/>
      <c r="E911" s="131"/>
      <c r="F911" s="14"/>
      <c r="G911" s="14"/>
      <c r="H911" s="131"/>
    </row>
    <row r="912">
      <c r="A912" s="3" t="b">
        <v>0</v>
      </c>
      <c r="B912" s="130"/>
      <c r="C912" s="131"/>
      <c r="D912" s="131"/>
      <c r="E912" s="131"/>
      <c r="F912" s="14"/>
      <c r="G912" s="14"/>
      <c r="H912" s="131"/>
    </row>
    <row r="913">
      <c r="A913" s="3" t="b">
        <v>0</v>
      </c>
      <c r="B913" s="130"/>
      <c r="C913" s="131"/>
      <c r="D913" s="131"/>
      <c r="E913" s="131"/>
      <c r="F913" s="14"/>
      <c r="G913" s="14"/>
      <c r="H913" s="131"/>
    </row>
    <row r="914">
      <c r="A914" s="3" t="b">
        <v>0</v>
      </c>
      <c r="B914" s="130"/>
      <c r="C914" s="131"/>
      <c r="D914" s="131"/>
      <c r="E914" s="131"/>
      <c r="F914" s="14"/>
      <c r="G914" s="14"/>
      <c r="H914" s="131"/>
    </row>
    <row r="915">
      <c r="A915" s="3" t="b">
        <v>0</v>
      </c>
      <c r="B915" s="130"/>
      <c r="C915" s="131"/>
      <c r="D915" s="131"/>
      <c r="E915" s="131"/>
      <c r="F915" s="14"/>
      <c r="G915" s="14"/>
      <c r="H915" s="131"/>
    </row>
    <row r="916">
      <c r="A916" s="3" t="b">
        <v>0</v>
      </c>
      <c r="B916" s="130"/>
      <c r="C916" s="131"/>
      <c r="D916" s="131"/>
      <c r="E916" s="131"/>
      <c r="F916" s="14"/>
      <c r="G916" s="14"/>
      <c r="H916" s="131"/>
    </row>
    <row r="917">
      <c r="A917" s="3" t="b">
        <v>0</v>
      </c>
      <c r="B917" s="130"/>
      <c r="C917" s="131"/>
      <c r="D917" s="131"/>
      <c r="E917" s="131"/>
      <c r="F917" s="14"/>
      <c r="G917" s="14"/>
      <c r="H917" s="131"/>
    </row>
    <row r="918">
      <c r="A918" s="3" t="b">
        <v>0</v>
      </c>
      <c r="B918" s="130"/>
      <c r="C918" s="131"/>
      <c r="D918" s="131"/>
      <c r="E918" s="131"/>
      <c r="F918" s="14"/>
      <c r="G918" s="14"/>
      <c r="H918" s="131"/>
    </row>
    <row r="919">
      <c r="A919" s="3" t="b">
        <v>0</v>
      </c>
      <c r="B919" s="130"/>
      <c r="C919" s="131"/>
      <c r="D919" s="131"/>
      <c r="E919" s="131"/>
      <c r="F919" s="14"/>
      <c r="G919" s="14"/>
      <c r="H919" s="131"/>
    </row>
    <row r="920">
      <c r="A920" s="3" t="b">
        <v>0</v>
      </c>
      <c r="B920" s="130"/>
      <c r="C920" s="131"/>
      <c r="D920" s="131"/>
      <c r="E920" s="131"/>
      <c r="F920" s="14"/>
      <c r="G920" s="14"/>
      <c r="H920" s="131"/>
    </row>
    <row r="921">
      <c r="A921" s="3" t="b">
        <v>0</v>
      </c>
      <c r="B921" s="130"/>
      <c r="C921" s="131"/>
      <c r="D921" s="131"/>
      <c r="E921" s="131"/>
      <c r="F921" s="14"/>
      <c r="G921" s="14"/>
      <c r="H921" s="131"/>
    </row>
    <row r="922">
      <c r="A922" s="3" t="b">
        <v>0</v>
      </c>
      <c r="B922" s="130"/>
      <c r="C922" s="131"/>
      <c r="D922" s="131"/>
      <c r="E922" s="131"/>
      <c r="F922" s="14"/>
      <c r="G922" s="14"/>
      <c r="H922" s="131"/>
    </row>
    <row r="923">
      <c r="A923" s="3" t="b">
        <v>0</v>
      </c>
      <c r="B923" s="130"/>
      <c r="C923" s="131"/>
      <c r="D923" s="131"/>
      <c r="E923" s="131"/>
      <c r="F923" s="14"/>
      <c r="G923" s="14"/>
      <c r="H923" s="131"/>
    </row>
    <row r="924">
      <c r="A924" s="3" t="b">
        <v>0</v>
      </c>
      <c r="B924" s="130"/>
      <c r="C924" s="131"/>
      <c r="D924" s="131"/>
      <c r="E924" s="131"/>
      <c r="F924" s="14"/>
      <c r="G924" s="14"/>
      <c r="H924" s="131"/>
    </row>
    <row r="925">
      <c r="A925" s="3" t="b">
        <v>0</v>
      </c>
      <c r="B925" s="130"/>
      <c r="C925" s="131"/>
      <c r="D925" s="131"/>
      <c r="E925" s="131"/>
      <c r="F925" s="14"/>
      <c r="G925" s="14"/>
      <c r="H925" s="131"/>
    </row>
    <row r="926">
      <c r="A926" s="3" t="b">
        <v>0</v>
      </c>
      <c r="B926" s="130"/>
      <c r="C926" s="131"/>
      <c r="D926" s="131"/>
      <c r="E926" s="131"/>
      <c r="F926" s="14"/>
      <c r="G926" s="14"/>
      <c r="H926" s="131"/>
    </row>
    <row r="927">
      <c r="A927" s="3" t="b">
        <v>0</v>
      </c>
      <c r="B927" s="130"/>
      <c r="C927" s="131"/>
      <c r="D927" s="131"/>
      <c r="E927" s="131"/>
      <c r="F927" s="14"/>
      <c r="G927" s="14"/>
      <c r="H927" s="131"/>
    </row>
    <row r="928">
      <c r="A928" s="3" t="b">
        <v>0</v>
      </c>
      <c r="B928" s="130"/>
      <c r="C928" s="131"/>
      <c r="D928" s="131"/>
      <c r="E928" s="131"/>
      <c r="F928" s="14"/>
      <c r="G928" s="14"/>
      <c r="H928" s="131"/>
    </row>
    <row r="929">
      <c r="A929" s="3" t="b">
        <v>0</v>
      </c>
      <c r="B929" s="130"/>
      <c r="C929" s="131"/>
      <c r="D929" s="131"/>
      <c r="E929" s="131"/>
      <c r="F929" s="14"/>
      <c r="G929" s="14"/>
      <c r="H929" s="131"/>
    </row>
    <row r="930">
      <c r="A930" s="3" t="b">
        <v>0</v>
      </c>
      <c r="B930" s="130"/>
      <c r="C930" s="131"/>
      <c r="D930" s="131"/>
      <c r="E930" s="131"/>
      <c r="F930" s="14"/>
      <c r="G930" s="14"/>
      <c r="H930" s="131"/>
    </row>
    <row r="931">
      <c r="A931" s="3" t="b">
        <v>0</v>
      </c>
      <c r="B931" s="130"/>
      <c r="C931" s="131"/>
      <c r="D931" s="131"/>
      <c r="E931" s="131"/>
      <c r="F931" s="14"/>
      <c r="G931" s="14"/>
      <c r="H931" s="131"/>
    </row>
    <row r="932">
      <c r="A932" s="3" t="b">
        <v>0</v>
      </c>
      <c r="B932" s="130"/>
      <c r="C932" s="131"/>
      <c r="D932" s="131"/>
      <c r="E932" s="131"/>
      <c r="F932" s="14"/>
      <c r="G932" s="14"/>
      <c r="H932" s="131"/>
    </row>
    <row r="933">
      <c r="A933" s="3" t="b">
        <v>0</v>
      </c>
      <c r="B933" s="130"/>
      <c r="C933" s="131"/>
      <c r="D933" s="131"/>
      <c r="E933" s="131"/>
      <c r="F933" s="14"/>
      <c r="G933" s="14"/>
      <c r="H933" s="131"/>
    </row>
    <row r="934">
      <c r="A934" s="3" t="b">
        <v>0</v>
      </c>
      <c r="B934" s="130"/>
      <c r="C934" s="131"/>
      <c r="D934" s="131"/>
      <c r="E934" s="131"/>
      <c r="F934" s="14"/>
      <c r="G934" s="14"/>
      <c r="H934" s="131"/>
    </row>
    <row r="935">
      <c r="A935" s="3" t="b">
        <v>0</v>
      </c>
      <c r="B935" s="130"/>
      <c r="C935" s="131"/>
      <c r="D935" s="131"/>
      <c r="E935" s="131"/>
      <c r="F935" s="14"/>
      <c r="G935" s="14"/>
      <c r="H935" s="131"/>
    </row>
    <row r="936">
      <c r="A936" s="3" t="b">
        <v>0</v>
      </c>
      <c r="B936" s="130"/>
      <c r="C936" s="131"/>
      <c r="D936" s="131"/>
      <c r="E936" s="131"/>
      <c r="F936" s="14"/>
      <c r="G936" s="14"/>
      <c r="H936" s="131"/>
    </row>
    <row r="937">
      <c r="A937" s="3" t="b">
        <v>0</v>
      </c>
      <c r="B937" s="130"/>
      <c r="C937" s="131"/>
      <c r="D937" s="131"/>
      <c r="E937" s="131"/>
      <c r="F937" s="14"/>
      <c r="G937" s="14"/>
      <c r="H937" s="131"/>
    </row>
    <row r="938">
      <c r="A938" s="3" t="b">
        <v>0</v>
      </c>
      <c r="B938" s="130"/>
      <c r="C938" s="131"/>
      <c r="D938" s="131"/>
      <c r="E938" s="131"/>
      <c r="F938" s="14"/>
      <c r="G938" s="14"/>
      <c r="H938" s="131"/>
    </row>
    <row r="939">
      <c r="A939" s="3" t="b">
        <v>0</v>
      </c>
      <c r="B939" s="130"/>
      <c r="C939" s="131"/>
      <c r="D939" s="131"/>
      <c r="E939" s="131"/>
      <c r="F939" s="14"/>
      <c r="G939" s="14"/>
      <c r="H939" s="131"/>
    </row>
    <row r="940">
      <c r="A940" s="3" t="b">
        <v>0</v>
      </c>
      <c r="B940" s="130"/>
      <c r="C940" s="131"/>
      <c r="D940" s="131"/>
      <c r="E940" s="131"/>
      <c r="F940" s="14"/>
      <c r="G940" s="14"/>
      <c r="H940" s="131"/>
    </row>
    <row r="941">
      <c r="A941" s="3" t="b">
        <v>0</v>
      </c>
      <c r="B941" s="130"/>
      <c r="C941" s="131"/>
      <c r="D941" s="131"/>
      <c r="E941" s="131"/>
      <c r="F941" s="14"/>
      <c r="G941" s="14"/>
      <c r="H941" s="131"/>
    </row>
    <row r="942">
      <c r="A942" s="3" t="b">
        <v>0</v>
      </c>
      <c r="B942" s="130"/>
      <c r="C942" s="131"/>
      <c r="D942" s="131"/>
      <c r="E942" s="131"/>
      <c r="F942" s="14"/>
      <c r="G942" s="14"/>
      <c r="H942" s="131"/>
    </row>
    <row r="943">
      <c r="A943" s="3" t="b">
        <v>0</v>
      </c>
      <c r="B943" s="130"/>
      <c r="C943" s="131"/>
      <c r="D943" s="131"/>
      <c r="E943" s="131"/>
      <c r="F943" s="14"/>
      <c r="G943" s="14"/>
      <c r="H943" s="131"/>
    </row>
    <row r="944">
      <c r="A944" s="3" t="b">
        <v>0</v>
      </c>
      <c r="B944" s="130"/>
      <c r="C944" s="131"/>
      <c r="D944" s="131"/>
      <c r="E944" s="131"/>
      <c r="F944" s="14"/>
      <c r="G944" s="14"/>
      <c r="H944" s="131"/>
    </row>
    <row r="945">
      <c r="A945" s="3" t="b">
        <v>0</v>
      </c>
      <c r="B945" s="130"/>
      <c r="C945" s="131"/>
      <c r="D945" s="131"/>
      <c r="E945" s="131"/>
      <c r="F945" s="14"/>
      <c r="G945" s="14"/>
      <c r="H945" s="131"/>
    </row>
    <row r="946">
      <c r="A946" s="3" t="b">
        <v>0</v>
      </c>
      <c r="B946" s="130"/>
      <c r="C946" s="131"/>
      <c r="D946" s="131"/>
      <c r="E946" s="131"/>
      <c r="F946" s="14"/>
      <c r="G946" s="14"/>
      <c r="H946" s="131"/>
    </row>
    <row r="947">
      <c r="A947" s="3" t="b">
        <v>0</v>
      </c>
      <c r="B947" s="130"/>
      <c r="C947" s="131"/>
      <c r="D947" s="131"/>
      <c r="E947" s="131"/>
      <c r="F947" s="14"/>
      <c r="G947" s="14"/>
      <c r="H947" s="131"/>
    </row>
    <row r="948">
      <c r="A948" s="3" t="b">
        <v>0</v>
      </c>
      <c r="B948" s="130"/>
      <c r="C948" s="131"/>
      <c r="D948" s="131"/>
      <c r="E948" s="131"/>
      <c r="F948" s="14"/>
      <c r="G948" s="14"/>
      <c r="H948" s="131"/>
    </row>
    <row r="949">
      <c r="A949" s="3" t="b">
        <v>0</v>
      </c>
      <c r="B949" s="130"/>
      <c r="C949" s="131"/>
      <c r="D949" s="131"/>
      <c r="E949" s="131"/>
      <c r="F949" s="14"/>
      <c r="G949" s="14"/>
      <c r="H949" s="131"/>
    </row>
    <row r="950">
      <c r="A950" s="3" t="b">
        <v>0</v>
      </c>
      <c r="B950" s="130"/>
      <c r="C950" s="131"/>
      <c r="D950" s="131"/>
      <c r="E950" s="131"/>
      <c r="F950" s="14"/>
      <c r="G950" s="14"/>
      <c r="H950" s="131"/>
    </row>
    <row r="951">
      <c r="A951" s="3" t="b">
        <v>0</v>
      </c>
      <c r="B951" s="130"/>
      <c r="C951" s="131"/>
      <c r="D951" s="131"/>
      <c r="E951" s="131"/>
      <c r="F951" s="14"/>
      <c r="G951" s="14"/>
      <c r="H951" s="131"/>
    </row>
    <row r="952">
      <c r="A952" s="3" t="b">
        <v>0</v>
      </c>
      <c r="B952" s="130"/>
      <c r="C952" s="131"/>
      <c r="D952" s="131"/>
      <c r="E952" s="131"/>
      <c r="F952" s="14"/>
      <c r="G952" s="14"/>
      <c r="H952" s="131"/>
    </row>
    <row r="953">
      <c r="A953" s="3" t="b">
        <v>0</v>
      </c>
      <c r="B953" s="130"/>
      <c r="C953" s="131"/>
      <c r="D953" s="131"/>
      <c r="E953" s="131"/>
      <c r="F953" s="14"/>
      <c r="G953" s="14"/>
      <c r="H953" s="131"/>
    </row>
    <row r="954">
      <c r="A954" s="3" t="b">
        <v>0</v>
      </c>
      <c r="B954" s="130"/>
      <c r="C954" s="131"/>
      <c r="D954" s="131"/>
      <c r="E954" s="131"/>
      <c r="F954" s="14"/>
      <c r="G954" s="14"/>
      <c r="H954" s="131"/>
    </row>
    <row r="955">
      <c r="A955" s="3" t="b">
        <v>0</v>
      </c>
      <c r="B955" s="130"/>
      <c r="C955" s="131"/>
      <c r="D955" s="131"/>
      <c r="E955" s="131"/>
      <c r="F955" s="14"/>
      <c r="G955" s="14"/>
      <c r="H955" s="131"/>
    </row>
    <row r="956">
      <c r="A956" s="3" t="b">
        <v>0</v>
      </c>
      <c r="B956" s="130"/>
      <c r="C956" s="131"/>
      <c r="D956" s="131"/>
      <c r="E956" s="131"/>
      <c r="F956" s="14"/>
      <c r="G956" s="14"/>
      <c r="H956" s="131"/>
    </row>
    <row r="957">
      <c r="A957" s="3" t="b">
        <v>0</v>
      </c>
      <c r="B957" s="130"/>
      <c r="C957" s="131"/>
      <c r="D957" s="131"/>
      <c r="E957" s="131"/>
      <c r="F957" s="14"/>
      <c r="G957" s="14"/>
      <c r="H957" s="131"/>
    </row>
    <row r="958">
      <c r="A958" s="3" t="b">
        <v>0</v>
      </c>
      <c r="B958" s="130"/>
      <c r="C958" s="131"/>
      <c r="D958" s="131"/>
      <c r="E958" s="131"/>
      <c r="F958" s="14"/>
      <c r="G958" s="14"/>
      <c r="H958" s="131"/>
    </row>
    <row r="959">
      <c r="A959" s="3" t="b">
        <v>0</v>
      </c>
      <c r="B959" s="130"/>
      <c r="C959" s="131"/>
      <c r="D959" s="131"/>
      <c r="E959" s="131"/>
      <c r="F959" s="14"/>
      <c r="G959" s="14"/>
      <c r="H959" s="131"/>
    </row>
    <row r="960">
      <c r="A960" s="3" t="b">
        <v>0</v>
      </c>
      <c r="B960" s="130"/>
      <c r="C960" s="131"/>
      <c r="D960" s="131"/>
      <c r="E960" s="131"/>
      <c r="F960" s="14"/>
      <c r="G960" s="14"/>
      <c r="H960" s="131"/>
    </row>
    <row r="961">
      <c r="A961" s="3" t="b">
        <v>0</v>
      </c>
      <c r="B961" s="130"/>
      <c r="C961" s="131"/>
      <c r="D961" s="131"/>
      <c r="E961" s="131"/>
      <c r="F961" s="14"/>
      <c r="G961" s="14"/>
      <c r="H961" s="131"/>
    </row>
    <row r="962">
      <c r="A962" s="3" t="b">
        <v>0</v>
      </c>
      <c r="B962" s="130"/>
      <c r="C962" s="131"/>
      <c r="D962" s="131"/>
      <c r="E962" s="131"/>
      <c r="F962" s="14"/>
      <c r="G962" s="14"/>
      <c r="H962" s="131"/>
    </row>
    <row r="963">
      <c r="A963" s="3" t="b">
        <v>0</v>
      </c>
      <c r="B963" s="130"/>
      <c r="C963" s="131"/>
      <c r="D963" s="131"/>
      <c r="E963" s="131"/>
      <c r="F963" s="14"/>
      <c r="G963" s="14"/>
      <c r="H963" s="131"/>
    </row>
    <row r="964">
      <c r="A964" s="3" t="b">
        <v>0</v>
      </c>
      <c r="B964" s="130"/>
      <c r="C964" s="131"/>
      <c r="D964" s="131"/>
      <c r="E964" s="131"/>
      <c r="F964" s="14"/>
      <c r="G964" s="14"/>
      <c r="H964" s="131"/>
    </row>
    <row r="965">
      <c r="A965" s="3" t="b">
        <v>0</v>
      </c>
      <c r="B965" s="130"/>
      <c r="C965" s="131"/>
      <c r="D965" s="131"/>
      <c r="E965" s="131"/>
      <c r="F965" s="14"/>
      <c r="G965" s="14"/>
      <c r="H965" s="131"/>
    </row>
    <row r="966">
      <c r="A966" s="3" t="b">
        <v>0</v>
      </c>
      <c r="B966" s="130"/>
      <c r="C966" s="131"/>
      <c r="D966" s="131"/>
      <c r="E966" s="131"/>
      <c r="F966" s="14"/>
      <c r="G966" s="14"/>
      <c r="H966" s="131"/>
    </row>
    <row r="967">
      <c r="A967" s="3" t="b">
        <v>0</v>
      </c>
      <c r="B967" s="130"/>
      <c r="C967" s="131"/>
      <c r="D967" s="131"/>
      <c r="E967" s="131"/>
      <c r="F967" s="14"/>
      <c r="G967" s="14"/>
      <c r="H967" s="131"/>
    </row>
    <row r="968">
      <c r="A968" s="3" t="b">
        <v>0</v>
      </c>
      <c r="B968" s="130"/>
      <c r="C968" s="131"/>
      <c r="D968" s="131"/>
      <c r="E968" s="131"/>
      <c r="F968" s="14"/>
      <c r="G968" s="14"/>
      <c r="H968" s="131"/>
    </row>
    <row r="969">
      <c r="A969" s="3" t="b">
        <v>0</v>
      </c>
      <c r="B969" s="130"/>
      <c r="C969" s="131"/>
      <c r="D969" s="131"/>
      <c r="E969" s="131"/>
      <c r="F969" s="14"/>
      <c r="G969" s="14"/>
      <c r="H969" s="131"/>
    </row>
    <row r="970">
      <c r="A970" s="3" t="b">
        <v>0</v>
      </c>
      <c r="B970" s="130"/>
      <c r="C970" s="131"/>
      <c r="D970" s="131"/>
      <c r="E970" s="131"/>
      <c r="F970" s="14"/>
      <c r="G970" s="14"/>
      <c r="H970" s="131"/>
    </row>
    <row r="971">
      <c r="A971" s="3" t="b">
        <v>0</v>
      </c>
      <c r="B971" s="130"/>
      <c r="C971" s="131"/>
      <c r="D971" s="131"/>
      <c r="E971" s="131"/>
      <c r="F971" s="14"/>
      <c r="G971" s="14"/>
      <c r="H971" s="131"/>
    </row>
    <row r="972">
      <c r="A972" s="3" t="b">
        <v>0</v>
      </c>
      <c r="B972" s="130"/>
      <c r="C972" s="131"/>
      <c r="D972" s="131"/>
      <c r="E972" s="131"/>
      <c r="F972" s="14"/>
      <c r="G972" s="14"/>
      <c r="H972" s="131"/>
    </row>
    <row r="973">
      <c r="A973" s="3" t="b">
        <v>0</v>
      </c>
      <c r="B973" s="130"/>
      <c r="C973" s="131"/>
      <c r="D973" s="131"/>
      <c r="E973" s="131"/>
      <c r="F973" s="14"/>
      <c r="G973" s="14"/>
      <c r="H973" s="131"/>
    </row>
    <row r="974">
      <c r="A974" s="3" t="b">
        <v>0</v>
      </c>
      <c r="B974" s="130"/>
      <c r="C974" s="131"/>
      <c r="D974" s="131"/>
      <c r="E974" s="131"/>
      <c r="F974" s="14"/>
      <c r="G974" s="14"/>
      <c r="H974" s="131"/>
    </row>
    <row r="975">
      <c r="A975" s="3" t="b">
        <v>0</v>
      </c>
      <c r="B975" s="130"/>
      <c r="C975" s="131"/>
      <c r="D975" s="131"/>
      <c r="E975" s="131"/>
      <c r="F975" s="14"/>
      <c r="G975" s="14"/>
      <c r="H975" s="131"/>
    </row>
    <row r="976">
      <c r="A976" s="3" t="b">
        <v>0</v>
      </c>
      <c r="B976" s="130"/>
      <c r="C976" s="131"/>
      <c r="D976" s="131"/>
      <c r="E976" s="131"/>
      <c r="F976" s="14"/>
      <c r="G976" s="14"/>
      <c r="H976" s="131"/>
    </row>
    <row r="977">
      <c r="A977" s="3" t="b">
        <v>0</v>
      </c>
      <c r="B977" s="130"/>
      <c r="C977" s="131"/>
      <c r="D977" s="131"/>
      <c r="E977" s="131"/>
      <c r="F977" s="14"/>
      <c r="G977" s="14"/>
      <c r="H977" s="131"/>
    </row>
    <row r="978">
      <c r="A978" s="3" t="b">
        <v>0</v>
      </c>
      <c r="B978" s="130"/>
      <c r="C978" s="131"/>
      <c r="D978" s="131"/>
      <c r="E978" s="131"/>
      <c r="F978" s="14"/>
      <c r="G978" s="14"/>
      <c r="H978" s="131"/>
    </row>
    <row r="979">
      <c r="A979" s="3" t="b">
        <v>0</v>
      </c>
      <c r="B979" s="130"/>
      <c r="C979" s="131"/>
      <c r="D979" s="131"/>
      <c r="E979" s="131"/>
      <c r="F979" s="14"/>
      <c r="G979" s="14"/>
      <c r="H979" s="131"/>
    </row>
    <row r="980">
      <c r="A980" s="3" t="b">
        <v>0</v>
      </c>
      <c r="B980" s="130"/>
      <c r="C980" s="131"/>
      <c r="D980" s="131"/>
      <c r="E980" s="131"/>
      <c r="F980" s="14"/>
      <c r="G980" s="14"/>
      <c r="H980" s="131"/>
    </row>
    <row r="981">
      <c r="A981" s="3" t="b">
        <v>0</v>
      </c>
      <c r="B981" s="130"/>
      <c r="C981" s="131"/>
      <c r="D981" s="131"/>
      <c r="E981" s="131"/>
      <c r="F981" s="14"/>
      <c r="G981" s="14"/>
      <c r="H981" s="131"/>
    </row>
    <row r="982">
      <c r="A982" s="3" t="b">
        <v>0</v>
      </c>
      <c r="B982" s="130"/>
      <c r="C982" s="131"/>
      <c r="D982" s="131"/>
      <c r="E982" s="131"/>
      <c r="F982" s="14"/>
      <c r="G982" s="14"/>
      <c r="H982" s="131"/>
    </row>
    <row r="983">
      <c r="A983" s="3" t="b">
        <v>0</v>
      </c>
      <c r="B983" s="130"/>
      <c r="C983" s="131"/>
      <c r="D983" s="131"/>
      <c r="E983" s="131"/>
      <c r="F983" s="14"/>
      <c r="G983" s="14"/>
      <c r="H983" s="131"/>
    </row>
    <row r="984">
      <c r="A984" s="3" t="b">
        <v>0</v>
      </c>
      <c r="B984" s="130"/>
      <c r="C984" s="131"/>
      <c r="D984" s="131"/>
      <c r="E984" s="131"/>
      <c r="F984" s="14"/>
      <c r="G984" s="14"/>
      <c r="H984" s="131"/>
    </row>
    <row r="985">
      <c r="A985" s="3" t="b">
        <v>0</v>
      </c>
      <c r="B985" s="130"/>
      <c r="C985" s="131"/>
      <c r="D985" s="131"/>
      <c r="E985" s="131"/>
      <c r="F985" s="14"/>
      <c r="G985" s="14"/>
      <c r="H985" s="131"/>
    </row>
    <row r="986">
      <c r="A986" s="3" t="b">
        <v>0</v>
      </c>
      <c r="B986" s="130"/>
      <c r="C986" s="131"/>
      <c r="D986" s="131"/>
      <c r="E986" s="131"/>
      <c r="F986" s="14"/>
      <c r="G986" s="14"/>
      <c r="H986" s="131"/>
    </row>
    <row r="987">
      <c r="A987" s="3" t="b">
        <v>0</v>
      </c>
      <c r="B987" s="130"/>
      <c r="C987" s="131"/>
      <c r="D987" s="131"/>
      <c r="E987" s="131"/>
      <c r="F987" s="14"/>
      <c r="G987" s="14"/>
      <c r="H987" s="131"/>
    </row>
    <row r="988">
      <c r="A988" s="3" t="b">
        <v>0</v>
      </c>
      <c r="B988" s="130"/>
      <c r="C988" s="131"/>
      <c r="D988" s="131"/>
      <c r="E988" s="131"/>
      <c r="F988" s="14"/>
      <c r="G988" s="14"/>
      <c r="H988" s="131"/>
    </row>
    <row r="989">
      <c r="A989" s="3" t="b">
        <v>0</v>
      </c>
      <c r="B989" s="130"/>
      <c r="C989" s="131"/>
      <c r="D989" s="131"/>
      <c r="E989" s="131"/>
      <c r="F989" s="14"/>
      <c r="G989" s="14"/>
      <c r="H989" s="131"/>
    </row>
    <row r="990">
      <c r="A990" s="3" t="b">
        <v>0</v>
      </c>
      <c r="B990" s="130"/>
      <c r="C990" s="131"/>
      <c r="D990" s="131"/>
      <c r="E990" s="131"/>
      <c r="F990" s="14"/>
      <c r="G990" s="14"/>
      <c r="H990" s="131"/>
    </row>
    <row r="991">
      <c r="A991" s="3" t="b">
        <v>0</v>
      </c>
      <c r="B991" s="130"/>
      <c r="C991" s="131"/>
      <c r="D991" s="131"/>
      <c r="E991" s="131"/>
      <c r="F991" s="14"/>
      <c r="G991" s="14"/>
      <c r="H991" s="131"/>
    </row>
    <row r="992">
      <c r="A992" s="3" t="b">
        <v>0</v>
      </c>
      <c r="B992" s="130"/>
      <c r="C992" s="131"/>
      <c r="D992" s="131"/>
      <c r="E992" s="131"/>
      <c r="F992" s="14"/>
      <c r="G992" s="14"/>
      <c r="H992" s="131"/>
    </row>
    <row r="993">
      <c r="A993" s="3" t="b">
        <v>0</v>
      </c>
      <c r="B993" s="130"/>
      <c r="C993" s="131"/>
      <c r="D993" s="131"/>
      <c r="E993" s="131"/>
      <c r="F993" s="14"/>
      <c r="G993" s="14"/>
      <c r="H993" s="131"/>
    </row>
    <row r="994">
      <c r="A994" s="3" t="b">
        <v>0</v>
      </c>
      <c r="B994" s="130"/>
      <c r="C994" s="131"/>
      <c r="D994" s="131"/>
      <c r="E994" s="131"/>
      <c r="F994" s="14"/>
      <c r="G994" s="14"/>
      <c r="H994" s="131"/>
    </row>
    <row r="995">
      <c r="A995" s="3" t="b">
        <v>0</v>
      </c>
      <c r="B995" s="130"/>
      <c r="C995" s="131"/>
      <c r="D995" s="131"/>
      <c r="E995" s="131"/>
      <c r="F995" s="14"/>
      <c r="G995" s="14"/>
      <c r="H995" s="131"/>
    </row>
    <row r="996">
      <c r="A996" s="3" t="b">
        <v>0</v>
      </c>
      <c r="B996" s="130"/>
      <c r="C996" s="131"/>
      <c r="D996" s="131"/>
      <c r="E996" s="131"/>
      <c r="F996" s="14"/>
      <c r="G996" s="14"/>
      <c r="H996" s="131"/>
    </row>
    <row r="997">
      <c r="A997" s="3" t="b">
        <v>0</v>
      </c>
      <c r="B997" s="130"/>
      <c r="C997" s="131"/>
      <c r="D997" s="131"/>
      <c r="E997" s="131"/>
      <c r="F997" s="14"/>
      <c r="G997" s="14"/>
      <c r="H997" s="131"/>
    </row>
    <row r="998">
      <c r="A998" s="3" t="b">
        <v>0</v>
      </c>
      <c r="B998" s="130"/>
      <c r="C998" s="131"/>
      <c r="D998" s="131"/>
      <c r="E998" s="131"/>
      <c r="F998" s="14"/>
      <c r="G998" s="14"/>
      <c r="H998" s="131"/>
    </row>
    <row r="999">
      <c r="A999" s="3" t="b">
        <v>0</v>
      </c>
      <c r="B999" s="130"/>
      <c r="C999" s="131"/>
      <c r="D999" s="131"/>
      <c r="E999" s="131"/>
      <c r="F999" s="14"/>
      <c r="G999" s="14"/>
      <c r="H999" s="131"/>
    </row>
    <row r="1000">
      <c r="A1000" s="3" t="b">
        <v>0</v>
      </c>
      <c r="B1000" s="130"/>
      <c r="C1000" s="131"/>
      <c r="D1000" s="131"/>
      <c r="E1000" s="131"/>
      <c r="F1000" s="14"/>
      <c r="G1000" s="14"/>
      <c r="H1000" s="131"/>
    </row>
  </sheetData>
  <dataValidations>
    <dataValidation type="list" allowBlank="1" showErrorMessage="1" sqref="G2:G1000">
      <formula1>'預算欄位參數表'!$H$2:$H1000</formula1>
    </dataValidation>
    <dataValidation type="list" allowBlank="1" showErrorMessage="1" sqref="H2:H1000">
      <formula1>'預算欄位參數表'!$G$2:$G1000</formula1>
    </dataValidation>
    <dataValidation type="list" allowBlank="1" showErrorMessage="1" sqref="B2:B1000">
      <formula1>'預算欄位參數表'!$A$3</formula1>
    </dataValidation>
    <dataValidation type="list" allowBlank="1" showErrorMessage="1" sqref="C2:C1000">
      <formula1>'預算欄位參數表'!$B$2:$B1000</formula1>
    </dataValidation>
    <dataValidation type="list" allowBlank="1" showErrorMessage="1" sqref="D2:D1000">
      <formula1>'預算欄位參數表'!$C$2:$C1000</formula1>
    </dataValidation>
    <dataValidation type="list" allowBlank="1" showErrorMessage="1" sqref="E2:E1000">
      <formula1>'預算欄位參數表'!$D$2:$D1000</formula1>
    </dataValidation>
    <dataValidation type="list" allowBlank="1" showErrorMessage="1" sqref="F2:F1000">
      <formula1>'預算欄位參數表'!$F$2:$F1000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7.63"/>
    <col customWidth="1" min="3" max="3" width="11.75"/>
    <col customWidth="1" min="4" max="4" width="14.13"/>
    <col customWidth="1" min="5" max="5" width="12.63"/>
    <col customWidth="1" min="6" max="6" width="35.38"/>
    <col customWidth="1" min="7" max="7" width="12.5"/>
    <col customWidth="1" min="8" max="8" width="13.25"/>
  </cols>
  <sheetData>
    <row r="1">
      <c r="A1" s="127" t="s">
        <v>209</v>
      </c>
      <c r="B1" s="127" t="s">
        <v>210</v>
      </c>
      <c r="C1" s="127" t="s">
        <v>211</v>
      </c>
      <c r="D1" s="127" t="s">
        <v>212</v>
      </c>
      <c r="E1" s="127" t="s">
        <v>213</v>
      </c>
      <c r="F1" s="127" t="s">
        <v>214</v>
      </c>
      <c r="G1" s="127" t="s">
        <v>215</v>
      </c>
      <c r="H1" s="127" t="s">
        <v>225</v>
      </c>
      <c r="I1" s="2">
        <v>46023.0</v>
      </c>
      <c r="J1" s="2">
        <v>46054.0</v>
      </c>
      <c r="K1" s="2">
        <v>46082.0</v>
      </c>
      <c r="L1" s="2">
        <v>46113.0</v>
      </c>
      <c r="M1" s="2">
        <v>46143.0</v>
      </c>
      <c r="N1" s="2">
        <v>46174.0</v>
      </c>
      <c r="O1" s="2">
        <v>46204.0</v>
      </c>
      <c r="P1" s="2">
        <v>46235.0</v>
      </c>
      <c r="Q1" s="2">
        <v>46266.0</v>
      </c>
      <c r="R1" s="2">
        <v>46296.0</v>
      </c>
      <c r="S1" s="2">
        <v>46327.0</v>
      </c>
      <c r="T1" s="2">
        <v>46357.0</v>
      </c>
      <c r="U1" s="3" t="s">
        <v>11</v>
      </c>
      <c r="V1" s="3" t="s">
        <v>11</v>
      </c>
    </row>
    <row r="2">
      <c r="A2" s="130" t="s">
        <v>204</v>
      </c>
      <c r="B2" s="131" t="s">
        <v>218</v>
      </c>
      <c r="C2" s="130" t="s">
        <v>219</v>
      </c>
      <c r="D2" s="130" t="s">
        <v>220</v>
      </c>
      <c r="E2" s="16"/>
      <c r="F2" s="16" t="s">
        <v>222</v>
      </c>
      <c r="G2" s="130" t="s">
        <v>223</v>
      </c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ataValidations>
    <dataValidation type="list" allowBlank="1" showErrorMessage="1" sqref="F2:F1000">
      <formula1>'預算欄位參數表'!$H$2:$H1000</formula1>
    </dataValidation>
    <dataValidation type="list" allowBlank="1" showErrorMessage="1" sqref="G2:G1000">
      <formula1>'預算欄位參數表'!$G$2:$G1000</formula1>
    </dataValidation>
    <dataValidation type="list" allowBlank="1" showErrorMessage="1" sqref="A2:A1000">
      <formula1>'預算欄位參數表'!$A$3</formula1>
    </dataValidation>
    <dataValidation type="list" allowBlank="1" showErrorMessage="1" sqref="B2:B1000">
      <formula1>'預算欄位參數表'!$B$2:$B1000</formula1>
    </dataValidation>
    <dataValidation type="list" allowBlank="1" showErrorMessage="1" sqref="C2:C1000">
      <formula1>'預算欄位參數表'!$C$2:$C1000</formula1>
    </dataValidation>
    <dataValidation type="list" allowBlank="1" showErrorMessage="1" sqref="D2:D1000">
      <formula1>'預算欄位參數表'!$D$2:$D1000</formula1>
    </dataValidation>
    <dataValidation type="list" allowBlank="1" showErrorMessage="1" sqref="E2:E1000">
      <formula1>'預算欄位參數表'!$F$2:$F1000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7.63"/>
    <col customWidth="1" min="3" max="3" width="6.75"/>
    <col customWidth="1" min="4" max="4" width="9.38"/>
    <col customWidth="1" min="5" max="5" width="12.63"/>
    <col customWidth="1" min="6" max="6" width="7.63"/>
    <col customWidth="1" min="7" max="7" width="13.25"/>
    <col customWidth="1" min="8" max="8" width="18.13"/>
    <col customWidth="1" min="9" max="9" width="19.38"/>
  </cols>
  <sheetData>
    <row r="1">
      <c r="A1" s="127" t="s">
        <v>209</v>
      </c>
      <c r="B1" s="127" t="s">
        <v>210</v>
      </c>
      <c r="C1" s="127" t="s">
        <v>211</v>
      </c>
      <c r="D1" s="127" t="s">
        <v>212</v>
      </c>
      <c r="E1" s="127" t="s">
        <v>213</v>
      </c>
      <c r="F1" s="127" t="s">
        <v>214</v>
      </c>
      <c r="G1" s="127" t="s">
        <v>215</v>
      </c>
      <c r="H1" s="127" t="s">
        <v>216</v>
      </c>
      <c r="I1" s="127" t="s">
        <v>217</v>
      </c>
      <c r="J1" s="128">
        <v>46023.0</v>
      </c>
      <c r="K1" s="128">
        <v>46054.0</v>
      </c>
      <c r="L1" s="128">
        <v>46082.0</v>
      </c>
      <c r="M1" s="128">
        <v>46113.0</v>
      </c>
      <c r="N1" s="128">
        <v>46143.0</v>
      </c>
      <c r="O1" s="128">
        <v>46174.0</v>
      </c>
      <c r="P1" s="128">
        <v>46204.0</v>
      </c>
      <c r="Q1" s="128">
        <v>46235.0</v>
      </c>
      <c r="R1" s="128">
        <v>46266.0</v>
      </c>
      <c r="S1" s="128">
        <v>46296.0</v>
      </c>
      <c r="T1" s="128">
        <v>46327.0</v>
      </c>
      <c r="U1" s="128">
        <v>46357.0</v>
      </c>
      <c r="V1" s="129" t="s">
        <v>11</v>
      </c>
      <c r="W1" s="14"/>
      <c r="X1" s="14"/>
      <c r="Y1" s="14"/>
      <c r="Z1" s="14"/>
      <c r="AA1" s="14"/>
    </row>
    <row r="2">
      <c r="A2" s="130"/>
      <c r="B2" s="131"/>
      <c r="C2" s="131"/>
      <c r="D2" s="131"/>
      <c r="E2" s="14"/>
      <c r="F2" s="14"/>
      <c r="G2" s="131"/>
    </row>
    <row r="3">
      <c r="A3" s="130"/>
      <c r="B3" s="131"/>
      <c r="C3" s="131"/>
      <c r="D3" s="131"/>
      <c r="E3" s="14"/>
      <c r="F3" s="14"/>
      <c r="G3" s="131"/>
    </row>
    <row r="4">
      <c r="A4" s="130"/>
      <c r="B4" s="131"/>
      <c r="C4" s="131"/>
      <c r="D4" s="131"/>
      <c r="E4" s="14"/>
      <c r="F4" s="14"/>
      <c r="G4" s="131"/>
    </row>
    <row r="5">
      <c r="A5" s="130"/>
      <c r="B5" s="131"/>
      <c r="C5" s="131"/>
      <c r="D5" s="131"/>
      <c r="E5" s="14"/>
      <c r="F5" s="14"/>
      <c r="G5" s="131"/>
    </row>
    <row r="6">
      <c r="A6" s="130"/>
      <c r="B6" s="131"/>
      <c r="C6" s="131"/>
      <c r="D6" s="131"/>
      <c r="E6" s="14"/>
      <c r="F6" s="14"/>
      <c r="G6" s="131"/>
    </row>
    <row r="7">
      <c r="A7" s="130"/>
      <c r="B7" s="131"/>
      <c r="C7" s="131"/>
      <c r="D7" s="131"/>
      <c r="E7" s="14"/>
      <c r="F7" s="14"/>
      <c r="G7" s="131"/>
    </row>
    <row r="8">
      <c r="A8" s="130"/>
      <c r="B8" s="131"/>
      <c r="C8" s="131"/>
      <c r="D8" s="131"/>
      <c r="E8" s="14"/>
      <c r="F8" s="14"/>
      <c r="G8" s="131"/>
    </row>
    <row r="9">
      <c r="A9" s="130"/>
      <c r="B9" s="131"/>
      <c r="C9" s="131"/>
      <c r="D9" s="131"/>
      <c r="E9" s="14"/>
      <c r="F9" s="14"/>
      <c r="G9" s="131"/>
    </row>
    <row r="10">
      <c r="A10" s="130"/>
      <c r="B10" s="131"/>
      <c r="C10" s="131"/>
      <c r="D10" s="131"/>
      <c r="E10" s="14"/>
      <c r="F10" s="14"/>
      <c r="G10" s="131"/>
    </row>
    <row r="11">
      <c r="A11" s="130"/>
      <c r="B11" s="131"/>
      <c r="C11" s="131"/>
      <c r="D11" s="131"/>
      <c r="E11" s="14"/>
      <c r="F11" s="14"/>
      <c r="G11" s="131"/>
    </row>
    <row r="12">
      <c r="A12" s="130"/>
      <c r="B12" s="131"/>
      <c r="C12" s="131"/>
      <c r="D12" s="131"/>
      <c r="E12" s="14"/>
      <c r="F12" s="14"/>
      <c r="G12" s="131"/>
    </row>
    <row r="13">
      <c r="A13" s="130"/>
      <c r="B13" s="131"/>
      <c r="C13" s="131"/>
      <c r="D13" s="131"/>
      <c r="E13" s="14"/>
      <c r="F13" s="14"/>
      <c r="G13" s="131"/>
    </row>
    <row r="14">
      <c r="A14" s="130"/>
      <c r="B14" s="131"/>
      <c r="C14" s="131"/>
      <c r="D14" s="131"/>
      <c r="E14" s="14"/>
      <c r="F14" s="14"/>
      <c r="G14" s="131"/>
    </row>
    <row r="15">
      <c r="A15" s="130"/>
      <c r="B15" s="131"/>
      <c r="C15" s="131"/>
      <c r="D15" s="131"/>
      <c r="E15" s="14"/>
      <c r="F15" s="14"/>
      <c r="G15" s="131"/>
    </row>
    <row r="16">
      <c r="A16" s="130"/>
      <c r="B16" s="131"/>
      <c r="C16" s="131"/>
      <c r="D16" s="131"/>
      <c r="E16" s="14"/>
      <c r="F16" s="14"/>
      <c r="G16" s="131"/>
    </row>
    <row r="17">
      <c r="A17" s="130"/>
      <c r="B17" s="131"/>
      <c r="C17" s="131"/>
      <c r="D17" s="131"/>
      <c r="E17" s="14"/>
      <c r="F17" s="14"/>
      <c r="G17" s="131"/>
    </row>
    <row r="18">
      <c r="A18" s="130"/>
      <c r="B18" s="131"/>
      <c r="C18" s="131"/>
      <c r="D18" s="131"/>
      <c r="E18" s="14"/>
      <c r="F18" s="14"/>
      <c r="G18" s="131"/>
    </row>
    <row r="19">
      <c r="A19" s="130"/>
      <c r="B19" s="131"/>
      <c r="C19" s="131"/>
      <c r="D19" s="131"/>
      <c r="E19" s="14"/>
      <c r="F19" s="14"/>
      <c r="G19" s="131"/>
    </row>
    <row r="20">
      <c r="A20" s="130"/>
      <c r="B20" s="131"/>
      <c r="C20" s="131"/>
      <c r="D20" s="131"/>
      <c r="E20" s="14"/>
      <c r="F20" s="14"/>
      <c r="G20" s="131"/>
    </row>
    <row r="21">
      <c r="A21" s="130"/>
      <c r="B21" s="131"/>
      <c r="C21" s="131"/>
      <c r="D21" s="131"/>
      <c r="E21" s="14"/>
      <c r="F21" s="14"/>
      <c r="G21" s="131"/>
    </row>
    <row r="22">
      <c r="A22" s="130"/>
      <c r="B22" s="131"/>
      <c r="C22" s="131"/>
      <c r="D22" s="131"/>
      <c r="E22" s="14"/>
      <c r="F22" s="14"/>
      <c r="G22" s="131"/>
    </row>
    <row r="23">
      <c r="A23" s="130"/>
      <c r="B23" s="131"/>
      <c r="C23" s="131"/>
      <c r="D23" s="131"/>
      <c r="E23" s="14"/>
      <c r="F23" s="14"/>
      <c r="G23" s="131"/>
    </row>
    <row r="24">
      <c r="A24" s="130"/>
      <c r="B24" s="131"/>
      <c r="C24" s="131"/>
      <c r="D24" s="131"/>
      <c r="E24" s="14"/>
      <c r="F24" s="14"/>
      <c r="G24" s="131"/>
    </row>
    <row r="25">
      <c r="A25" s="130"/>
      <c r="B25" s="131"/>
      <c r="C25" s="131"/>
      <c r="D25" s="131"/>
      <c r="E25" s="14"/>
      <c r="F25" s="14"/>
      <c r="G25" s="131"/>
    </row>
    <row r="26">
      <c r="A26" s="130"/>
      <c r="B26" s="131"/>
      <c r="C26" s="131"/>
      <c r="D26" s="131"/>
      <c r="E26" s="14"/>
      <c r="F26" s="14"/>
      <c r="G26" s="131"/>
    </row>
    <row r="27">
      <c r="A27" s="130"/>
      <c r="B27" s="131"/>
      <c r="C27" s="131"/>
      <c r="D27" s="131"/>
      <c r="E27" s="14"/>
      <c r="F27" s="14"/>
      <c r="G27" s="131"/>
    </row>
    <row r="28">
      <c r="A28" s="130"/>
      <c r="B28" s="131"/>
      <c r="C28" s="131"/>
      <c r="D28" s="131"/>
      <c r="E28" s="14"/>
      <c r="F28" s="14"/>
      <c r="G28" s="131"/>
    </row>
    <row r="29">
      <c r="A29" s="130"/>
      <c r="B29" s="131"/>
      <c r="C29" s="131"/>
      <c r="D29" s="131"/>
      <c r="E29" s="14"/>
      <c r="F29" s="14"/>
      <c r="G29" s="131"/>
    </row>
    <row r="30">
      <c r="A30" s="130"/>
      <c r="B30" s="131"/>
      <c r="C30" s="131"/>
      <c r="D30" s="131"/>
      <c r="E30" s="14"/>
      <c r="F30" s="14"/>
      <c r="G30" s="131"/>
    </row>
    <row r="31">
      <c r="A31" s="130"/>
      <c r="B31" s="131"/>
      <c r="C31" s="131"/>
      <c r="D31" s="131"/>
      <c r="E31" s="14"/>
      <c r="F31" s="14"/>
      <c r="G31" s="131"/>
    </row>
    <row r="32">
      <c r="A32" s="130"/>
      <c r="B32" s="131"/>
      <c r="C32" s="131"/>
      <c r="D32" s="131"/>
      <c r="E32" s="14"/>
      <c r="F32" s="14"/>
      <c r="G32" s="131"/>
    </row>
    <row r="33">
      <c r="A33" s="130"/>
      <c r="B33" s="131"/>
      <c r="C33" s="131"/>
      <c r="D33" s="131"/>
      <c r="E33" s="14"/>
      <c r="F33" s="14"/>
      <c r="G33" s="131"/>
    </row>
    <row r="34">
      <c r="A34" s="130"/>
      <c r="B34" s="131"/>
      <c r="C34" s="131"/>
      <c r="D34" s="131"/>
      <c r="E34" s="14"/>
      <c r="F34" s="14"/>
      <c r="G34" s="131"/>
    </row>
    <row r="35">
      <c r="A35" s="130"/>
      <c r="B35" s="131"/>
      <c r="C35" s="131"/>
      <c r="D35" s="131"/>
      <c r="E35" s="14"/>
      <c r="F35" s="14"/>
      <c r="G35" s="131"/>
    </row>
    <row r="36">
      <c r="A36" s="130"/>
      <c r="B36" s="131"/>
      <c r="C36" s="131"/>
      <c r="D36" s="131"/>
      <c r="E36" s="14"/>
      <c r="F36" s="14"/>
      <c r="G36" s="131"/>
    </row>
    <row r="37">
      <c r="A37" s="130"/>
      <c r="B37" s="131"/>
      <c r="C37" s="131"/>
      <c r="D37" s="131"/>
      <c r="E37" s="14"/>
      <c r="F37" s="14"/>
      <c r="G37" s="131"/>
    </row>
    <row r="38">
      <c r="A38" s="130"/>
      <c r="B38" s="131"/>
      <c r="C38" s="131"/>
      <c r="D38" s="131"/>
      <c r="E38" s="14"/>
      <c r="F38" s="14"/>
      <c r="G38" s="131"/>
    </row>
    <row r="39">
      <c r="A39" s="130"/>
      <c r="B39" s="131"/>
      <c r="C39" s="131"/>
      <c r="D39" s="131"/>
      <c r="E39" s="14"/>
      <c r="F39" s="14"/>
      <c r="G39" s="131"/>
    </row>
    <row r="40">
      <c r="A40" s="130"/>
      <c r="B40" s="131"/>
      <c r="C40" s="131"/>
      <c r="D40" s="131"/>
      <c r="E40" s="14"/>
      <c r="F40" s="14"/>
      <c r="G40" s="131"/>
    </row>
    <row r="41">
      <c r="A41" s="130"/>
      <c r="B41" s="131"/>
      <c r="C41" s="131"/>
      <c r="D41" s="131"/>
      <c r="E41" s="14"/>
      <c r="F41" s="14"/>
      <c r="G41" s="131"/>
    </row>
    <row r="42">
      <c r="A42" s="130"/>
      <c r="B42" s="131"/>
      <c r="C42" s="131"/>
      <c r="D42" s="131"/>
      <c r="E42" s="14"/>
      <c r="F42" s="14"/>
      <c r="G42" s="131"/>
    </row>
    <row r="43">
      <c r="A43" s="130"/>
      <c r="B43" s="131"/>
      <c r="C43" s="131"/>
      <c r="D43" s="131"/>
      <c r="E43" s="14"/>
      <c r="F43" s="14"/>
      <c r="G43" s="131"/>
    </row>
    <row r="44">
      <c r="A44" s="130"/>
      <c r="B44" s="131"/>
      <c r="C44" s="131"/>
      <c r="D44" s="131"/>
      <c r="E44" s="14"/>
      <c r="F44" s="14"/>
      <c r="G44" s="131"/>
    </row>
    <row r="45">
      <c r="A45" s="130"/>
      <c r="B45" s="131"/>
      <c r="C45" s="131"/>
      <c r="D45" s="131"/>
      <c r="E45" s="14"/>
      <c r="F45" s="14"/>
      <c r="G45" s="131"/>
    </row>
    <row r="46">
      <c r="A46" s="130"/>
      <c r="B46" s="131"/>
      <c r="C46" s="131"/>
      <c r="D46" s="131"/>
      <c r="E46" s="14"/>
      <c r="F46" s="14"/>
      <c r="G46" s="131"/>
    </row>
    <row r="47">
      <c r="A47" s="130"/>
      <c r="B47" s="131"/>
      <c r="C47" s="131"/>
      <c r="D47" s="131"/>
      <c r="E47" s="14"/>
      <c r="F47" s="14"/>
      <c r="G47" s="131"/>
    </row>
    <row r="48">
      <c r="A48" s="130"/>
      <c r="B48" s="131"/>
      <c r="C48" s="131"/>
      <c r="D48" s="131"/>
      <c r="E48" s="14"/>
      <c r="F48" s="14"/>
      <c r="G48" s="131"/>
    </row>
    <row r="49">
      <c r="A49" s="130"/>
      <c r="B49" s="131"/>
      <c r="C49" s="131"/>
      <c r="D49" s="131"/>
      <c r="E49" s="14"/>
      <c r="F49" s="14"/>
      <c r="G49" s="131"/>
    </row>
    <row r="50">
      <c r="A50" s="130"/>
      <c r="B50" s="131"/>
      <c r="C50" s="131"/>
      <c r="D50" s="131"/>
      <c r="E50" s="14"/>
      <c r="F50" s="14"/>
      <c r="G50" s="131"/>
    </row>
    <row r="51">
      <c r="A51" s="130"/>
      <c r="B51" s="131"/>
      <c r="C51" s="131"/>
      <c r="D51" s="131"/>
      <c r="E51" s="14"/>
      <c r="F51" s="14"/>
      <c r="G51" s="131"/>
    </row>
    <row r="52">
      <c r="A52" s="130"/>
      <c r="B52" s="131"/>
      <c r="C52" s="131"/>
      <c r="D52" s="131"/>
      <c r="E52" s="14"/>
      <c r="F52" s="14"/>
      <c r="G52" s="131"/>
    </row>
    <row r="53">
      <c r="A53" s="130"/>
      <c r="B53" s="131"/>
      <c r="C53" s="131"/>
      <c r="D53" s="131"/>
      <c r="E53" s="14"/>
      <c r="F53" s="14"/>
      <c r="G53" s="131"/>
    </row>
    <row r="54">
      <c r="A54" s="130"/>
      <c r="B54" s="131"/>
      <c r="C54" s="131"/>
      <c r="D54" s="131"/>
      <c r="E54" s="14"/>
      <c r="F54" s="14"/>
      <c r="G54" s="131"/>
    </row>
    <row r="55">
      <c r="A55" s="130"/>
      <c r="B55" s="131"/>
      <c r="C55" s="131"/>
      <c r="D55" s="131"/>
      <c r="E55" s="14"/>
      <c r="F55" s="14"/>
      <c r="G55" s="131"/>
    </row>
    <row r="56">
      <c r="A56" s="130"/>
      <c r="B56" s="131"/>
      <c r="C56" s="131"/>
      <c r="D56" s="131"/>
      <c r="E56" s="14"/>
      <c r="F56" s="14"/>
      <c r="G56" s="131"/>
    </row>
    <row r="57">
      <c r="A57" s="130"/>
      <c r="B57" s="131"/>
      <c r="C57" s="131"/>
      <c r="D57" s="131"/>
      <c r="E57" s="14"/>
      <c r="F57" s="14"/>
      <c r="G57" s="131"/>
    </row>
    <row r="58">
      <c r="A58" s="130"/>
      <c r="B58" s="131"/>
      <c r="C58" s="131"/>
      <c r="D58" s="131"/>
      <c r="E58" s="14"/>
      <c r="F58" s="14"/>
      <c r="G58" s="131"/>
    </row>
    <row r="59">
      <c r="A59" s="130"/>
      <c r="B59" s="131"/>
      <c r="C59" s="131"/>
      <c r="D59" s="131"/>
      <c r="E59" s="14"/>
      <c r="F59" s="14"/>
      <c r="G59" s="131"/>
    </row>
    <row r="60">
      <c r="A60" s="130"/>
      <c r="B60" s="131"/>
      <c r="C60" s="131"/>
      <c r="D60" s="131"/>
      <c r="E60" s="14"/>
      <c r="F60" s="14"/>
      <c r="G60" s="131"/>
    </row>
    <row r="61">
      <c r="A61" s="130"/>
      <c r="B61" s="131"/>
      <c r="C61" s="131"/>
      <c r="D61" s="131"/>
      <c r="E61" s="14"/>
      <c r="F61" s="14"/>
      <c r="G61" s="131"/>
    </row>
    <row r="62">
      <c r="A62" s="130"/>
      <c r="B62" s="131"/>
      <c r="C62" s="131"/>
      <c r="D62" s="131"/>
      <c r="E62" s="14"/>
      <c r="F62" s="14"/>
      <c r="G62" s="131"/>
    </row>
    <row r="63">
      <c r="A63" s="130"/>
      <c r="B63" s="131"/>
      <c r="C63" s="131"/>
      <c r="D63" s="131"/>
      <c r="E63" s="14"/>
      <c r="F63" s="14"/>
      <c r="G63" s="131"/>
    </row>
    <row r="64">
      <c r="A64" s="130"/>
      <c r="B64" s="131"/>
      <c r="C64" s="131"/>
      <c r="D64" s="131"/>
      <c r="E64" s="14"/>
      <c r="F64" s="14"/>
      <c r="G64" s="131"/>
    </row>
    <row r="65">
      <c r="A65" s="130"/>
      <c r="B65" s="131"/>
      <c r="C65" s="131"/>
      <c r="D65" s="131"/>
      <c r="E65" s="14"/>
      <c r="F65" s="14"/>
      <c r="G65" s="131"/>
    </row>
    <row r="66">
      <c r="A66" s="130"/>
      <c r="B66" s="131"/>
      <c r="C66" s="131"/>
      <c r="D66" s="131"/>
      <c r="E66" s="14"/>
      <c r="F66" s="14"/>
      <c r="G66" s="131"/>
    </row>
    <row r="67">
      <c r="A67" s="130"/>
      <c r="B67" s="131"/>
      <c r="C67" s="131"/>
      <c r="D67" s="131"/>
      <c r="E67" s="14"/>
      <c r="F67" s="14"/>
      <c r="G67" s="131"/>
    </row>
    <row r="68">
      <c r="A68" s="130"/>
      <c r="B68" s="131"/>
      <c r="C68" s="131"/>
      <c r="D68" s="131"/>
      <c r="E68" s="14"/>
      <c r="F68" s="14"/>
      <c r="G68" s="131"/>
    </row>
    <row r="69">
      <c r="A69" s="130"/>
      <c r="B69" s="131"/>
      <c r="C69" s="131"/>
      <c r="D69" s="131"/>
      <c r="E69" s="14"/>
      <c r="F69" s="14"/>
      <c r="G69" s="131"/>
    </row>
    <row r="70">
      <c r="A70" s="130"/>
      <c r="B70" s="131"/>
      <c r="C70" s="131"/>
      <c r="D70" s="131"/>
      <c r="E70" s="14"/>
      <c r="F70" s="14"/>
      <c r="G70" s="131"/>
    </row>
    <row r="71">
      <c r="A71" s="130"/>
      <c r="B71" s="131"/>
      <c r="C71" s="131"/>
      <c r="D71" s="131"/>
      <c r="E71" s="14"/>
      <c r="F71" s="14"/>
      <c r="G71" s="131"/>
    </row>
    <row r="72">
      <c r="A72" s="130"/>
      <c r="B72" s="131"/>
      <c r="C72" s="131"/>
      <c r="D72" s="131"/>
      <c r="E72" s="14"/>
      <c r="F72" s="14"/>
      <c r="G72" s="131"/>
    </row>
    <row r="73">
      <c r="A73" s="130"/>
      <c r="B73" s="131"/>
      <c r="C73" s="131"/>
      <c r="D73" s="131"/>
      <c r="E73" s="14"/>
      <c r="F73" s="14"/>
      <c r="G73" s="131"/>
    </row>
    <row r="74">
      <c r="A74" s="130"/>
      <c r="B74" s="131"/>
      <c r="C74" s="131"/>
      <c r="D74" s="131"/>
      <c r="E74" s="14"/>
      <c r="F74" s="14"/>
      <c r="G74" s="131"/>
    </row>
    <row r="75">
      <c r="A75" s="130"/>
      <c r="B75" s="131"/>
      <c r="C75" s="131"/>
      <c r="D75" s="131"/>
      <c r="E75" s="14"/>
      <c r="F75" s="14"/>
      <c r="G75" s="131"/>
    </row>
    <row r="76">
      <c r="A76" s="130"/>
      <c r="B76" s="131"/>
      <c r="C76" s="131"/>
      <c r="D76" s="131"/>
      <c r="E76" s="14"/>
      <c r="F76" s="14"/>
      <c r="G76" s="131"/>
    </row>
    <row r="77">
      <c r="A77" s="130"/>
      <c r="B77" s="131"/>
      <c r="C77" s="131"/>
      <c r="D77" s="131"/>
      <c r="E77" s="14"/>
      <c r="F77" s="14"/>
      <c r="G77" s="131"/>
    </row>
    <row r="78">
      <c r="A78" s="130"/>
      <c r="B78" s="131"/>
      <c r="C78" s="131"/>
      <c r="D78" s="131"/>
      <c r="E78" s="14"/>
      <c r="F78" s="14"/>
      <c r="G78" s="131"/>
    </row>
    <row r="79">
      <c r="A79" s="130"/>
      <c r="B79" s="131"/>
      <c r="C79" s="131"/>
      <c r="D79" s="131"/>
      <c r="E79" s="14"/>
      <c r="F79" s="14"/>
      <c r="G79" s="131"/>
    </row>
    <row r="80">
      <c r="A80" s="130"/>
      <c r="B80" s="131"/>
      <c r="C80" s="131"/>
      <c r="D80" s="131"/>
      <c r="E80" s="14"/>
      <c r="F80" s="14"/>
      <c r="G80" s="131"/>
    </row>
    <row r="81">
      <c r="A81" s="130"/>
      <c r="B81" s="131"/>
      <c r="C81" s="131"/>
      <c r="D81" s="131"/>
      <c r="E81" s="14"/>
      <c r="F81" s="14"/>
      <c r="G81" s="131"/>
    </row>
    <row r="82">
      <c r="A82" s="130"/>
      <c r="B82" s="131"/>
      <c r="C82" s="131"/>
      <c r="D82" s="131"/>
      <c r="E82" s="14"/>
      <c r="F82" s="14"/>
      <c r="G82" s="131"/>
    </row>
    <row r="83">
      <c r="A83" s="130"/>
      <c r="B83" s="131"/>
      <c r="C83" s="131"/>
      <c r="D83" s="131"/>
      <c r="E83" s="14"/>
      <c r="F83" s="14"/>
      <c r="G83" s="131"/>
    </row>
    <row r="84">
      <c r="A84" s="130"/>
      <c r="B84" s="131"/>
      <c r="C84" s="131"/>
      <c r="D84" s="131"/>
      <c r="E84" s="14"/>
      <c r="F84" s="14"/>
      <c r="G84" s="131"/>
    </row>
    <row r="85">
      <c r="A85" s="130"/>
      <c r="B85" s="131"/>
      <c r="C85" s="131"/>
      <c r="D85" s="131"/>
      <c r="E85" s="14"/>
      <c r="F85" s="14"/>
      <c r="G85" s="131"/>
    </row>
    <row r="86">
      <c r="A86" s="130"/>
      <c r="B86" s="131"/>
      <c r="C86" s="131"/>
      <c r="D86" s="131"/>
      <c r="E86" s="14"/>
      <c r="F86" s="14"/>
      <c r="G86" s="131"/>
    </row>
    <row r="87">
      <c r="A87" s="130"/>
      <c r="B87" s="131"/>
      <c r="C87" s="131"/>
      <c r="D87" s="131"/>
      <c r="E87" s="14"/>
      <c r="F87" s="14"/>
      <c r="G87" s="131"/>
    </row>
    <row r="88">
      <c r="A88" s="130"/>
      <c r="B88" s="131"/>
      <c r="C88" s="131"/>
      <c r="D88" s="131"/>
      <c r="E88" s="14"/>
      <c r="F88" s="14"/>
      <c r="G88" s="131"/>
    </row>
    <row r="89">
      <c r="A89" s="130"/>
      <c r="B89" s="131"/>
      <c r="C89" s="131"/>
      <c r="D89" s="131"/>
      <c r="E89" s="14"/>
      <c r="F89" s="14"/>
      <c r="G89" s="131"/>
    </row>
    <row r="90">
      <c r="A90" s="130"/>
      <c r="B90" s="131"/>
      <c r="C90" s="131"/>
      <c r="D90" s="131"/>
      <c r="E90" s="14"/>
      <c r="F90" s="14"/>
      <c r="G90" s="131"/>
    </row>
    <row r="91">
      <c r="A91" s="130"/>
      <c r="B91" s="131"/>
      <c r="C91" s="131"/>
      <c r="D91" s="131"/>
      <c r="E91" s="14"/>
      <c r="F91" s="14"/>
      <c r="G91" s="131"/>
    </row>
    <row r="92">
      <c r="A92" s="130"/>
      <c r="B92" s="131"/>
      <c r="C92" s="131"/>
      <c r="D92" s="131"/>
      <c r="E92" s="14"/>
      <c r="F92" s="14"/>
      <c r="G92" s="131"/>
    </row>
    <row r="93">
      <c r="A93" s="130"/>
      <c r="B93" s="131"/>
      <c r="C93" s="131"/>
      <c r="D93" s="131"/>
      <c r="E93" s="14"/>
      <c r="F93" s="14"/>
      <c r="G93" s="131"/>
    </row>
    <row r="94">
      <c r="A94" s="130"/>
      <c r="B94" s="131"/>
      <c r="C94" s="131"/>
      <c r="D94" s="131"/>
      <c r="E94" s="14"/>
      <c r="F94" s="14"/>
      <c r="G94" s="131"/>
    </row>
    <row r="95">
      <c r="A95" s="130"/>
      <c r="B95" s="131"/>
      <c r="C95" s="131"/>
      <c r="D95" s="131"/>
      <c r="E95" s="14"/>
      <c r="F95" s="14"/>
      <c r="G95" s="131"/>
    </row>
    <row r="96">
      <c r="A96" s="130"/>
      <c r="B96" s="131"/>
      <c r="C96" s="131"/>
      <c r="D96" s="131"/>
      <c r="E96" s="14"/>
      <c r="F96" s="14"/>
      <c r="G96" s="131"/>
    </row>
    <row r="97">
      <c r="A97" s="130"/>
      <c r="B97" s="131"/>
      <c r="C97" s="131"/>
      <c r="D97" s="131"/>
      <c r="E97" s="14"/>
      <c r="F97" s="14"/>
      <c r="G97" s="131"/>
    </row>
    <row r="98">
      <c r="A98" s="130"/>
      <c r="B98" s="131"/>
      <c r="C98" s="131"/>
      <c r="D98" s="131"/>
      <c r="E98" s="14"/>
      <c r="F98" s="14"/>
      <c r="G98" s="131"/>
    </row>
    <row r="99">
      <c r="A99" s="130"/>
      <c r="B99" s="131"/>
      <c r="C99" s="131"/>
      <c r="D99" s="131"/>
      <c r="E99" s="14"/>
      <c r="F99" s="14"/>
      <c r="G99" s="131"/>
    </row>
    <row r="100">
      <c r="A100" s="130"/>
      <c r="B100" s="131"/>
      <c r="C100" s="131"/>
      <c r="D100" s="131"/>
      <c r="E100" s="14"/>
      <c r="F100" s="14"/>
      <c r="G100" s="131"/>
    </row>
    <row r="101">
      <c r="A101" s="130"/>
      <c r="B101" s="131"/>
      <c r="C101" s="131"/>
      <c r="D101" s="131"/>
      <c r="E101" s="14"/>
      <c r="F101" s="14"/>
      <c r="G101" s="131"/>
    </row>
    <row r="102">
      <c r="A102" s="130"/>
      <c r="B102" s="131"/>
      <c r="C102" s="131"/>
      <c r="D102" s="131"/>
      <c r="E102" s="14"/>
      <c r="F102" s="14"/>
      <c r="G102" s="131"/>
    </row>
    <row r="103">
      <c r="A103" s="130"/>
      <c r="B103" s="131"/>
      <c r="C103" s="131"/>
      <c r="D103" s="131"/>
      <c r="E103" s="14"/>
      <c r="F103" s="14"/>
      <c r="G103" s="131"/>
    </row>
    <row r="104">
      <c r="A104" s="130"/>
      <c r="B104" s="131"/>
      <c r="C104" s="131"/>
      <c r="D104" s="131"/>
      <c r="E104" s="14"/>
      <c r="F104" s="14"/>
      <c r="G104" s="131"/>
    </row>
    <row r="105">
      <c r="A105" s="130"/>
      <c r="B105" s="131"/>
      <c r="C105" s="131"/>
      <c r="D105" s="131"/>
      <c r="E105" s="14"/>
      <c r="F105" s="14"/>
      <c r="G105" s="131"/>
    </row>
    <row r="106">
      <c r="A106" s="130"/>
      <c r="B106" s="131"/>
      <c r="C106" s="131"/>
      <c r="D106" s="131"/>
      <c r="E106" s="14"/>
      <c r="F106" s="14"/>
      <c r="G106" s="131"/>
    </row>
    <row r="107">
      <c r="A107" s="130"/>
      <c r="B107" s="131"/>
      <c r="C107" s="131"/>
      <c r="D107" s="131"/>
      <c r="E107" s="14"/>
      <c r="F107" s="14"/>
      <c r="G107" s="131"/>
    </row>
    <row r="108">
      <c r="A108" s="130"/>
      <c r="B108" s="131"/>
      <c r="C108" s="131"/>
      <c r="D108" s="131"/>
      <c r="E108" s="14"/>
      <c r="F108" s="14"/>
      <c r="G108" s="131"/>
    </row>
    <row r="109">
      <c r="A109" s="130"/>
      <c r="B109" s="131"/>
      <c r="C109" s="131"/>
      <c r="D109" s="131"/>
      <c r="E109" s="14"/>
      <c r="F109" s="14"/>
      <c r="G109" s="131"/>
    </row>
    <row r="110">
      <c r="A110" s="130"/>
      <c r="B110" s="131"/>
      <c r="C110" s="131"/>
      <c r="D110" s="131"/>
      <c r="E110" s="14"/>
      <c r="F110" s="14"/>
      <c r="G110" s="131"/>
    </row>
    <row r="111">
      <c r="A111" s="130"/>
      <c r="B111" s="131"/>
      <c r="C111" s="131"/>
      <c r="D111" s="131"/>
      <c r="E111" s="14"/>
      <c r="F111" s="14"/>
      <c r="G111" s="131"/>
    </row>
    <row r="112">
      <c r="A112" s="130"/>
      <c r="B112" s="131"/>
      <c r="C112" s="131"/>
      <c r="D112" s="131"/>
      <c r="E112" s="14"/>
      <c r="F112" s="14"/>
      <c r="G112" s="131"/>
    </row>
    <row r="113">
      <c r="A113" s="130"/>
      <c r="B113" s="131"/>
      <c r="C113" s="131"/>
      <c r="D113" s="131"/>
      <c r="E113" s="14"/>
      <c r="F113" s="14"/>
      <c r="G113" s="131"/>
    </row>
    <row r="114">
      <c r="A114" s="130"/>
      <c r="B114" s="131"/>
      <c r="C114" s="131"/>
      <c r="D114" s="131"/>
      <c r="E114" s="14"/>
      <c r="F114" s="14"/>
      <c r="G114" s="131"/>
    </row>
    <row r="115">
      <c r="A115" s="130"/>
      <c r="B115" s="131"/>
      <c r="C115" s="131"/>
      <c r="D115" s="131"/>
      <c r="E115" s="14"/>
      <c r="F115" s="14"/>
      <c r="G115" s="131"/>
    </row>
    <row r="116">
      <c r="A116" s="130"/>
      <c r="B116" s="131"/>
      <c r="C116" s="131"/>
      <c r="D116" s="131"/>
      <c r="E116" s="14"/>
      <c r="F116" s="14"/>
      <c r="G116" s="131"/>
    </row>
    <row r="117">
      <c r="A117" s="130"/>
      <c r="B117" s="131"/>
      <c r="C117" s="131"/>
      <c r="D117" s="131"/>
      <c r="E117" s="14"/>
      <c r="F117" s="14"/>
      <c r="G117" s="131"/>
    </row>
    <row r="118">
      <c r="A118" s="130"/>
      <c r="B118" s="131"/>
      <c r="C118" s="131"/>
      <c r="D118" s="131"/>
      <c r="E118" s="14"/>
      <c r="F118" s="14"/>
      <c r="G118" s="131"/>
    </row>
    <row r="119">
      <c r="A119" s="130"/>
      <c r="B119" s="131"/>
      <c r="C119" s="131"/>
      <c r="D119" s="131"/>
      <c r="E119" s="14"/>
      <c r="F119" s="14"/>
      <c r="G119" s="131"/>
    </row>
    <row r="120">
      <c r="A120" s="130"/>
      <c r="B120" s="131"/>
      <c r="C120" s="131"/>
      <c r="D120" s="131"/>
      <c r="E120" s="14"/>
      <c r="F120" s="14"/>
      <c r="G120" s="131"/>
    </row>
    <row r="121">
      <c r="A121" s="130"/>
      <c r="B121" s="131"/>
      <c r="C121" s="131"/>
      <c r="D121" s="131"/>
      <c r="E121" s="14"/>
      <c r="F121" s="14"/>
      <c r="G121" s="131"/>
    </row>
    <row r="122">
      <c r="A122" s="130"/>
      <c r="B122" s="131"/>
      <c r="C122" s="131"/>
      <c r="D122" s="131"/>
      <c r="E122" s="14"/>
      <c r="F122" s="14"/>
      <c r="G122" s="131"/>
    </row>
    <row r="123">
      <c r="A123" s="130"/>
      <c r="B123" s="131"/>
      <c r="C123" s="131"/>
      <c r="D123" s="131"/>
      <c r="E123" s="14"/>
      <c r="F123" s="14"/>
      <c r="G123" s="131"/>
    </row>
    <row r="124">
      <c r="A124" s="130"/>
      <c r="B124" s="131"/>
      <c r="C124" s="131"/>
      <c r="D124" s="131"/>
      <c r="E124" s="14"/>
      <c r="F124" s="14"/>
      <c r="G124" s="131"/>
    </row>
    <row r="125">
      <c r="A125" s="130"/>
      <c r="B125" s="131"/>
      <c r="C125" s="131"/>
      <c r="D125" s="131"/>
      <c r="E125" s="14"/>
      <c r="F125" s="14"/>
      <c r="G125" s="131"/>
    </row>
    <row r="126">
      <c r="A126" s="130"/>
      <c r="B126" s="131"/>
      <c r="C126" s="131"/>
      <c r="D126" s="131"/>
      <c r="E126" s="14"/>
      <c r="F126" s="14"/>
      <c r="G126" s="131"/>
    </row>
    <row r="127">
      <c r="A127" s="130"/>
      <c r="B127" s="131"/>
      <c r="C127" s="131"/>
      <c r="D127" s="131"/>
      <c r="E127" s="14"/>
      <c r="F127" s="14"/>
      <c r="G127" s="131"/>
    </row>
    <row r="128">
      <c r="A128" s="130"/>
      <c r="B128" s="131"/>
      <c r="C128" s="131"/>
      <c r="D128" s="131"/>
      <c r="E128" s="14"/>
      <c r="F128" s="14"/>
      <c r="G128" s="131"/>
    </row>
    <row r="129">
      <c r="A129" s="130"/>
      <c r="B129" s="131"/>
      <c r="C129" s="131"/>
      <c r="D129" s="131"/>
      <c r="E129" s="14"/>
      <c r="F129" s="14"/>
      <c r="G129" s="131"/>
    </row>
    <row r="130">
      <c r="A130" s="130"/>
      <c r="B130" s="131"/>
      <c r="C130" s="131"/>
      <c r="D130" s="131"/>
      <c r="E130" s="14"/>
      <c r="F130" s="14"/>
      <c r="G130" s="131"/>
    </row>
    <row r="131">
      <c r="A131" s="130"/>
      <c r="B131" s="131"/>
      <c r="C131" s="131"/>
      <c r="D131" s="131"/>
      <c r="E131" s="14"/>
      <c r="F131" s="14"/>
      <c r="G131" s="131"/>
    </row>
    <row r="132">
      <c r="A132" s="130"/>
      <c r="B132" s="131"/>
      <c r="C132" s="131"/>
      <c r="D132" s="131"/>
      <c r="E132" s="14"/>
      <c r="F132" s="14"/>
      <c r="G132" s="131"/>
    </row>
    <row r="133">
      <c r="A133" s="130"/>
      <c r="B133" s="131"/>
      <c r="C133" s="131"/>
      <c r="D133" s="131"/>
      <c r="E133" s="14"/>
      <c r="F133" s="14"/>
      <c r="G133" s="131"/>
    </row>
    <row r="134">
      <c r="A134" s="130"/>
      <c r="B134" s="131"/>
      <c r="C134" s="131"/>
      <c r="D134" s="131"/>
      <c r="E134" s="14"/>
      <c r="F134" s="14"/>
      <c r="G134" s="131"/>
    </row>
    <row r="135">
      <c r="A135" s="130"/>
      <c r="B135" s="131"/>
      <c r="C135" s="131"/>
      <c r="D135" s="131"/>
      <c r="E135" s="14"/>
      <c r="F135" s="14"/>
      <c r="G135" s="131"/>
    </row>
    <row r="136">
      <c r="A136" s="130"/>
      <c r="B136" s="131"/>
      <c r="C136" s="131"/>
      <c r="D136" s="131"/>
      <c r="E136" s="14"/>
      <c r="F136" s="14"/>
      <c r="G136" s="131"/>
    </row>
    <row r="137">
      <c r="A137" s="130"/>
      <c r="B137" s="131"/>
      <c r="C137" s="131"/>
      <c r="D137" s="131"/>
      <c r="E137" s="14"/>
      <c r="F137" s="14"/>
      <c r="G137" s="131"/>
    </row>
    <row r="138">
      <c r="A138" s="130"/>
      <c r="B138" s="131"/>
      <c r="C138" s="131"/>
      <c r="D138" s="131"/>
      <c r="E138" s="14"/>
      <c r="F138" s="14"/>
      <c r="G138" s="131"/>
    </row>
    <row r="139">
      <c r="A139" s="130"/>
      <c r="B139" s="131"/>
      <c r="C139" s="131"/>
      <c r="D139" s="131"/>
      <c r="E139" s="14"/>
      <c r="F139" s="14"/>
      <c r="G139" s="131"/>
    </row>
    <row r="140">
      <c r="A140" s="130"/>
      <c r="B140" s="131"/>
      <c r="C140" s="131"/>
      <c r="D140" s="131"/>
      <c r="E140" s="14"/>
      <c r="F140" s="14"/>
      <c r="G140" s="131"/>
    </row>
    <row r="141">
      <c r="A141" s="130"/>
      <c r="B141" s="131"/>
      <c r="C141" s="131"/>
      <c r="D141" s="131"/>
      <c r="E141" s="14"/>
      <c r="F141" s="14"/>
      <c r="G141" s="131"/>
    </row>
    <row r="142">
      <c r="A142" s="130"/>
      <c r="B142" s="131"/>
      <c r="C142" s="131"/>
      <c r="D142" s="131"/>
      <c r="E142" s="14"/>
      <c r="F142" s="14"/>
      <c r="G142" s="131"/>
    </row>
    <row r="143">
      <c r="A143" s="130"/>
      <c r="B143" s="131"/>
      <c r="C143" s="131"/>
      <c r="D143" s="131"/>
      <c r="E143" s="14"/>
      <c r="F143" s="14"/>
      <c r="G143" s="131"/>
    </row>
    <row r="144">
      <c r="A144" s="130"/>
      <c r="B144" s="131"/>
      <c r="C144" s="131"/>
      <c r="D144" s="131"/>
      <c r="E144" s="14"/>
      <c r="F144" s="14"/>
      <c r="G144" s="131"/>
    </row>
    <row r="145">
      <c r="A145" s="130"/>
      <c r="B145" s="131"/>
      <c r="C145" s="131"/>
      <c r="D145" s="131"/>
      <c r="E145" s="14"/>
      <c r="F145" s="14"/>
      <c r="G145" s="131"/>
    </row>
    <row r="146">
      <c r="A146" s="130"/>
      <c r="B146" s="131"/>
      <c r="C146" s="131"/>
      <c r="D146" s="131"/>
      <c r="E146" s="14"/>
      <c r="F146" s="14"/>
      <c r="G146" s="131"/>
    </row>
    <row r="147">
      <c r="A147" s="130"/>
      <c r="B147" s="131"/>
      <c r="C147" s="131"/>
      <c r="D147" s="131"/>
      <c r="E147" s="14"/>
      <c r="F147" s="14"/>
      <c r="G147" s="131"/>
    </row>
    <row r="148">
      <c r="A148" s="130"/>
      <c r="B148" s="131"/>
      <c r="C148" s="131"/>
      <c r="D148" s="131"/>
      <c r="E148" s="14"/>
      <c r="F148" s="14"/>
      <c r="G148" s="131"/>
    </row>
    <row r="149">
      <c r="A149" s="130"/>
      <c r="B149" s="131"/>
      <c r="C149" s="131"/>
      <c r="D149" s="131"/>
      <c r="E149" s="14"/>
      <c r="F149" s="14"/>
      <c r="G149" s="131"/>
    </row>
    <row r="150">
      <c r="A150" s="130"/>
      <c r="B150" s="131"/>
      <c r="C150" s="131"/>
      <c r="D150" s="131"/>
      <c r="E150" s="14"/>
      <c r="F150" s="14"/>
      <c r="G150" s="131"/>
    </row>
    <row r="151">
      <c r="A151" s="130"/>
      <c r="B151" s="131"/>
      <c r="C151" s="131"/>
      <c r="D151" s="131"/>
      <c r="E151" s="14"/>
      <c r="F151" s="14"/>
      <c r="G151" s="131"/>
    </row>
    <row r="152">
      <c r="A152" s="130"/>
      <c r="B152" s="131"/>
      <c r="C152" s="131"/>
      <c r="D152" s="131"/>
      <c r="E152" s="14"/>
      <c r="F152" s="14"/>
      <c r="G152" s="131"/>
    </row>
    <row r="153">
      <c r="A153" s="130"/>
      <c r="B153" s="131"/>
      <c r="C153" s="131"/>
      <c r="D153" s="131"/>
      <c r="E153" s="14"/>
      <c r="F153" s="14"/>
      <c r="G153" s="131"/>
    </row>
    <row r="154">
      <c r="A154" s="130"/>
      <c r="B154" s="131"/>
      <c r="C154" s="131"/>
      <c r="D154" s="131"/>
      <c r="E154" s="14"/>
      <c r="F154" s="14"/>
      <c r="G154" s="131"/>
    </row>
    <row r="155">
      <c r="A155" s="130"/>
      <c r="B155" s="131"/>
      <c r="C155" s="131"/>
      <c r="D155" s="131"/>
      <c r="E155" s="14"/>
      <c r="F155" s="14"/>
      <c r="G155" s="131"/>
    </row>
    <row r="156">
      <c r="A156" s="130"/>
      <c r="B156" s="131"/>
      <c r="C156" s="131"/>
      <c r="D156" s="131"/>
      <c r="E156" s="14"/>
      <c r="F156" s="14"/>
      <c r="G156" s="131"/>
    </row>
    <row r="157">
      <c r="A157" s="130"/>
      <c r="B157" s="131"/>
      <c r="C157" s="131"/>
      <c r="D157" s="131"/>
      <c r="E157" s="14"/>
      <c r="F157" s="14"/>
      <c r="G157" s="131"/>
    </row>
    <row r="158">
      <c r="A158" s="130"/>
      <c r="B158" s="131"/>
      <c r="C158" s="131"/>
      <c r="D158" s="131"/>
      <c r="E158" s="14"/>
      <c r="F158" s="14"/>
      <c r="G158" s="131"/>
    </row>
    <row r="159">
      <c r="A159" s="130"/>
      <c r="B159" s="131"/>
      <c r="C159" s="131"/>
      <c r="D159" s="131"/>
      <c r="E159" s="14"/>
      <c r="F159" s="14"/>
      <c r="G159" s="131"/>
    </row>
    <row r="160">
      <c r="A160" s="130"/>
      <c r="B160" s="131"/>
      <c r="C160" s="131"/>
      <c r="D160" s="131"/>
      <c r="E160" s="14"/>
      <c r="F160" s="14"/>
      <c r="G160" s="131"/>
    </row>
    <row r="161">
      <c r="A161" s="130"/>
      <c r="B161" s="131"/>
      <c r="C161" s="131"/>
      <c r="D161" s="131"/>
      <c r="E161" s="14"/>
      <c r="F161" s="14"/>
      <c r="G161" s="131"/>
    </row>
    <row r="162">
      <c r="A162" s="130"/>
      <c r="B162" s="131"/>
      <c r="C162" s="131"/>
      <c r="D162" s="131"/>
      <c r="E162" s="14"/>
      <c r="F162" s="14"/>
      <c r="G162" s="131"/>
    </row>
    <row r="163">
      <c r="A163" s="130"/>
      <c r="B163" s="131"/>
      <c r="C163" s="131"/>
      <c r="D163" s="131"/>
      <c r="E163" s="14"/>
      <c r="F163" s="14"/>
      <c r="G163" s="131"/>
    </row>
    <row r="164">
      <c r="A164" s="130"/>
      <c r="B164" s="131"/>
      <c r="C164" s="131"/>
      <c r="D164" s="131"/>
      <c r="E164" s="14"/>
      <c r="F164" s="14"/>
      <c r="G164" s="131"/>
    </row>
    <row r="165">
      <c r="A165" s="130"/>
      <c r="B165" s="131"/>
      <c r="C165" s="131"/>
      <c r="D165" s="131"/>
      <c r="E165" s="14"/>
      <c r="F165" s="14"/>
      <c r="G165" s="131"/>
    </row>
    <row r="166">
      <c r="A166" s="130"/>
      <c r="B166" s="131"/>
      <c r="C166" s="131"/>
      <c r="D166" s="131"/>
      <c r="E166" s="14"/>
      <c r="F166" s="14"/>
      <c r="G166" s="131"/>
    </row>
    <row r="167">
      <c r="A167" s="130"/>
      <c r="B167" s="131"/>
      <c r="C167" s="131"/>
      <c r="D167" s="131"/>
      <c r="E167" s="14"/>
      <c r="F167" s="14"/>
      <c r="G167" s="131"/>
    </row>
    <row r="168">
      <c r="A168" s="130"/>
      <c r="B168" s="131"/>
      <c r="C168" s="131"/>
      <c r="D168" s="131"/>
      <c r="E168" s="14"/>
      <c r="F168" s="14"/>
      <c r="G168" s="131"/>
    </row>
    <row r="169">
      <c r="A169" s="130"/>
      <c r="B169" s="131"/>
      <c r="C169" s="131"/>
      <c r="D169" s="131"/>
      <c r="E169" s="14"/>
      <c r="F169" s="14"/>
      <c r="G169" s="131"/>
    </row>
    <row r="170">
      <c r="A170" s="130"/>
      <c r="B170" s="131"/>
      <c r="C170" s="131"/>
      <c r="D170" s="131"/>
      <c r="E170" s="14"/>
      <c r="F170" s="14"/>
      <c r="G170" s="131"/>
    </row>
    <row r="171">
      <c r="A171" s="130"/>
      <c r="B171" s="131"/>
      <c r="C171" s="131"/>
      <c r="D171" s="131"/>
      <c r="E171" s="14"/>
      <c r="F171" s="14"/>
      <c r="G171" s="131"/>
    </row>
    <row r="172">
      <c r="A172" s="130"/>
      <c r="B172" s="131"/>
      <c r="C172" s="131"/>
      <c r="D172" s="131"/>
      <c r="E172" s="14"/>
      <c r="F172" s="14"/>
      <c r="G172" s="131"/>
    </row>
    <row r="173">
      <c r="A173" s="130"/>
      <c r="B173" s="131"/>
      <c r="C173" s="131"/>
      <c r="D173" s="131"/>
      <c r="E173" s="14"/>
      <c r="F173" s="14"/>
      <c r="G173" s="131"/>
    </row>
    <row r="174">
      <c r="A174" s="130"/>
      <c r="B174" s="131"/>
      <c r="C174" s="131"/>
      <c r="D174" s="131"/>
      <c r="E174" s="14"/>
      <c r="F174" s="14"/>
      <c r="G174" s="131"/>
    </row>
    <row r="175">
      <c r="A175" s="130"/>
      <c r="B175" s="131"/>
      <c r="C175" s="131"/>
      <c r="D175" s="131"/>
      <c r="E175" s="14"/>
      <c r="F175" s="14"/>
      <c r="G175" s="131"/>
    </row>
    <row r="176">
      <c r="A176" s="130"/>
      <c r="B176" s="131"/>
      <c r="C176" s="131"/>
      <c r="D176" s="131"/>
      <c r="E176" s="14"/>
      <c r="F176" s="14"/>
      <c r="G176" s="131"/>
    </row>
    <row r="177">
      <c r="A177" s="130"/>
      <c r="B177" s="131"/>
      <c r="C177" s="131"/>
      <c r="D177" s="131"/>
      <c r="E177" s="14"/>
      <c r="F177" s="14"/>
      <c r="G177" s="131"/>
    </row>
    <row r="178">
      <c r="A178" s="130"/>
      <c r="B178" s="131"/>
      <c r="C178" s="131"/>
      <c r="D178" s="131"/>
      <c r="E178" s="14"/>
      <c r="F178" s="14"/>
      <c r="G178" s="131"/>
    </row>
    <row r="179">
      <c r="A179" s="130"/>
      <c r="B179" s="131"/>
      <c r="C179" s="131"/>
      <c r="D179" s="131"/>
      <c r="E179" s="14"/>
      <c r="F179" s="14"/>
      <c r="G179" s="131"/>
    </row>
    <row r="180">
      <c r="A180" s="130"/>
      <c r="B180" s="131"/>
      <c r="C180" s="131"/>
      <c r="D180" s="131"/>
      <c r="E180" s="14"/>
      <c r="F180" s="14"/>
      <c r="G180" s="131"/>
    </row>
    <row r="181">
      <c r="A181" s="130"/>
      <c r="B181" s="131"/>
      <c r="C181" s="131"/>
      <c r="D181" s="131"/>
      <c r="E181" s="14"/>
      <c r="F181" s="14"/>
      <c r="G181" s="131"/>
    </row>
    <row r="182">
      <c r="A182" s="130"/>
      <c r="B182" s="131"/>
      <c r="C182" s="131"/>
      <c r="D182" s="131"/>
      <c r="E182" s="14"/>
      <c r="F182" s="14"/>
      <c r="G182" s="131"/>
    </row>
    <row r="183">
      <c r="A183" s="130"/>
      <c r="B183" s="131"/>
      <c r="C183" s="131"/>
      <c r="D183" s="131"/>
      <c r="E183" s="14"/>
      <c r="F183" s="14"/>
      <c r="G183" s="131"/>
    </row>
    <row r="184">
      <c r="A184" s="130"/>
      <c r="B184" s="131"/>
      <c r="C184" s="131"/>
      <c r="D184" s="131"/>
      <c r="E184" s="14"/>
      <c r="F184" s="14"/>
      <c r="G184" s="131"/>
    </row>
    <row r="185">
      <c r="A185" s="130"/>
      <c r="B185" s="131"/>
      <c r="C185" s="131"/>
      <c r="D185" s="131"/>
      <c r="E185" s="14"/>
      <c r="F185" s="14"/>
      <c r="G185" s="131"/>
    </row>
    <row r="186">
      <c r="A186" s="130"/>
      <c r="B186" s="131"/>
      <c r="C186" s="131"/>
      <c r="D186" s="131"/>
      <c r="E186" s="14"/>
      <c r="F186" s="14"/>
      <c r="G186" s="131"/>
    </row>
    <row r="187">
      <c r="A187" s="130"/>
      <c r="B187" s="131"/>
      <c r="C187" s="131"/>
      <c r="D187" s="131"/>
      <c r="E187" s="14"/>
      <c r="F187" s="14"/>
      <c r="G187" s="131"/>
    </row>
    <row r="188">
      <c r="A188" s="130"/>
      <c r="B188" s="131"/>
      <c r="C188" s="131"/>
      <c r="D188" s="131"/>
      <c r="E188" s="14"/>
      <c r="F188" s="14"/>
      <c r="G188" s="131"/>
    </row>
    <row r="189">
      <c r="A189" s="130"/>
      <c r="B189" s="131"/>
      <c r="C189" s="131"/>
      <c r="D189" s="131"/>
      <c r="E189" s="14"/>
      <c r="F189" s="14"/>
      <c r="G189" s="131"/>
    </row>
    <row r="190">
      <c r="A190" s="130"/>
      <c r="B190" s="131"/>
      <c r="C190" s="131"/>
      <c r="D190" s="131"/>
      <c r="E190" s="14"/>
      <c r="F190" s="14"/>
      <c r="G190" s="131"/>
    </row>
    <row r="191">
      <c r="A191" s="130"/>
      <c r="B191" s="131"/>
      <c r="C191" s="131"/>
      <c r="D191" s="131"/>
      <c r="E191" s="14"/>
      <c r="F191" s="14"/>
      <c r="G191" s="131"/>
    </row>
    <row r="192">
      <c r="A192" s="130"/>
      <c r="B192" s="131"/>
      <c r="C192" s="131"/>
      <c r="D192" s="131"/>
      <c r="E192" s="14"/>
      <c r="F192" s="14"/>
      <c r="G192" s="131"/>
    </row>
    <row r="193">
      <c r="A193" s="130"/>
      <c r="B193" s="131"/>
      <c r="C193" s="131"/>
      <c r="D193" s="131"/>
      <c r="E193" s="14"/>
      <c r="F193" s="14"/>
      <c r="G193" s="131"/>
    </row>
    <row r="194">
      <c r="A194" s="130"/>
      <c r="B194" s="131"/>
      <c r="C194" s="131"/>
      <c r="D194" s="131"/>
      <c r="E194" s="14"/>
      <c r="F194" s="14"/>
      <c r="G194" s="131"/>
    </row>
    <row r="195">
      <c r="A195" s="130"/>
      <c r="B195" s="131"/>
      <c r="C195" s="131"/>
      <c r="D195" s="131"/>
      <c r="E195" s="14"/>
      <c r="F195" s="14"/>
      <c r="G195" s="131"/>
    </row>
    <row r="196">
      <c r="A196" s="130"/>
      <c r="B196" s="131"/>
      <c r="C196" s="131"/>
      <c r="D196" s="131"/>
      <c r="E196" s="14"/>
      <c r="F196" s="14"/>
      <c r="G196" s="131"/>
    </row>
    <row r="197">
      <c r="A197" s="130"/>
      <c r="B197" s="131"/>
      <c r="C197" s="131"/>
      <c r="D197" s="131"/>
      <c r="E197" s="14"/>
      <c r="F197" s="14"/>
      <c r="G197" s="131"/>
    </row>
    <row r="198">
      <c r="A198" s="130"/>
      <c r="B198" s="131"/>
      <c r="C198" s="131"/>
      <c r="D198" s="131"/>
      <c r="E198" s="14"/>
      <c r="F198" s="14"/>
      <c r="G198" s="131"/>
    </row>
    <row r="199">
      <c r="A199" s="130"/>
      <c r="B199" s="131"/>
      <c r="C199" s="131"/>
      <c r="D199" s="131"/>
      <c r="E199" s="14"/>
      <c r="F199" s="14"/>
      <c r="G199" s="131"/>
    </row>
    <row r="200">
      <c r="A200" s="130"/>
      <c r="B200" s="131"/>
      <c r="C200" s="131"/>
      <c r="D200" s="131"/>
      <c r="E200" s="14"/>
      <c r="F200" s="14"/>
      <c r="G200" s="131"/>
    </row>
    <row r="201">
      <c r="A201" s="130"/>
      <c r="B201" s="131"/>
      <c r="C201" s="131"/>
      <c r="D201" s="131"/>
      <c r="E201" s="14"/>
      <c r="F201" s="14"/>
      <c r="G201" s="131"/>
    </row>
    <row r="202">
      <c r="A202" s="130"/>
      <c r="B202" s="131"/>
      <c r="C202" s="131"/>
      <c r="D202" s="131"/>
      <c r="E202" s="14"/>
      <c r="F202" s="14"/>
      <c r="G202" s="131"/>
    </row>
    <row r="203">
      <c r="A203" s="130"/>
      <c r="B203" s="131"/>
      <c r="C203" s="131"/>
      <c r="D203" s="131"/>
      <c r="E203" s="14"/>
      <c r="F203" s="14"/>
      <c r="G203" s="131"/>
    </row>
    <row r="204">
      <c r="A204" s="130"/>
      <c r="B204" s="131"/>
      <c r="C204" s="131"/>
      <c r="D204" s="131"/>
      <c r="E204" s="14"/>
      <c r="F204" s="14"/>
      <c r="G204" s="131"/>
    </row>
    <row r="205">
      <c r="A205" s="130"/>
      <c r="B205" s="131"/>
      <c r="C205" s="131"/>
      <c r="D205" s="131"/>
      <c r="E205" s="14"/>
      <c r="F205" s="14"/>
      <c r="G205" s="131"/>
    </row>
    <row r="206">
      <c r="A206" s="130"/>
      <c r="B206" s="131"/>
      <c r="C206" s="131"/>
      <c r="D206" s="131"/>
      <c r="E206" s="14"/>
      <c r="F206" s="14"/>
      <c r="G206" s="131"/>
    </row>
    <row r="207">
      <c r="A207" s="130"/>
      <c r="B207" s="131"/>
      <c r="C207" s="131"/>
      <c r="D207" s="131"/>
      <c r="E207" s="14"/>
      <c r="F207" s="14"/>
      <c r="G207" s="131"/>
    </row>
    <row r="208">
      <c r="A208" s="130"/>
      <c r="B208" s="131"/>
      <c r="C208" s="131"/>
      <c r="D208" s="131"/>
      <c r="E208" s="14"/>
      <c r="F208" s="14"/>
      <c r="G208" s="131"/>
    </row>
    <row r="209">
      <c r="A209" s="130"/>
      <c r="B209" s="131"/>
      <c r="C209" s="131"/>
      <c r="D209" s="131"/>
      <c r="E209" s="14"/>
      <c r="F209" s="14"/>
      <c r="G209" s="131"/>
    </row>
    <row r="210">
      <c r="A210" s="130"/>
      <c r="B210" s="131"/>
      <c r="C210" s="131"/>
      <c r="D210" s="131"/>
      <c r="E210" s="14"/>
      <c r="F210" s="14"/>
      <c r="G210" s="131"/>
    </row>
    <row r="211">
      <c r="A211" s="130"/>
      <c r="B211" s="131"/>
      <c r="C211" s="131"/>
      <c r="D211" s="131"/>
      <c r="E211" s="14"/>
      <c r="F211" s="14"/>
      <c r="G211" s="131"/>
    </row>
    <row r="212">
      <c r="A212" s="130"/>
      <c r="B212" s="131"/>
      <c r="C212" s="131"/>
      <c r="D212" s="131"/>
      <c r="E212" s="14"/>
      <c r="F212" s="14"/>
      <c r="G212" s="131"/>
    </row>
    <row r="213">
      <c r="A213" s="130"/>
      <c r="B213" s="131"/>
      <c r="C213" s="131"/>
      <c r="D213" s="131"/>
      <c r="E213" s="14"/>
      <c r="F213" s="14"/>
      <c r="G213" s="131"/>
    </row>
    <row r="214">
      <c r="A214" s="130"/>
      <c r="B214" s="131"/>
      <c r="C214" s="131"/>
      <c r="D214" s="131"/>
      <c r="E214" s="14"/>
      <c r="F214" s="14"/>
      <c r="G214" s="131"/>
    </row>
    <row r="215">
      <c r="A215" s="130"/>
      <c r="B215" s="131"/>
      <c r="C215" s="131"/>
      <c r="D215" s="131"/>
      <c r="E215" s="14"/>
      <c r="F215" s="14"/>
      <c r="G215" s="131"/>
    </row>
    <row r="216">
      <c r="A216" s="130"/>
      <c r="B216" s="131"/>
      <c r="C216" s="131"/>
      <c r="D216" s="131"/>
      <c r="E216" s="14"/>
      <c r="F216" s="14"/>
      <c r="G216" s="131"/>
    </row>
    <row r="217">
      <c r="A217" s="130"/>
      <c r="B217" s="131"/>
      <c r="C217" s="131"/>
      <c r="D217" s="131"/>
      <c r="E217" s="14"/>
      <c r="F217" s="14"/>
      <c r="G217" s="131"/>
    </row>
    <row r="218">
      <c r="A218" s="130"/>
      <c r="B218" s="131"/>
      <c r="C218" s="131"/>
      <c r="D218" s="131"/>
      <c r="E218" s="14"/>
      <c r="F218" s="14"/>
      <c r="G218" s="131"/>
    </row>
    <row r="219">
      <c r="A219" s="130"/>
      <c r="B219" s="131"/>
      <c r="C219" s="131"/>
      <c r="D219" s="131"/>
      <c r="E219" s="14"/>
      <c r="F219" s="14"/>
      <c r="G219" s="131"/>
    </row>
    <row r="220">
      <c r="A220" s="130"/>
      <c r="B220" s="131"/>
      <c r="C220" s="131"/>
      <c r="D220" s="131"/>
      <c r="E220" s="14"/>
      <c r="F220" s="14"/>
      <c r="G220" s="131"/>
    </row>
    <row r="221">
      <c r="A221" s="130"/>
      <c r="B221" s="131"/>
      <c r="C221" s="131"/>
      <c r="D221" s="131"/>
      <c r="E221" s="14"/>
      <c r="F221" s="14"/>
      <c r="G221" s="131"/>
    </row>
    <row r="222">
      <c r="A222" s="130"/>
      <c r="B222" s="131"/>
      <c r="C222" s="131"/>
      <c r="D222" s="131"/>
      <c r="E222" s="14"/>
      <c r="F222" s="14"/>
      <c r="G222" s="131"/>
    </row>
    <row r="223">
      <c r="A223" s="130"/>
      <c r="B223" s="131"/>
      <c r="C223" s="131"/>
      <c r="D223" s="131"/>
      <c r="E223" s="14"/>
      <c r="F223" s="14"/>
      <c r="G223" s="131"/>
    </row>
    <row r="224">
      <c r="A224" s="130"/>
      <c r="B224" s="131"/>
      <c r="C224" s="131"/>
      <c r="D224" s="131"/>
      <c r="E224" s="14"/>
      <c r="F224" s="14"/>
      <c r="G224" s="131"/>
    </row>
    <row r="225">
      <c r="A225" s="130"/>
      <c r="B225" s="131"/>
      <c r="C225" s="131"/>
      <c r="D225" s="131"/>
      <c r="E225" s="14"/>
      <c r="F225" s="14"/>
      <c r="G225" s="131"/>
    </row>
    <row r="226">
      <c r="A226" s="130"/>
      <c r="B226" s="131"/>
      <c r="C226" s="131"/>
      <c r="D226" s="131"/>
      <c r="E226" s="14"/>
      <c r="F226" s="14"/>
      <c r="G226" s="131"/>
    </row>
    <row r="227">
      <c r="A227" s="130"/>
      <c r="B227" s="131"/>
      <c r="C227" s="131"/>
      <c r="D227" s="131"/>
      <c r="E227" s="14"/>
      <c r="F227" s="14"/>
      <c r="G227" s="131"/>
    </row>
    <row r="228">
      <c r="A228" s="130"/>
      <c r="B228" s="131"/>
      <c r="C228" s="131"/>
      <c r="D228" s="131"/>
      <c r="E228" s="14"/>
      <c r="F228" s="14"/>
      <c r="G228" s="131"/>
    </row>
    <row r="229">
      <c r="A229" s="130"/>
      <c r="B229" s="131"/>
      <c r="C229" s="131"/>
      <c r="D229" s="131"/>
      <c r="E229" s="14"/>
      <c r="F229" s="14"/>
      <c r="G229" s="131"/>
    </row>
    <row r="230">
      <c r="A230" s="130"/>
      <c r="B230" s="131"/>
      <c r="C230" s="131"/>
      <c r="D230" s="131"/>
      <c r="E230" s="14"/>
      <c r="F230" s="14"/>
      <c r="G230" s="131"/>
    </row>
    <row r="231">
      <c r="A231" s="130"/>
      <c r="B231" s="131"/>
      <c r="C231" s="131"/>
      <c r="D231" s="131"/>
      <c r="E231" s="14"/>
      <c r="F231" s="14"/>
      <c r="G231" s="131"/>
    </row>
    <row r="232">
      <c r="A232" s="130"/>
      <c r="B232" s="131"/>
      <c r="C232" s="131"/>
      <c r="D232" s="131"/>
      <c r="E232" s="14"/>
      <c r="F232" s="14"/>
      <c r="G232" s="131"/>
    </row>
    <row r="233">
      <c r="A233" s="130"/>
      <c r="B233" s="131"/>
      <c r="C233" s="131"/>
      <c r="D233" s="131"/>
      <c r="E233" s="14"/>
      <c r="F233" s="14"/>
      <c r="G233" s="131"/>
    </row>
    <row r="234">
      <c r="A234" s="130"/>
      <c r="B234" s="131"/>
      <c r="C234" s="131"/>
      <c r="D234" s="131"/>
      <c r="E234" s="14"/>
      <c r="F234" s="14"/>
      <c r="G234" s="131"/>
    </row>
    <row r="235">
      <c r="A235" s="130"/>
      <c r="B235" s="131"/>
      <c r="C235" s="131"/>
      <c r="D235" s="131"/>
      <c r="E235" s="14"/>
      <c r="F235" s="14"/>
      <c r="G235" s="131"/>
    </row>
    <row r="236">
      <c r="A236" s="130"/>
      <c r="B236" s="131"/>
      <c r="C236" s="131"/>
      <c r="D236" s="131"/>
      <c r="E236" s="14"/>
      <c r="F236" s="14"/>
      <c r="G236" s="131"/>
    </row>
    <row r="237">
      <c r="A237" s="130"/>
      <c r="B237" s="131"/>
      <c r="C237" s="131"/>
      <c r="D237" s="131"/>
      <c r="E237" s="14"/>
      <c r="F237" s="14"/>
      <c r="G237" s="131"/>
    </row>
    <row r="238">
      <c r="A238" s="130"/>
      <c r="B238" s="131"/>
      <c r="C238" s="131"/>
      <c r="D238" s="131"/>
      <c r="E238" s="14"/>
      <c r="F238" s="14"/>
      <c r="G238" s="131"/>
    </row>
    <row r="239">
      <c r="A239" s="130"/>
      <c r="B239" s="131"/>
      <c r="C239" s="131"/>
      <c r="D239" s="131"/>
      <c r="E239" s="14"/>
      <c r="F239" s="14"/>
      <c r="G239" s="131"/>
    </row>
    <row r="240">
      <c r="A240" s="130"/>
      <c r="B240" s="131"/>
      <c r="C240" s="131"/>
      <c r="D240" s="131"/>
      <c r="E240" s="14"/>
      <c r="F240" s="14"/>
      <c r="G240" s="131"/>
    </row>
    <row r="241">
      <c r="A241" s="130"/>
      <c r="B241" s="131"/>
      <c r="C241" s="131"/>
      <c r="D241" s="131"/>
      <c r="E241" s="14"/>
      <c r="F241" s="14"/>
      <c r="G241" s="131"/>
    </row>
    <row r="242">
      <c r="A242" s="130"/>
      <c r="B242" s="131"/>
      <c r="C242" s="131"/>
      <c r="D242" s="131"/>
      <c r="E242" s="14"/>
      <c r="F242" s="14"/>
      <c r="G242" s="131"/>
    </row>
    <row r="243">
      <c r="A243" s="130"/>
      <c r="B243" s="131"/>
      <c r="C243" s="131"/>
      <c r="D243" s="131"/>
      <c r="E243" s="14"/>
      <c r="F243" s="14"/>
      <c r="G243" s="131"/>
    </row>
    <row r="244">
      <c r="A244" s="130"/>
      <c r="B244" s="131"/>
      <c r="C244" s="131"/>
      <c r="D244" s="131"/>
      <c r="E244" s="14"/>
      <c r="F244" s="14"/>
      <c r="G244" s="131"/>
    </row>
    <row r="245">
      <c r="A245" s="130"/>
      <c r="B245" s="131"/>
      <c r="C245" s="131"/>
      <c r="D245" s="131"/>
      <c r="E245" s="14"/>
      <c r="F245" s="14"/>
      <c r="G245" s="131"/>
    </row>
    <row r="246">
      <c r="A246" s="130"/>
      <c r="B246" s="131"/>
      <c r="C246" s="131"/>
      <c r="D246" s="131"/>
      <c r="E246" s="14"/>
      <c r="F246" s="14"/>
      <c r="G246" s="131"/>
    </row>
    <row r="247">
      <c r="A247" s="130"/>
      <c r="B247" s="131"/>
      <c r="C247" s="131"/>
      <c r="D247" s="131"/>
      <c r="E247" s="14"/>
      <c r="F247" s="14"/>
      <c r="G247" s="131"/>
    </row>
    <row r="248">
      <c r="A248" s="130"/>
      <c r="B248" s="131"/>
      <c r="C248" s="131"/>
      <c r="D248" s="131"/>
      <c r="E248" s="14"/>
      <c r="F248" s="14"/>
      <c r="G248" s="131"/>
    </row>
    <row r="249">
      <c r="A249" s="130"/>
      <c r="B249" s="131"/>
      <c r="C249" s="131"/>
      <c r="D249" s="131"/>
      <c r="E249" s="14"/>
      <c r="F249" s="14"/>
      <c r="G249" s="131"/>
    </row>
    <row r="250">
      <c r="A250" s="130"/>
      <c r="B250" s="131"/>
      <c r="C250" s="131"/>
      <c r="D250" s="131"/>
      <c r="E250" s="14"/>
      <c r="F250" s="14"/>
      <c r="G250" s="131"/>
    </row>
    <row r="251">
      <c r="A251" s="130"/>
      <c r="B251" s="131"/>
      <c r="C251" s="131"/>
      <c r="D251" s="131"/>
      <c r="E251" s="14"/>
      <c r="F251" s="14"/>
      <c r="G251" s="131"/>
    </row>
    <row r="252">
      <c r="A252" s="130"/>
      <c r="B252" s="131"/>
      <c r="C252" s="131"/>
      <c r="D252" s="131"/>
      <c r="E252" s="14"/>
      <c r="F252" s="14"/>
      <c r="G252" s="131"/>
    </row>
    <row r="253">
      <c r="A253" s="130"/>
      <c r="B253" s="131"/>
      <c r="C253" s="131"/>
      <c r="D253" s="131"/>
      <c r="E253" s="14"/>
      <c r="F253" s="14"/>
      <c r="G253" s="131"/>
    </row>
    <row r="254">
      <c r="A254" s="130"/>
      <c r="B254" s="131"/>
      <c r="C254" s="131"/>
      <c r="D254" s="131"/>
      <c r="E254" s="14"/>
      <c r="F254" s="14"/>
      <c r="G254" s="131"/>
    </row>
    <row r="255">
      <c r="A255" s="130"/>
      <c r="B255" s="131"/>
      <c r="C255" s="131"/>
      <c r="D255" s="131"/>
      <c r="E255" s="14"/>
      <c r="F255" s="14"/>
      <c r="G255" s="131"/>
    </row>
    <row r="256">
      <c r="A256" s="130"/>
      <c r="B256" s="131"/>
      <c r="C256" s="131"/>
      <c r="D256" s="131"/>
      <c r="E256" s="14"/>
      <c r="F256" s="14"/>
      <c r="G256" s="131"/>
    </row>
    <row r="257">
      <c r="A257" s="130"/>
      <c r="B257" s="131"/>
      <c r="C257" s="131"/>
      <c r="D257" s="131"/>
      <c r="E257" s="14"/>
      <c r="F257" s="14"/>
      <c r="G257" s="131"/>
    </row>
    <row r="258">
      <c r="A258" s="130"/>
      <c r="B258" s="131"/>
      <c r="C258" s="131"/>
      <c r="D258" s="131"/>
      <c r="E258" s="14"/>
      <c r="F258" s="14"/>
      <c r="G258" s="131"/>
    </row>
    <row r="259">
      <c r="A259" s="130"/>
      <c r="B259" s="131"/>
      <c r="C259" s="131"/>
      <c r="D259" s="131"/>
      <c r="E259" s="14"/>
      <c r="F259" s="14"/>
      <c r="G259" s="131"/>
    </row>
    <row r="260">
      <c r="A260" s="130"/>
      <c r="B260" s="131"/>
      <c r="C260" s="131"/>
      <c r="D260" s="131"/>
      <c r="E260" s="14"/>
      <c r="F260" s="14"/>
      <c r="G260" s="131"/>
    </row>
    <row r="261">
      <c r="A261" s="130"/>
      <c r="B261" s="131"/>
      <c r="C261" s="131"/>
      <c r="D261" s="131"/>
      <c r="E261" s="14"/>
      <c r="F261" s="14"/>
      <c r="G261" s="131"/>
    </row>
    <row r="262">
      <c r="A262" s="130"/>
      <c r="B262" s="131"/>
      <c r="C262" s="131"/>
      <c r="D262" s="131"/>
      <c r="E262" s="14"/>
      <c r="F262" s="14"/>
      <c r="G262" s="131"/>
    </row>
    <row r="263">
      <c r="A263" s="130"/>
      <c r="B263" s="131"/>
      <c r="C263" s="131"/>
      <c r="D263" s="131"/>
      <c r="E263" s="14"/>
      <c r="F263" s="14"/>
      <c r="G263" s="131"/>
    </row>
    <row r="264">
      <c r="A264" s="130"/>
      <c r="B264" s="131"/>
      <c r="C264" s="131"/>
      <c r="D264" s="131"/>
      <c r="E264" s="14"/>
      <c r="F264" s="14"/>
      <c r="G264" s="131"/>
    </row>
    <row r="265">
      <c r="A265" s="130"/>
      <c r="B265" s="131"/>
      <c r="C265" s="131"/>
      <c r="D265" s="131"/>
      <c r="E265" s="14"/>
      <c r="F265" s="14"/>
      <c r="G265" s="131"/>
    </row>
    <row r="266">
      <c r="A266" s="130"/>
      <c r="B266" s="131"/>
      <c r="C266" s="131"/>
      <c r="D266" s="131"/>
      <c r="E266" s="14"/>
      <c r="F266" s="14"/>
      <c r="G266" s="131"/>
    </row>
    <row r="267">
      <c r="A267" s="130"/>
      <c r="B267" s="131"/>
      <c r="C267" s="131"/>
      <c r="D267" s="131"/>
      <c r="E267" s="14"/>
      <c r="F267" s="14"/>
      <c r="G267" s="131"/>
    </row>
    <row r="268">
      <c r="A268" s="130"/>
      <c r="B268" s="131"/>
      <c r="C268" s="131"/>
      <c r="D268" s="131"/>
      <c r="E268" s="14"/>
      <c r="F268" s="14"/>
      <c r="G268" s="131"/>
    </row>
    <row r="269">
      <c r="A269" s="130"/>
      <c r="B269" s="131"/>
      <c r="C269" s="131"/>
      <c r="D269" s="131"/>
      <c r="E269" s="14"/>
      <c r="F269" s="14"/>
      <c r="G269" s="131"/>
    </row>
    <row r="270">
      <c r="A270" s="130"/>
      <c r="B270" s="131"/>
      <c r="C270" s="131"/>
      <c r="D270" s="131"/>
      <c r="E270" s="14"/>
      <c r="F270" s="14"/>
      <c r="G270" s="131"/>
    </row>
    <row r="271">
      <c r="A271" s="130"/>
      <c r="B271" s="131"/>
      <c r="C271" s="131"/>
      <c r="D271" s="131"/>
      <c r="E271" s="14"/>
      <c r="F271" s="14"/>
      <c r="G271" s="131"/>
    </row>
    <row r="272">
      <c r="A272" s="130"/>
      <c r="B272" s="131"/>
      <c r="C272" s="131"/>
      <c r="D272" s="131"/>
      <c r="E272" s="14"/>
      <c r="F272" s="14"/>
      <c r="G272" s="131"/>
    </row>
    <row r="273">
      <c r="A273" s="130"/>
      <c r="B273" s="131"/>
      <c r="C273" s="131"/>
      <c r="D273" s="131"/>
      <c r="E273" s="14"/>
      <c r="F273" s="14"/>
      <c r="G273" s="131"/>
    </row>
    <row r="274">
      <c r="A274" s="130"/>
      <c r="B274" s="131"/>
      <c r="C274" s="131"/>
      <c r="D274" s="131"/>
      <c r="E274" s="14"/>
      <c r="F274" s="14"/>
      <c r="G274" s="131"/>
    </row>
    <row r="275">
      <c r="A275" s="130"/>
      <c r="B275" s="131"/>
      <c r="C275" s="131"/>
      <c r="D275" s="131"/>
      <c r="E275" s="14"/>
      <c r="F275" s="14"/>
      <c r="G275" s="131"/>
    </row>
    <row r="276">
      <c r="A276" s="130"/>
      <c r="B276" s="131"/>
      <c r="C276" s="131"/>
      <c r="D276" s="131"/>
      <c r="E276" s="14"/>
      <c r="F276" s="14"/>
      <c r="G276" s="131"/>
    </row>
    <row r="277">
      <c r="A277" s="130"/>
      <c r="B277" s="131"/>
      <c r="C277" s="131"/>
      <c r="D277" s="131"/>
      <c r="E277" s="14"/>
      <c r="F277" s="14"/>
      <c r="G277" s="131"/>
    </row>
    <row r="278">
      <c r="A278" s="130"/>
      <c r="B278" s="131"/>
      <c r="C278" s="131"/>
      <c r="D278" s="131"/>
      <c r="E278" s="14"/>
      <c r="F278" s="14"/>
      <c r="G278" s="131"/>
    </row>
    <row r="279">
      <c r="A279" s="130"/>
      <c r="B279" s="131"/>
      <c r="C279" s="131"/>
      <c r="D279" s="131"/>
      <c r="E279" s="14"/>
      <c r="F279" s="14"/>
      <c r="G279" s="131"/>
    </row>
    <row r="280">
      <c r="A280" s="130"/>
      <c r="B280" s="131"/>
      <c r="C280" s="131"/>
      <c r="D280" s="131"/>
      <c r="E280" s="14"/>
      <c r="F280" s="14"/>
      <c r="G280" s="131"/>
    </row>
    <row r="281">
      <c r="A281" s="130"/>
      <c r="B281" s="131"/>
      <c r="C281" s="131"/>
      <c r="D281" s="131"/>
      <c r="E281" s="14"/>
      <c r="F281" s="14"/>
      <c r="G281" s="131"/>
    </row>
    <row r="282">
      <c r="A282" s="130"/>
      <c r="B282" s="131"/>
      <c r="C282" s="131"/>
      <c r="D282" s="131"/>
      <c r="E282" s="14"/>
      <c r="F282" s="14"/>
      <c r="G282" s="131"/>
    </row>
    <row r="283">
      <c r="A283" s="130"/>
      <c r="B283" s="131"/>
      <c r="C283" s="131"/>
      <c r="D283" s="131"/>
      <c r="E283" s="14"/>
      <c r="F283" s="14"/>
      <c r="G283" s="131"/>
    </row>
    <row r="284">
      <c r="A284" s="130"/>
      <c r="B284" s="131"/>
      <c r="C284" s="131"/>
      <c r="D284" s="131"/>
      <c r="E284" s="14"/>
      <c r="F284" s="14"/>
      <c r="G284" s="131"/>
    </row>
    <row r="285">
      <c r="A285" s="130"/>
      <c r="B285" s="131"/>
      <c r="C285" s="131"/>
      <c r="D285" s="131"/>
      <c r="E285" s="14"/>
      <c r="F285" s="14"/>
      <c r="G285" s="131"/>
    </row>
    <row r="286">
      <c r="A286" s="130"/>
      <c r="B286" s="131"/>
      <c r="C286" s="131"/>
      <c r="D286" s="131"/>
      <c r="E286" s="14"/>
      <c r="F286" s="14"/>
      <c r="G286" s="131"/>
    </row>
    <row r="287">
      <c r="A287" s="130"/>
      <c r="B287" s="131"/>
      <c r="C287" s="131"/>
      <c r="D287" s="131"/>
      <c r="E287" s="14"/>
      <c r="F287" s="14"/>
      <c r="G287" s="131"/>
    </row>
    <row r="288">
      <c r="A288" s="130"/>
      <c r="B288" s="131"/>
      <c r="C288" s="131"/>
      <c r="D288" s="131"/>
      <c r="E288" s="14"/>
      <c r="F288" s="14"/>
      <c r="G288" s="131"/>
    </row>
    <row r="289">
      <c r="A289" s="130"/>
      <c r="B289" s="131"/>
      <c r="C289" s="131"/>
      <c r="D289" s="131"/>
      <c r="E289" s="14"/>
      <c r="F289" s="14"/>
      <c r="G289" s="131"/>
    </row>
    <row r="290">
      <c r="A290" s="130"/>
      <c r="B290" s="131"/>
      <c r="C290" s="131"/>
      <c r="D290" s="131"/>
      <c r="E290" s="14"/>
      <c r="F290" s="14"/>
      <c r="G290" s="131"/>
    </row>
    <row r="291">
      <c r="A291" s="130"/>
      <c r="B291" s="131"/>
      <c r="C291" s="131"/>
      <c r="D291" s="131"/>
      <c r="E291" s="14"/>
      <c r="F291" s="14"/>
      <c r="G291" s="131"/>
    </row>
    <row r="292">
      <c r="A292" s="130"/>
      <c r="B292" s="131"/>
      <c r="C292" s="131"/>
      <c r="D292" s="131"/>
      <c r="E292" s="14"/>
      <c r="F292" s="14"/>
      <c r="G292" s="131"/>
    </row>
    <row r="293">
      <c r="A293" s="130"/>
      <c r="B293" s="131"/>
      <c r="C293" s="131"/>
      <c r="D293" s="131"/>
      <c r="E293" s="14"/>
      <c r="F293" s="14"/>
      <c r="G293" s="131"/>
    </row>
    <row r="294">
      <c r="A294" s="130"/>
      <c r="B294" s="131"/>
      <c r="C294" s="131"/>
      <c r="D294" s="131"/>
      <c r="E294" s="14"/>
      <c r="F294" s="14"/>
      <c r="G294" s="131"/>
    </row>
    <row r="295">
      <c r="A295" s="130"/>
      <c r="B295" s="131"/>
      <c r="C295" s="131"/>
      <c r="D295" s="131"/>
      <c r="E295" s="14"/>
      <c r="F295" s="14"/>
      <c r="G295" s="131"/>
    </row>
    <row r="296">
      <c r="A296" s="130"/>
      <c r="B296" s="131"/>
      <c r="C296" s="131"/>
      <c r="D296" s="131"/>
      <c r="E296" s="14"/>
      <c r="F296" s="14"/>
      <c r="G296" s="131"/>
    </row>
    <row r="297">
      <c r="A297" s="130"/>
      <c r="B297" s="131"/>
      <c r="C297" s="131"/>
      <c r="D297" s="131"/>
      <c r="E297" s="14"/>
      <c r="F297" s="14"/>
      <c r="G297" s="131"/>
    </row>
    <row r="298">
      <c r="A298" s="130"/>
      <c r="B298" s="131"/>
      <c r="C298" s="131"/>
      <c r="D298" s="131"/>
      <c r="E298" s="14"/>
      <c r="F298" s="14"/>
      <c r="G298" s="131"/>
    </row>
    <row r="299">
      <c r="A299" s="130"/>
      <c r="B299" s="131"/>
      <c r="C299" s="131"/>
      <c r="D299" s="131"/>
      <c r="E299" s="14"/>
      <c r="F299" s="14"/>
      <c r="G299" s="131"/>
    </row>
    <row r="300">
      <c r="A300" s="130"/>
      <c r="B300" s="131"/>
      <c r="C300" s="131"/>
      <c r="D300" s="131"/>
      <c r="E300" s="14"/>
      <c r="F300" s="14"/>
      <c r="G300" s="131"/>
    </row>
    <row r="301">
      <c r="A301" s="130"/>
      <c r="B301" s="131"/>
      <c r="C301" s="131"/>
      <c r="D301" s="131"/>
      <c r="E301" s="14"/>
      <c r="F301" s="14"/>
      <c r="G301" s="131"/>
    </row>
    <row r="302">
      <c r="A302" s="130"/>
      <c r="B302" s="131"/>
      <c r="C302" s="131"/>
      <c r="D302" s="131"/>
      <c r="E302" s="14"/>
      <c r="F302" s="14"/>
      <c r="G302" s="131"/>
    </row>
    <row r="303">
      <c r="A303" s="130"/>
      <c r="B303" s="131"/>
      <c r="C303" s="131"/>
      <c r="D303" s="131"/>
      <c r="E303" s="14"/>
      <c r="F303" s="14"/>
      <c r="G303" s="131"/>
    </row>
    <row r="304">
      <c r="A304" s="130"/>
      <c r="B304" s="131"/>
      <c r="C304" s="131"/>
      <c r="D304" s="131"/>
      <c r="E304" s="14"/>
      <c r="F304" s="14"/>
      <c r="G304" s="131"/>
    </row>
    <row r="305">
      <c r="A305" s="130"/>
      <c r="B305" s="131"/>
      <c r="C305" s="131"/>
      <c r="D305" s="131"/>
      <c r="E305" s="14"/>
      <c r="F305" s="14"/>
      <c r="G305" s="131"/>
    </row>
    <row r="306">
      <c r="A306" s="130"/>
      <c r="B306" s="131"/>
      <c r="C306" s="131"/>
      <c r="D306" s="131"/>
      <c r="E306" s="14"/>
      <c r="F306" s="14"/>
      <c r="G306" s="131"/>
    </row>
    <row r="307">
      <c r="A307" s="130"/>
      <c r="B307" s="131"/>
      <c r="C307" s="131"/>
      <c r="D307" s="131"/>
      <c r="E307" s="14"/>
      <c r="F307" s="14"/>
      <c r="G307" s="131"/>
    </row>
    <row r="308">
      <c r="A308" s="130"/>
      <c r="B308" s="131"/>
      <c r="C308" s="131"/>
      <c r="D308" s="131"/>
      <c r="E308" s="14"/>
      <c r="F308" s="14"/>
      <c r="G308" s="131"/>
    </row>
    <row r="309">
      <c r="A309" s="130"/>
      <c r="B309" s="131"/>
      <c r="C309" s="131"/>
      <c r="D309" s="131"/>
      <c r="E309" s="14"/>
      <c r="F309" s="14"/>
      <c r="G309" s="131"/>
    </row>
    <row r="310">
      <c r="A310" s="130"/>
      <c r="B310" s="131"/>
      <c r="C310" s="131"/>
      <c r="D310" s="131"/>
      <c r="E310" s="14"/>
      <c r="F310" s="14"/>
      <c r="G310" s="131"/>
    </row>
    <row r="311">
      <c r="A311" s="130"/>
      <c r="B311" s="131"/>
      <c r="C311" s="131"/>
      <c r="D311" s="131"/>
      <c r="E311" s="14"/>
      <c r="F311" s="14"/>
      <c r="G311" s="131"/>
    </row>
    <row r="312">
      <c r="A312" s="130"/>
      <c r="B312" s="131"/>
      <c r="C312" s="131"/>
      <c r="D312" s="131"/>
      <c r="E312" s="14"/>
      <c r="F312" s="14"/>
      <c r="G312" s="131"/>
    </row>
    <row r="313">
      <c r="A313" s="130"/>
      <c r="B313" s="131"/>
      <c r="C313" s="131"/>
      <c r="D313" s="131"/>
      <c r="E313" s="14"/>
      <c r="F313" s="14"/>
      <c r="G313" s="131"/>
    </row>
    <row r="314">
      <c r="A314" s="130"/>
      <c r="B314" s="131"/>
      <c r="C314" s="131"/>
      <c r="D314" s="131"/>
      <c r="E314" s="14"/>
      <c r="F314" s="14"/>
      <c r="G314" s="131"/>
    </row>
    <row r="315">
      <c r="A315" s="130"/>
      <c r="B315" s="131"/>
      <c r="C315" s="131"/>
      <c r="D315" s="131"/>
      <c r="E315" s="14"/>
      <c r="F315" s="14"/>
      <c r="G315" s="131"/>
    </row>
    <row r="316">
      <c r="A316" s="130"/>
      <c r="B316" s="131"/>
      <c r="C316" s="131"/>
      <c r="D316" s="131"/>
      <c r="E316" s="14"/>
      <c r="F316" s="14"/>
      <c r="G316" s="131"/>
    </row>
    <row r="317">
      <c r="A317" s="130"/>
      <c r="B317" s="131"/>
      <c r="C317" s="131"/>
      <c r="D317" s="131"/>
      <c r="E317" s="14"/>
      <c r="F317" s="14"/>
      <c r="G317" s="131"/>
    </row>
    <row r="318">
      <c r="A318" s="130"/>
      <c r="B318" s="131"/>
      <c r="C318" s="131"/>
      <c r="D318" s="131"/>
      <c r="E318" s="14"/>
      <c r="F318" s="14"/>
      <c r="G318" s="131"/>
    </row>
    <row r="319">
      <c r="A319" s="130"/>
      <c r="B319" s="131"/>
      <c r="C319" s="131"/>
      <c r="D319" s="131"/>
      <c r="E319" s="14"/>
      <c r="F319" s="14"/>
      <c r="G319" s="131"/>
    </row>
    <row r="320">
      <c r="A320" s="130"/>
      <c r="B320" s="131"/>
      <c r="C320" s="131"/>
      <c r="D320" s="131"/>
      <c r="E320" s="14"/>
      <c r="F320" s="14"/>
      <c r="G320" s="131"/>
    </row>
    <row r="321">
      <c r="A321" s="130"/>
      <c r="B321" s="131"/>
      <c r="C321" s="131"/>
      <c r="D321" s="131"/>
      <c r="E321" s="14"/>
      <c r="F321" s="14"/>
      <c r="G321" s="131"/>
    </row>
    <row r="322">
      <c r="A322" s="130"/>
      <c r="B322" s="131"/>
      <c r="C322" s="131"/>
      <c r="D322" s="131"/>
      <c r="E322" s="14"/>
      <c r="F322" s="14"/>
      <c r="G322" s="131"/>
    </row>
    <row r="323">
      <c r="A323" s="130"/>
      <c r="B323" s="131"/>
      <c r="C323" s="131"/>
      <c r="D323" s="131"/>
      <c r="E323" s="14"/>
      <c r="F323" s="14"/>
      <c r="G323" s="131"/>
    </row>
    <row r="324">
      <c r="A324" s="130"/>
      <c r="B324" s="131"/>
      <c r="C324" s="131"/>
      <c r="D324" s="131"/>
      <c r="E324" s="14"/>
      <c r="F324" s="14"/>
      <c r="G324" s="131"/>
    </row>
    <row r="325">
      <c r="A325" s="130"/>
      <c r="B325" s="131"/>
      <c r="C325" s="131"/>
      <c r="D325" s="131"/>
      <c r="E325" s="14"/>
      <c r="F325" s="14"/>
      <c r="G325" s="131"/>
    </row>
    <row r="326">
      <c r="A326" s="130"/>
      <c r="B326" s="131"/>
      <c r="C326" s="131"/>
      <c r="D326" s="131"/>
      <c r="E326" s="14"/>
      <c r="F326" s="14"/>
      <c r="G326" s="131"/>
    </row>
    <row r="327">
      <c r="A327" s="130"/>
      <c r="B327" s="131"/>
      <c r="C327" s="131"/>
      <c r="D327" s="131"/>
      <c r="E327" s="14"/>
      <c r="F327" s="14"/>
      <c r="G327" s="131"/>
    </row>
    <row r="328">
      <c r="A328" s="130"/>
      <c r="B328" s="131"/>
      <c r="C328" s="131"/>
      <c r="D328" s="131"/>
      <c r="E328" s="14"/>
      <c r="F328" s="14"/>
      <c r="G328" s="131"/>
    </row>
    <row r="329">
      <c r="A329" s="130"/>
      <c r="B329" s="131"/>
      <c r="C329" s="131"/>
      <c r="D329" s="131"/>
      <c r="E329" s="14"/>
      <c r="F329" s="14"/>
      <c r="G329" s="131"/>
    </row>
    <row r="330">
      <c r="A330" s="130"/>
      <c r="B330" s="131"/>
      <c r="C330" s="131"/>
      <c r="D330" s="131"/>
      <c r="E330" s="14"/>
      <c r="F330" s="14"/>
      <c r="G330" s="131"/>
    </row>
    <row r="331">
      <c r="A331" s="130"/>
      <c r="B331" s="131"/>
      <c r="C331" s="131"/>
      <c r="D331" s="131"/>
      <c r="E331" s="14"/>
      <c r="F331" s="14"/>
      <c r="G331" s="131"/>
    </row>
    <row r="332">
      <c r="A332" s="130"/>
      <c r="B332" s="131"/>
      <c r="C332" s="131"/>
      <c r="D332" s="131"/>
      <c r="E332" s="14"/>
      <c r="F332" s="14"/>
      <c r="G332" s="131"/>
    </row>
    <row r="333">
      <c r="A333" s="130"/>
      <c r="B333" s="131"/>
      <c r="C333" s="131"/>
      <c r="D333" s="131"/>
      <c r="E333" s="14"/>
      <c r="F333" s="14"/>
      <c r="G333" s="131"/>
    </row>
    <row r="334">
      <c r="A334" s="130"/>
      <c r="B334" s="131"/>
      <c r="C334" s="131"/>
      <c r="D334" s="131"/>
      <c r="E334" s="14"/>
      <c r="F334" s="14"/>
      <c r="G334" s="131"/>
    </row>
    <row r="335">
      <c r="A335" s="130"/>
      <c r="B335" s="131"/>
      <c r="C335" s="131"/>
      <c r="D335" s="131"/>
      <c r="E335" s="14"/>
      <c r="F335" s="14"/>
      <c r="G335" s="131"/>
    </row>
    <row r="336">
      <c r="A336" s="130"/>
      <c r="B336" s="131"/>
      <c r="C336" s="131"/>
      <c r="D336" s="131"/>
      <c r="E336" s="14"/>
      <c r="F336" s="14"/>
      <c r="G336" s="131"/>
    </row>
    <row r="337">
      <c r="A337" s="130"/>
      <c r="B337" s="131"/>
      <c r="C337" s="131"/>
      <c r="D337" s="131"/>
      <c r="E337" s="14"/>
      <c r="F337" s="14"/>
      <c r="G337" s="131"/>
    </row>
    <row r="338">
      <c r="A338" s="130"/>
      <c r="B338" s="131"/>
      <c r="C338" s="131"/>
      <c r="D338" s="131"/>
      <c r="E338" s="14"/>
      <c r="F338" s="14"/>
      <c r="G338" s="131"/>
    </row>
    <row r="339">
      <c r="A339" s="130"/>
      <c r="B339" s="131"/>
      <c r="C339" s="131"/>
      <c r="D339" s="131"/>
      <c r="E339" s="14"/>
      <c r="F339" s="14"/>
      <c r="G339" s="131"/>
    </row>
    <row r="340">
      <c r="A340" s="130"/>
      <c r="B340" s="131"/>
      <c r="C340" s="131"/>
      <c r="D340" s="131"/>
      <c r="E340" s="14"/>
      <c r="F340" s="14"/>
      <c r="G340" s="131"/>
    </row>
    <row r="341">
      <c r="A341" s="130"/>
      <c r="B341" s="131"/>
      <c r="C341" s="131"/>
      <c r="D341" s="131"/>
      <c r="E341" s="14"/>
      <c r="F341" s="14"/>
      <c r="G341" s="131"/>
    </row>
    <row r="342">
      <c r="A342" s="130"/>
      <c r="B342" s="131"/>
      <c r="C342" s="131"/>
      <c r="D342" s="131"/>
      <c r="E342" s="14"/>
      <c r="F342" s="14"/>
      <c r="G342" s="131"/>
    </row>
    <row r="343">
      <c r="A343" s="130"/>
      <c r="B343" s="131"/>
      <c r="C343" s="131"/>
      <c r="D343" s="131"/>
      <c r="E343" s="14"/>
      <c r="F343" s="14"/>
      <c r="G343" s="131"/>
    </row>
    <row r="344">
      <c r="A344" s="130"/>
      <c r="B344" s="131"/>
      <c r="C344" s="131"/>
      <c r="D344" s="131"/>
      <c r="E344" s="14"/>
      <c r="F344" s="14"/>
      <c r="G344" s="131"/>
    </row>
    <row r="345">
      <c r="A345" s="130"/>
      <c r="B345" s="131"/>
      <c r="C345" s="131"/>
      <c r="D345" s="131"/>
      <c r="E345" s="14"/>
      <c r="F345" s="14"/>
      <c r="G345" s="131"/>
    </row>
    <row r="346">
      <c r="A346" s="130"/>
      <c r="B346" s="131"/>
      <c r="C346" s="131"/>
      <c r="D346" s="131"/>
      <c r="E346" s="14"/>
      <c r="F346" s="14"/>
      <c r="G346" s="131"/>
    </row>
    <row r="347">
      <c r="A347" s="130"/>
      <c r="B347" s="131"/>
      <c r="C347" s="131"/>
      <c r="D347" s="131"/>
      <c r="E347" s="14"/>
      <c r="F347" s="14"/>
      <c r="G347" s="131"/>
    </row>
    <row r="348">
      <c r="A348" s="130"/>
      <c r="B348" s="131"/>
      <c r="C348" s="131"/>
      <c r="D348" s="131"/>
      <c r="E348" s="14"/>
      <c r="F348" s="14"/>
      <c r="G348" s="131"/>
    </row>
    <row r="349">
      <c r="A349" s="130"/>
      <c r="B349" s="131"/>
      <c r="C349" s="131"/>
      <c r="D349" s="131"/>
      <c r="E349" s="14"/>
      <c r="F349" s="14"/>
      <c r="G349" s="131"/>
    </row>
    <row r="350">
      <c r="A350" s="130"/>
      <c r="B350" s="131"/>
      <c r="C350" s="131"/>
      <c r="D350" s="131"/>
      <c r="E350" s="14"/>
      <c r="F350" s="14"/>
      <c r="G350" s="131"/>
    </row>
    <row r="351">
      <c r="A351" s="130"/>
      <c r="B351" s="131"/>
      <c r="C351" s="131"/>
      <c r="D351" s="131"/>
      <c r="E351" s="14"/>
      <c r="F351" s="14"/>
      <c r="G351" s="131"/>
    </row>
    <row r="352">
      <c r="A352" s="130"/>
      <c r="B352" s="131"/>
      <c r="C352" s="131"/>
      <c r="D352" s="131"/>
      <c r="E352" s="14"/>
      <c r="F352" s="14"/>
      <c r="G352" s="131"/>
    </row>
    <row r="353">
      <c r="A353" s="130"/>
      <c r="B353" s="131"/>
      <c r="C353" s="131"/>
      <c r="D353" s="131"/>
      <c r="E353" s="14"/>
      <c r="F353" s="14"/>
      <c r="G353" s="131"/>
    </row>
    <row r="354">
      <c r="A354" s="130"/>
      <c r="B354" s="131"/>
      <c r="C354" s="131"/>
      <c r="D354" s="131"/>
      <c r="E354" s="14"/>
      <c r="F354" s="14"/>
      <c r="G354" s="131"/>
    </row>
    <row r="355">
      <c r="A355" s="130"/>
      <c r="B355" s="131"/>
      <c r="C355" s="131"/>
      <c r="D355" s="131"/>
      <c r="E355" s="14"/>
      <c r="F355" s="14"/>
      <c r="G355" s="131"/>
    </row>
    <row r="356">
      <c r="A356" s="130"/>
      <c r="B356" s="131"/>
      <c r="C356" s="131"/>
      <c r="D356" s="131"/>
      <c r="E356" s="14"/>
      <c r="F356" s="14"/>
      <c r="G356" s="131"/>
    </row>
    <row r="357">
      <c r="A357" s="130"/>
      <c r="B357" s="131"/>
      <c r="C357" s="131"/>
      <c r="D357" s="131"/>
      <c r="E357" s="14"/>
      <c r="F357" s="14"/>
      <c r="G357" s="131"/>
    </row>
    <row r="358">
      <c r="A358" s="130"/>
      <c r="B358" s="131"/>
      <c r="C358" s="131"/>
      <c r="D358" s="131"/>
      <c r="E358" s="14"/>
      <c r="F358" s="14"/>
      <c r="G358" s="131"/>
    </row>
    <row r="359">
      <c r="A359" s="130"/>
      <c r="B359" s="131"/>
      <c r="C359" s="131"/>
      <c r="D359" s="131"/>
      <c r="E359" s="14"/>
      <c r="F359" s="14"/>
      <c r="G359" s="131"/>
    </row>
    <row r="360">
      <c r="A360" s="130"/>
      <c r="B360" s="131"/>
      <c r="C360" s="131"/>
      <c r="D360" s="131"/>
      <c r="E360" s="14"/>
      <c r="F360" s="14"/>
      <c r="G360" s="131"/>
    </row>
    <row r="361">
      <c r="A361" s="130"/>
      <c r="B361" s="131"/>
      <c r="C361" s="131"/>
      <c r="D361" s="131"/>
      <c r="E361" s="14"/>
      <c r="F361" s="14"/>
      <c r="G361" s="131"/>
    </row>
    <row r="362">
      <c r="A362" s="130"/>
      <c r="B362" s="131"/>
      <c r="C362" s="131"/>
      <c r="D362" s="131"/>
      <c r="E362" s="14"/>
      <c r="F362" s="14"/>
      <c r="G362" s="131"/>
    </row>
    <row r="363">
      <c r="A363" s="130"/>
      <c r="B363" s="131"/>
      <c r="C363" s="131"/>
      <c r="D363" s="131"/>
      <c r="E363" s="14"/>
      <c r="F363" s="14"/>
      <c r="G363" s="131"/>
    </row>
    <row r="364">
      <c r="A364" s="130"/>
      <c r="B364" s="131"/>
      <c r="C364" s="131"/>
      <c r="D364" s="131"/>
      <c r="E364" s="14"/>
      <c r="F364" s="14"/>
      <c r="G364" s="131"/>
    </row>
    <row r="365">
      <c r="A365" s="130"/>
      <c r="B365" s="131"/>
      <c r="C365" s="131"/>
      <c r="D365" s="131"/>
      <c r="E365" s="14"/>
      <c r="F365" s="14"/>
      <c r="G365" s="131"/>
    </row>
    <row r="366">
      <c r="A366" s="130"/>
      <c r="B366" s="131"/>
      <c r="C366" s="131"/>
      <c r="D366" s="131"/>
      <c r="E366" s="14"/>
      <c r="F366" s="14"/>
      <c r="G366" s="131"/>
    </row>
    <row r="367">
      <c r="A367" s="130"/>
      <c r="B367" s="131"/>
      <c r="C367" s="131"/>
      <c r="D367" s="131"/>
      <c r="E367" s="14"/>
      <c r="F367" s="14"/>
      <c r="G367" s="131"/>
    </row>
    <row r="368">
      <c r="A368" s="130"/>
      <c r="B368" s="131"/>
      <c r="C368" s="131"/>
      <c r="D368" s="131"/>
      <c r="E368" s="14"/>
      <c r="F368" s="14"/>
      <c r="G368" s="131"/>
    </row>
    <row r="369">
      <c r="A369" s="130"/>
      <c r="B369" s="131"/>
      <c r="C369" s="131"/>
      <c r="D369" s="131"/>
      <c r="E369" s="14"/>
      <c r="F369" s="14"/>
      <c r="G369" s="131"/>
    </row>
    <row r="370">
      <c r="A370" s="130"/>
      <c r="B370" s="131"/>
      <c r="C370" s="131"/>
      <c r="D370" s="131"/>
      <c r="E370" s="14"/>
      <c r="F370" s="14"/>
      <c r="G370" s="131"/>
    </row>
    <row r="371">
      <c r="A371" s="130"/>
      <c r="B371" s="131"/>
      <c r="C371" s="131"/>
      <c r="D371" s="131"/>
      <c r="E371" s="14"/>
      <c r="F371" s="14"/>
      <c r="G371" s="131"/>
    </row>
    <row r="372">
      <c r="A372" s="130"/>
      <c r="B372" s="131"/>
      <c r="C372" s="131"/>
      <c r="D372" s="131"/>
      <c r="E372" s="14"/>
      <c r="F372" s="14"/>
      <c r="G372" s="131"/>
    </row>
    <row r="373">
      <c r="A373" s="130"/>
      <c r="B373" s="131"/>
      <c r="C373" s="131"/>
      <c r="D373" s="131"/>
      <c r="E373" s="14"/>
      <c r="F373" s="14"/>
      <c r="G373" s="131"/>
    </row>
    <row r="374">
      <c r="A374" s="130"/>
      <c r="B374" s="131"/>
      <c r="C374" s="131"/>
      <c r="D374" s="131"/>
      <c r="E374" s="14"/>
      <c r="F374" s="14"/>
      <c r="G374" s="131"/>
    </row>
    <row r="375">
      <c r="A375" s="130"/>
      <c r="B375" s="131"/>
      <c r="C375" s="131"/>
      <c r="D375" s="131"/>
      <c r="E375" s="14"/>
      <c r="F375" s="14"/>
      <c r="G375" s="131"/>
    </row>
    <row r="376">
      <c r="A376" s="130"/>
      <c r="B376" s="131"/>
      <c r="C376" s="131"/>
      <c r="D376" s="131"/>
      <c r="E376" s="14"/>
      <c r="F376" s="14"/>
      <c r="G376" s="131"/>
    </row>
    <row r="377">
      <c r="A377" s="130"/>
      <c r="B377" s="131"/>
      <c r="C377" s="131"/>
      <c r="D377" s="131"/>
      <c r="E377" s="14"/>
      <c r="F377" s="14"/>
      <c r="G377" s="131"/>
    </row>
    <row r="378">
      <c r="A378" s="130"/>
      <c r="B378" s="131"/>
      <c r="C378" s="131"/>
      <c r="D378" s="131"/>
      <c r="E378" s="14"/>
      <c r="F378" s="14"/>
      <c r="G378" s="131"/>
    </row>
    <row r="379">
      <c r="A379" s="130"/>
      <c r="B379" s="131"/>
      <c r="C379" s="131"/>
      <c r="D379" s="131"/>
      <c r="E379" s="14"/>
      <c r="F379" s="14"/>
      <c r="G379" s="131"/>
    </row>
    <row r="380">
      <c r="A380" s="130"/>
      <c r="B380" s="131"/>
      <c r="C380" s="131"/>
      <c r="D380" s="131"/>
      <c r="E380" s="14"/>
      <c r="F380" s="14"/>
      <c r="G380" s="131"/>
    </row>
    <row r="381">
      <c r="A381" s="130"/>
      <c r="B381" s="131"/>
      <c r="C381" s="131"/>
      <c r="D381" s="131"/>
      <c r="E381" s="14"/>
      <c r="F381" s="14"/>
      <c r="G381" s="131"/>
    </row>
    <row r="382">
      <c r="A382" s="130"/>
      <c r="B382" s="131"/>
      <c r="C382" s="131"/>
      <c r="D382" s="131"/>
      <c r="E382" s="14"/>
      <c r="F382" s="14"/>
      <c r="G382" s="131"/>
    </row>
    <row r="383">
      <c r="A383" s="130"/>
      <c r="B383" s="131"/>
      <c r="C383" s="131"/>
      <c r="D383" s="131"/>
      <c r="E383" s="14"/>
      <c r="F383" s="14"/>
      <c r="G383" s="131"/>
    </row>
    <row r="384">
      <c r="A384" s="130"/>
      <c r="B384" s="131"/>
      <c r="C384" s="131"/>
      <c r="D384" s="131"/>
      <c r="E384" s="14"/>
      <c r="F384" s="14"/>
      <c r="G384" s="131"/>
    </row>
    <row r="385">
      <c r="A385" s="130"/>
      <c r="B385" s="131"/>
      <c r="C385" s="131"/>
      <c r="D385" s="131"/>
      <c r="E385" s="14"/>
      <c r="F385" s="14"/>
      <c r="G385" s="131"/>
    </row>
    <row r="386">
      <c r="A386" s="130"/>
      <c r="B386" s="131"/>
      <c r="C386" s="131"/>
      <c r="D386" s="131"/>
      <c r="E386" s="14"/>
      <c r="F386" s="14"/>
      <c r="G386" s="131"/>
    </row>
    <row r="387">
      <c r="A387" s="130"/>
      <c r="B387" s="131"/>
      <c r="C387" s="131"/>
      <c r="D387" s="131"/>
      <c r="E387" s="14"/>
      <c r="F387" s="14"/>
      <c r="G387" s="131"/>
    </row>
    <row r="388">
      <c r="A388" s="130"/>
      <c r="B388" s="131"/>
      <c r="C388" s="131"/>
      <c r="D388" s="131"/>
      <c r="E388" s="14"/>
      <c r="F388" s="14"/>
      <c r="G388" s="131"/>
    </row>
    <row r="389">
      <c r="A389" s="130"/>
      <c r="B389" s="131"/>
      <c r="C389" s="131"/>
      <c r="D389" s="131"/>
      <c r="E389" s="14"/>
      <c r="F389" s="14"/>
      <c r="G389" s="131"/>
    </row>
    <row r="390">
      <c r="A390" s="130"/>
      <c r="B390" s="131"/>
      <c r="C390" s="131"/>
      <c r="D390" s="131"/>
      <c r="E390" s="14"/>
      <c r="F390" s="14"/>
      <c r="G390" s="131"/>
    </row>
    <row r="391">
      <c r="A391" s="130"/>
      <c r="B391" s="131"/>
      <c r="C391" s="131"/>
      <c r="D391" s="131"/>
      <c r="E391" s="14"/>
      <c r="F391" s="14"/>
      <c r="G391" s="131"/>
    </row>
    <row r="392">
      <c r="A392" s="130"/>
      <c r="B392" s="131"/>
      <c r="C392" s="131"/>
      <c r="D392" s="131"/>
      <c r="E392" s="14"/>
      <c r="F392" s="14"/>
      <c r="G392" s="131"/>
    </row>
    <row r="393">
      <c r="A393" s="130"/>
      <c r="B393" s="131"/>
      <c r="C393" s="131"/>
      <c r="D393" s="131"/>
      <c r="E393" s="14"/>
      <c r="F393" s="14"/>
      <c r="G393" s="131"/>
    </row>
    <row r="394">
      <c r="A394" s="130"/>
      <c r="B394" s="131"/>
      <c r="C394" s="131"/>
      <c r="D394" s="131"/>
      <c r="E394" s="14"/>
      <c r="F394" s="14"/>
      <c r="G394" s="131"/>
    </row>
    <row r="395">
      <c r="A395" s="130"/>
      <c r="B395" s="131"/>
      <c r="C395" s="131"/>
      <c r="D395" s="131"/>
      <c r="E395" s="14"/>
      <c r="F395" s="14"/>
      <c r="G395" s="131"/>
    </row>
    <row r="396">
      <c r="A396" s="130"/>
      <c r="B396" s="131"/>
      <c r="C396" s="131"/>
      <c r="D396" s="131"/>
      <c r="E396" s="14"/>
      <c r="F396" s="14"/>
      <c r="G396" s="131"/>
    </row>
    <row r="397">
      <c r="A397" s="130"/>
      <c r="B397" s="131"/>
      <c r="C397" s="131"/>
      <c r="D397" s="131"/>
      <c r="E397" s="14"/>
      <c r="F397" s="14"/>
      <c r="G397" s="131"/>
    </row>
    <row r="398">
      <c r="A398" s="130"/>
      <c r="B398" s="131"/>
      <c r="C398" s="131"/>
      <c r="D398" s="131"/>
      <c r="E398" s="14"/>
      <c r="F398" s="14"/>
      <c r="G398" s="131"/>
    </row>
    <row r="399">
      <c r="A399" s="130"/>
      <c r="B399" s="131"/>
      <c r="C399" s="131"/>
      <c r="D399" s="131"/>
      <c r="E399" s="14"/>
      <c r="F399" s="14"/>
      <c r="G399" s="131"/>
    </row>
    <row r="400">
      <c r="A400" s="130"/>
      <c r="B400" s="131"/>
      <c r="C400" s="131"/>
      <c r="D400" s="131"/>
      <c r="E400" s="14"/>
      <c r="F400" s="14"/>
      <c r="G400" s="131"/>
    </row>
    <row r="401">
      <c r="A401" s="130"/>
      <c r="B401" s="131"/>
      <c r="C401" s="131"/>
      <c r="D401" s="131"/>
      <c r="E401" s="14"/>
      <c r="F401" s="14"/>
      <c r="G401" s="131"/>
    </row>
    <row r="402">
      <c r="A402" s="130"/>
      <c r="B402" s="131"/>
      <c r="C402" s="131"/>
      <c r="D402" s="131"/>
      <c r="E402" s="14"/>
      <c r="F402" s="14"/>
      <c r="G402" s="131"/>
    </row>
    <row r="403">
      <c r="A403" s="130"/>
      <c r="B403" s="131"/>
      <c r="C403" s="131"/>
      <c r="D403" s="131"/>
      <c r="E403" s="14"/>
      <c r="F403" s="14"/>
      <c r="G403" s="131"/>
    </row>
    <row r="404">
      <c r="A404" s="130"/>
      <c r="B404" s="131"/>
      <c r="C404" s="131"/>
      <c r="D404" s="131"/>
      <c r="E404" s="14"/>
      <c r="F404" s="14"/>
      <c r="G404" s="131"/>
    </row>
    <row r="405">
      <c r="A405" s="130"/>
      <c r="B405" s="131"/>
      <c r="C405" s="131"/>
      <c r="D405" s="131"/>
      <c r="E405" s="14"/>
      <c r="F405" s="14"/>
      <c r="G405" s="131"/>
    </row>
    <row r="406">
      <c r="A406" s="130"/>
      <c r="B406" s="131"/>
      <c r="C406" s="131"/>
      <c r="D406" s="131"/>
      <c r="E406" s="14"/>
      <c r="F406" s="14"/>
      <c r="G406" s="131"/>
    </row>
    <row r="407">
      <c r="A407" s="130"/>
      <c r="B407" s="131"/>
      <c r="C407" s="131"/>
      <c r="D407" s="131"/>
      <c r="E407" s="14"/>
      <c r="F407" s="14"/>
      <c r="G407" s="131"/>
    </row>
    <row r="408">
      <c r="A408" s="130"/>
      <c r="B408" s="131"/>
      <c r="C408" s="131"/>
      <c r="D408" s="131"/>
      <c r="E408" s="14"/>
      <c r="F408" s="14"/>
      <c r="G408" s="131"/>
    </row>
    <row r="409">
      <c r="A409" s="130"/>
      <c r="B409" s="131"/>
      <c r="C409" s="131"/>
      <c r="D409" s="131"/>
      <c r="E409" s="14"/>
      <c r="F409" s="14"/>
      <c r="G409" s="131"/>
    </row>
    <row r="410">
      <c r="A410" s="130"/>
      <c r="B410" s="131"/>
      <c r="C410" s="131"/>
      <c r="D410" s="131"/>
      <c r="E410" s="14"/>
      <c r="F410" s="14"/>
      <c r="G410" s="131"/>
    </row>
    <row r="411">
      <c r="A411" s="130"/>
      <c r="B411" s="131"/>
      <c r="C411" s="131"/>
      <c r="D411" s="131"/>
      <c r="E411" s="14"/>
      <c r="F411" s="14"/>
      <c r="G411" s="131"/>
    </row>
    <row r="412">
      <c r="A412" s="130"/>
      <c r="B412" s="131"/>
      <c r="C412" s="131"/>
      <c r="D412" s="131"/>
      <c r="E412" s="14"/>
      <c r="F412" s="14"/>
      <c r="G412" s="131"/>
    </row>
    <row r="413">
      <c r="A413" s="130"/>
      <c r="B413" s="131"/>
      <c r="C413" s="131"/>
      <c r="D413" s="131"/>
      <c r="E413" s="14"/>
      <c r="F413" s="14"/>
      <c r="G413" s="131"/>
    </row>
    <row r="414">
      <c r="A414" s="130"/>
      <c r="B414" s="131"/>
      <c r="C414" s="131"/>
      <c r="D414" s="131"/>
      <c r="E414" s="14"/>
      <c r="F414" s="14"/>
      <c r="G414" s="131"/>
    </row>
    <row r="415">
      <c r="A415" s="130"/>
      <c r="B415" s="131"/>
      <c r="C415" s="131"/>
      <c r="D415" s="131"/>
      <c r="E415" s="14"/>
      <c r="F415" s="14"/>
      <c r="G415" s="131"/>
    </row>
    <row r="416">
      <c r="A416" s="130"/>
      <c r="B416" s="131"/>
      <c r="C416" s="131"/>
      <c r="D416" s="131"/>
      <c r="E416" s="14"/>
      <c r="F416" s="14"/>
      <c r="G416" s="131"/>
    </row>
    <row r="417">
      <c r="A417" s="130"/>
      <c r="B417" s="131"/>
      <c r="C417" s="131"/>
      <c r="D417" s="131"/>
      <c r="E417" s="14"/>
      <c r="F417" s="14"/>
      <c r="G417" s="131"/>
    </row>
    <row r="418">
      <c r="A418" s="130"/>
      <c r="B418" s="131"/>
      <c r="C418" s="131"/>
      <c r="D418" s="131"/>
      <c r="E418" s="14"/>
      <c r="F418" s="14"/>
      <c r="G418" s="131"/>
    </row>
    <row r="419">
      <c r="A419" s="130"/>
      <c r="B419" s="131"/>
      <c r="C419" s="131"/>
      <c r="D419" s="131"/>
      <c r="E419" s="14"/>
      <c r="F419" s="14"/>
      <c r="G419" s="131"/>
    </row>
    <row r="420">
      <c r="A420" s="130"/>
      <c r="B420" s="131"/>
      <c r="C420" s="131"/>
      <c r="D420" s="131"/>
      <c r="E420" s="14"/>
      <c r="F420" s="14"/>
      <c r="G420" s="131"/>
    </row>
    <row r="421">
      <c r="A421" s="130"/>
      <c r="B421" s="131"/>
      <c r="C421" s="131"/>
      <c r="D421" s="131"/>
      <c r="E421" s="14"/>
      <c r="F421" s="14"/>
      <c r="G421" s="131"/>
    </row>
    <row r="422">
      <c r="A422" s="130"/>
      <c r="B422" s="131"/>
      <c r="C422" s="131"/>
      <c r="D422" s="131"/>
      <c r="E422" s="14"/>
      <c r="F422" s="14"/>
      <c r="G422" s="131"/>
    </row>
    <row r="423">
      <c r="A423" s="130"/>
      <c r="B423" s="131"/>
      <c r="C423" s="131"/>
      <c r="D423" s="131"/>
      <c r="E423" s="14"/>
      <c r="F423" s="14"/>
      <c r="G423" s="131"/>
    </row>
    <row r="424">
      <c r="A424" s="130"/>
      <c r="B424" s="131"/>
      <c r="C424" s="131"/>
      <c r="D424" s="131"/>
      <c r="E424" s="14"/>
      <c r="F424" s="14"/>
      <c r="G424" s="131"/>
    </row>
    <row r="425">
      <c r="A425" s="130"/>
      <c r="B425" s="131"/>
      <c r="C425" s="131"/>
      <c r="D425" s="131"/>
      <c r="E425" s="14"/>
      <c r="F425" s="14"/>
      <c r="G425" s="131"/>
    </row>
    <row r="426">
      <c r="A426" s="130"/>
      <c r="B426" s="131"/>
      <c r="C426" s="131"/>
      <c r="D426" s="131"/>
      <c r="E426" s="14"/>
      <c r="F426" s="14"/>
      <c r="G426" s="131"/>
    </row>
    <row r="427">
      <c r="A427" s="130"/>
      <c r="B427" s="131"/>
      <c r="C427" s="131"/>
      <c r="D427" s="131"/>
      <c r="E427" s="14"/>
      <c r="F427" s="14"/>
      <c r="G427" s="131"/>
    </row>
    <row r="428">
      <c r="A428" s="130"/>
      <c r="B428" s="131"/>
      <c r="C428" s="131"/>
      <c r="D428" s="131"/>
      <c r="E428" s="14"/>
      <c r="F428" s="14"/>
      <c r="G428" s="131"/>
    </row>
    <row r="429">
      <c r="A429" s="130"/>
      <c r="B429" s="131"/>
      <c r="C429" s="131"/>
      <c r="D429" s="131"/>
      <c r="E429" s="14"/>
      <c r="F429" s="14"/>
      <c r="G429" s="131"/>
    </row>
    <row r="430">
      <c r="A430" s="130"/>
      <c r="B430" s="131"/>
      <c r="C430" s="131"/>
      <c r="D430" s="131"/>
      <c r="E430" s="14"/>
      <c r="F430" s="14"/>
      <c r="G430" s="131"/>
    </row>
    <row r="431">
      <c r="A431" s="130"/>
      <c r="B431" s="131"/>
      <c r="C431" s="131"/>
      <c r="D431" s="131"/>
      <c r="E431" s="14"/>
      <c r="F431" s="14"/>
      <c r="G431" s="131"/>
    </row>
    <row r="432">
      <c r="A432" s="130"/>
      <c r="B432" s="131"/>
      <c r="C432" s="131"/>
      <c r="D432" s="131"/>
      <c r="E432" s="14"/>
      <c r="F432" s="14"/>
      <c r="G432" s="131"/>
    </row>
    <row r="433">
      <c r="A433" s="130"/>
      <c r="B433" s="131"/>
      <c r="C433" s="131"/>
      <c r="D433" s="131"/>
      <c r="E433" s="14"/>
      <c r="F433" s="14"/>
      <c r="G433" s="131"/>
    </row>
    <row r="434">
      <c r="A434" s="130"/>
      <c r="B434" s="131"/>
      <c r="C434" s="131"/>
      <c r="D434" s="131"/>
      <c r="E434" s="14"/>
      <c r="F434" s="14"/>
      <c r="G434" s="131"/>
    </row>
    <row r="435">
      <c r="A435" s="130"/>
      <c r="B435" s="131"/>
      <c r="C435" s="131"/>
      <c r="D435" s="131"/>
      <c r="E435" s="14"/>
      <c r="F435" s="14"/>
      <c r="G435" s="131"/>
    </row>
    <row r="436">
      <c r="A436" s="130"/>
      <c r="B436" s="131"/>
      <c r="C436" s="131"/>
      <c r="D436" s="131"/>
      <c r="E436" s="14"/>
      <c r="F436" s="14"/>
      <c r="G436" s="131"/>
    </row>
    <row r="437">
      <c r="A437" s="130"/>
      <c r="B437" s="131"/>
      <c r="C437" s="131"/>
      <c r="D437" s="131"/>
      <c r="E437" s="14"/>
      <c r="F437" s="14"/>
      <c r="G437" s="131"/>
    </row>
    <row r="438">
      <c r="A438" s="130"/>
      <c r="B438" s="131"/>
      <c r="C438" s="131"/>
      <c r="D438" s="131"/>
      <c r="E438" s="14"/>
      <c r="F438" s="14"/>
      <c r="G438" s="131"/>
    </row>
    <row r="439">
      <c r="A439" s="130"/>
      <c r="B439" s="131"/>
      <c r="C439" s="131"/>
      <c r="D439" s="131"/>
      <c r="E439" s="14"/>
      <c r="F439" s="14"/>
      <c r="G439" s="131"/>
    </row>
    <row r="440">
      <c r="A440" s="130"/>
      <c r="B440" s="131"/>
      <c r="C440" s="131"/>
      <c r="D440" s="131"/>
      <c r="E440" s="14"/>
      <c r="F440" s="14"/>
      <c r="G440" s="131"/>
    </row>
    <row r="441">
      <c r="A441" s="130"/>
      <c r="B441" s="131"/>
      <c r="C441" s="131"/>
      <c r="D441" s="131"/>
      <c r="E441" s="14"/>
      <c r="F441" s="14"/>
      <c r="G441" s="131"/>
    </row>
    <row r="442">
      <c r="A442" s="130"/>
      <c r="B442" s="131"/>
      <c r="C442" s="131"/>
      <c r="D442" s="131"/>
      <c r="E442" s="14"/>
      <c r="F442" s="14"/>
      <c r="G442" s="131"/>
    </row>
    <row r="443">
      <c r="A443" s="130"/>
      <c r="B443" s="131"/>
      <c r="C443" s="131"/>
      <c r="D443" s="131"/>
      <c r="E443" s="14"/>
      <c r="F443" s="14"/>
      <c r="G443" s="131"/>
    </row>
    <row r="444">
      <c r="A444" s="130"/>
      <c r="B444" s="131"/>
      <c r="C444" s="131"/>
      <c r="D444" s="131"/>
      <c r="E444" s="14"/>
      <c r="F444" s="14"/>
      <c r="G444" s="131"/>
    </row>
    <row r="445">
      <c r="A445" s="130"/>
      <c r="B445" s="131"/>
      <c r="C445" s="131"/>
      <c r="D445" s="131"/>
      <c r="E445" s="14"/>
      <c r="F445" s="14"/>
      <c r="G445" s="131"/>
    </row>
    <row r="446">
      <c r="A446" s="130"/>
      <c r="B446" s="131"/>
      <c r="C446" s="131"/>
      <c r="D446" s="131"/>
      <c r="E446" s="14"/>
      <c r="F446" s="14"/>
      <c r="G446" s="131"/>
    </row>
    <row r="447">
      <c r="A447" s="130"/>
      <c r="B447" s="131"/>
      <c r="C447" s="131"/>
      <c r="D447" s="131"/>
      <c r="E447" s="14"/>
      <c r="F447" s="14"/>
      <c r="G447" s="131"/>
    </row>
    <row r="448">
      <c r="A448" s="130"/>
      <c r="B448" s="131"/>
      <c r="C448" s="131"/>
      <c r="D448" s="131"/>
      <c r="E448" s="14"/>
      <c r="F448" s="14"/>
      <c r="G448" s="131"/>
    </row>
    <row r="449">
      <c r="A449" s="130"/>
      <c r="B449" s="131"/>
      <c r="C449" s="131"/>
      <c r="D449" s="131"/>
      <c r="E449" s="14"/>
      <c r="F449" s="14"/>
      <c r="G449" s="131"/>
    </row>
    <row r="450">
      <c r="A450" s="130"/>
      <c r="B450" s="131"/>
      <c r="C450" s="131"/>
      <c r="D450" s="131"/>
      <c r="E450" s="14"/>
      <c r="F450" s="14"/>
      <c r="G450" s="131"/>
    </row>
    <row r="451">
      <c r="A451" s="130"/>
      <c r="B451" s="131"/>
      <c r="C451" s="131"/>
      <c r="D451" s="131"/>
      <c r="E451" s="14"/>
      <c r="F451" s="14"/>
      <c r="G451" s="131"/>
    </row>
    <row r="452">
      <c r="A452" s="130"/>
      <c r="B452" s="131"/>
      <c r="C452" s="131"/>
      <c r="D452" s="131"/>
      <c r="E452" s="14"/>
      <c r="F452" s="14"/>
      <c r="G452" s="131"/>
    </row>
    <row r="453">
      <c r="A453" s="130"/>
      <c r="B453" s="131"/>
      <c r="C453" s="131"/>
      <c r="D453" s="131"/>
      <c r="E453" s="14"/>
      <c r="F453" s="14"/>
      <c r="G453" s="131"/>
    </row>
    <row r="454">
      <c r="A454" s="130"/>
      <c r="B454" s="131"/>
      <c r="C454" s="131"/>
      <c r="D454" s="131"/>
      <c r="E454" s="14"/>
      <c r="F454" s="14"/>
      <c r="G454" s="131"/>
    </row>
    <row r="455">
      <c r="A455" s="130"/>
      <c r="B455" s="131"/>
      <c r="C455" s="131"/>
      <c r="D455" s="131"/>
      <c r="E455" s="14"/>
      <c r="F455" s="14"/>
      <c r="G455" s="131"/>
    </row>
    <row r="456">
      <c r="A456" s="130"/>
      <c r="B456" s="131"/>
      <c r="C456" s="131"/>
      <c r="D456" s="131"/>
      <c r="E456" s="14"/>
      <c r="F456" s="14"/>
      <c r="G456" s="131"/>
    </row>
    <row r="457">
      <c r="A457" s="130"/>
      <c r="B457" s="131"/>
      <c r="C457" s="131"/>
      <c r="D457" s="131"/>
      <c r="E457" s="14"/>
      <c r="F457" s="14"/>
      <c r="G457" s="131"/>
    </row>
    <row r="458">
      <c r="A458" s="130"/>
      <c r="B458" s="131"/>
      <c r="C458" s="131"/>
      <c r="D458" s="131"/>
      <c r="E458" s="14"/>
      <c r="F458" s="14"/>
      <c r="G458" s="131"/>
    </row>
    <row r="459">
      <c r="A459" s="130"/>
      <c r="B459" s="131"/>
      <c r="C459" s="131"/>
      <c r="D459" s="131"/>
      <c r="E459" s="14"/>
      <c r="F459" s="14"/>
      <c r="G459" s="131"/>
    </row>
    <row r="460">
      <c r="A460" s="130"/>
      <c r="B460" s="131"/>
      <c r="C460" s="131"/>
      <c r="D460" s="131"/>
      <c r="E460" s="14"/>
      <c r="F460" s="14"/>
      <c r="G460" s="131"/>
    </row>
    <row r="461">
      <c r="A461" s="130"/>
      <c r="B461" s="131"/>
      <c r="C461" s="131"/>
      <c r="D461" s="131"/>
      <c r="E461" s="14"/>
      <c r="F461" s="14"/>
      <c r="G461" s="131"/>
    </row>
    <row r="462">
      <c r="A462" s="130"/>
      <c r="B462" s="131"/>
      <c r="C462" s="131"/>
      <c r="D462" s="131"/>
      <c r="E462" s="14"/>
      <c r="F462" s="14"/>
      <c r="G462" s="131"/>
    </row>
    <row r="463">
      <c r="A463" s="130"/>
      <c r="B463" s="131"/>
      <c r="C463" s="131"/>
      <c r="D463" s="131"/>
      <c r="E463" s="14"/>
      <c r="F463" s="14"/>
      <c r="G463" s="131"/>
    </row>
    <row r="464">
      <c r="A464" s="130"/>
      <c r="B464" s="131"/>
      <c r="C464" s="131"/>
      <c r="D464" s="131"/>
      <c r="E464" s="14"/>
      <c r="F464" s="14"/>
      <c r="G464" s="131"/>
    </row>
    <row r="465">
      <c r="A465" s="130"/>
      <c r="B465" s="131"/>
      <c r="C465" s="131"/>
      <c r="D465" s="131"/>
      <c r="E465" s="14"/>
      <c r="F465" s="14"/>
      <c r="G465" s="131"/>
    </row>
    <row r="466">
      <c r="A466" s="130"/>
      <c r="B466" s="131"/>
      <c r="C466" s="131"/>
      <c r="D466" s="131"/>
      <c r="E466" s="14"/>
      <c r="F466" s="14"/>
      <c r="G466" s="131"/>
    </row>
    <row r="467">
      <c r="A467" s="130"/>
      <c r="B467" s="131"/>
      <c r="C467" s="131"/>
      <c r="D467" s="131"/>
      <c r="E467" s="14"/>
      <c r="F467" s="14"/>
      <c r="G467" s="131"/>
    </row>
    <row r="468">
      <c r="A468" s="130"/>
      <c r="B468" s="131"/>
      <c r="C468" s="131"/>
      <c r="D468" s="131"/>
      <c r="E468" s="14"/>
      <c r="F468" s="14"/>
      <c r="G468" s="131"/>
    </row>
    <row r="469">
      <c r="A469" s="130"/>
      <c r="B469" s="131"/>
      <c r="C469" s="131"/>
      <c r="D469" s="131"/>
      <c r="E469" s="14"/>
      <c r="F469" s="14"/>
      <c r="G469" s="131"/>
    </row>
    <row r="470">
      <c r="A470" s="130"/>
      <c r="B470" s="131"/>
      <c r="C470" s="131"/>
      <c r="D470" s="131"/>
      <c r="E470" s="14"/>
      <c r="F470" s="14"/>
      <c r="G470" s="131"/>
    </row>
    <row r="471">
      <c r="A471" s="130"/>
      <c r="B471" s="131"/>
      <c r="C471" s="131"/>
      <c r="D471" s="131"/>
      <c r="E471" s="14"/>
      <c r="F471" s="14"/>
      <c r="G471" s="131"/>
    </row>
    <row r="472">
      <c r="A472" s="130"/>
      <c r="B472" s="131"/>
      <c r="C472" s="131"/>
      <c r="D472" s="131"/>
      <c r="E472" s="14"/>
      <c r="F472" s="14"/>
      <c r="G472" s="131"/>
    </row>
    <row r="473">
      <c r="A473" s="130"/>
      <c r="B473" s="131"/>
      <c r="C473" s="131"/>
      <c r="D473" s="131"/>
      <c r="E473" s="14"/>
      <c r="F473" s="14"/>
      <c r="G473" s="131"/>
    </row>
    <row r="474">
      <c r="A474" s="130"/>
      <c r="B474" s="131"/>
      <c r="C474" s="131"/>
      <c r="D474" s="131"/>
      <c r="E474" s="14"/>
      <c r="F474" s="14"/>
      <c r="G474" s="131"/>
    </row>
    <row r="475">
      <c r="A475" s="130"/>
      <c r="B475" s="131"/>
      <c r="C475" s="131"/>
      <c r="D475" s="131"/>
      <c r="E475" s="14"/>
      <c r="F475" s="14"/>
      <c r="G475" s="131"/>
    </row>
    <row r="476">
      <c r="A476" s="130"/>
      <c r="B476" s="131"/>
      <c r="C476" s="131"/>
      <c r="D476" s="131"/>
      <c r="E476" s="14"/>
      <c r="F476" s="14"/>
      <c r="G476" s="131"/>
    </row>
    <row r="477">
      <c r="A477" s="130"/>
      <c r="B477" s="131"/>
      <c r="C477" s="131"/>
      <c r="D477" s="131"/>
      <c r="E477" s="14"/>
      <c r="F477" s="14"/>
      <c r="G477" s="131"/>
    </row>
    <row r="478">
      <c r="A478" s="130"/>
      <c r="B478" s="131"/>
      <c r="C478" s="131"/>
      <c r="D478" s="131"/>
      <c r="E478" s="14"/>
      <c r="F478" s="14"/>
      <c r="G478" s="131"/>
    </row>
    <row r="479">
      <c r="A479" s="130"/>
      <c r="B479" s="131"/>
      <c r="C479" s="131"/>
      <c r="D479" s="131"/>
      <c r="E479" s="14"/>
      <c r="F479" s="14"/>
      <c r="G479" s="131"/>
    </row>
    <row r="480">
      <c r="A480" s="130"/>
      <c r="B480" s="131"/>
      <c r="C480" s="131"/>
      <c r="D480" s="131"/>
      <c r="E480" s="14"/>
      <c r="F480" s="14"/>
      <c r="G480" s="131"/>
    </row>
    <row r="481">
      <c r="A481" s="130"/>
      <c r="B481" s="131"/>
      <c r="C481" s="131"/>
      <c r="D481" s="131"/>
      <c r="E481" s="14"/>
      <c r="F481" s="14"/>
      <c r="G481" s="131"/>
    </row>
    <row r="482">
      <c r="A482" s="130"/>
      <c r="B482" s="131"/>
      <c r="C482" s="131"/>
      <c r="D482" s="131"/>
      <c r="E482" s="14"/>
      <c r="F482" s="14"/>
      <c r="G482" s="131"/>
    </row>
    <row r="483">
      <c r="A483" s="130"/>
      <c r="B483" s="131"/>
      <c r="C483" s="131"/>
      <c r="D483" s="131"/>
      <c r="E483" s="14"/>
      <c r="F483" s="14"/>
      <c r="G483" s="131"/>
    </row>
    <row r="484">
      <c r="A484" s="130"/>
      <c r="B484" s="131"/>
      <c r="C484" s="131"/>
      <c r="D484" s="131"/>
      <c r="E484" s="14"/>
      <c r="F484" s="14"/>
      <c r="G484" s="131"/>
    </row>
    <row r="485">
      <c r="A485" s="130"/>
      <c r="B485" s="131"/>
      <c r="C485" s="131"/>
      <c r="D485" s="131"/>
      <c r="E485" s="14"/>
      <c r="F485" s="14"/>
      <c r="G485" s="131"/>
    </row>
    <row r="486">
      <c r="A486" s="130"/>
      <c r="B486" s="131"/>
      <c r="C486" s="131"/>
      <c r="D486" s="131"/>
      <c r="E486" s="14"/>
      <c r="F486" s="14"/>
      <c r="G486" s="131"/>
    </row>
    <row r="487">
      <c r="A487" s="130"/>
      <c r="B487" s="131"/>
      <c r="C487" s="131"/>
      <c r="D487" s="131"/>
      <c r="E487" s="14"/>
      <c r="F487" s="14"/>
      <c r="G487" s="131"/>
    </row>
    <row r="488">
      <c r="A488" s="130"/>
      <c r="B488" s="131"/>
      <c r="C488" s="131"/>
      <c r="D488" s="131"/>
      <c r="E488" s="14"/>
      <c r="F488" s="14"/>
      <c r="G488" s="131"/>
    </row>
    <row r="489">
      <c r="A489" s="130"/>
      <c r="B489" s="131"/>
      <c r="C489" s="131"/>
      <c r="D489" s="131"/>
      <c r="E489" s="14"/>
      <c r="F489" s="14"/>
      <c r="G489" s="131"/>
    </row>
    <row r="490">
      <c r="A490" s="130"/>
      <c r="B490" s="131"/>
      <c r="C490" s="131"/>
      <c r="D490" s="131"/>
      <c r="E490" s="14"/>
      <c r="F490" s="14"/>
      <c r="G490" s="131"/>
    </row>
    <row r="491">
      <c r="A491" s="130"/>
      <c r="B491" s="131"/>
      <c r="C491" s="131"/>
      <c r="D491" s="131"/>
      <c r="E491" s="14"/>
      <c r="F491" s="14"/>
      <c r="G491" s="131"/>
    </row>
    <row r="492">
      <c r="A492" s="130"/>
      <c r="B492" s="131"/>
      <c r="C492" s="131"/>
      <c r="D492" s="131"/>
      <c r="E492" s="14"/>
      <c r="F492" s="14"/>
      <c r="G492" s="131"/>
    </row>
    <row r="493">
      <c r="A493" s="130"/>
      <c r="B493" s="131"/>
      <c r="C493" s="131"/>
      <c r="D493" s="131"/>
      <c r="E493" s="14"/>
      <c r="F493" s="14"/>
      <c r="G493" s="131"/>
    </row>
    <row r="494">
      <c r="A494" s="130"/>
      <c r="B494" s="131"/>
      <c r="C494" s="131"/>
      <c r="D494" s="131"/>
      <c r="E494" s="14"/>
      <c r="F494" s="14"/>
      <c r="G494" s="131"/>
    </row>
    <row r="495">
      <c r="A495" s="130"/>
      <c r="B495" s="131"/>
      <c r="C495" s="131"/>
      <c r="D495" s="131"/>
      <c r="E495" s="14"/>
      <c r="F495" s="14"/>
      <c r="G495" s="131"/>
    </row>
    <row r="496">
      <c r="A496" s="130"/>
      <c r="B496" s="131"/>
      <c r="C496" s="131"/>
      <c r="D496" s="131"/>
      <c r="E496" s="14"/>
      <c r="F496" s="14"/>
      <c r="G496" s="131"/>
    </row>
    <row r="497">
      <c r="A497" s="130"/>
      <c r="B497" s="131"/>
      <c r="C497" s="131"/>
      <c r="D497" s="131"/>
      <c r="E497" s="14"/>
      <c r="F497" s="14"/>
      <c r="G497" s="131"/>
    </row>
    <row r="498">
      <c r="A498" s="130"/>
      <c r="B498" s="131"/>
      <c r="C498" s="131"/>
      <c r="D498" s="131"/>
      <c r="E498" s="14"/>
      <c r="F498" s="14"/>
      <c r="G498" s="131"/>
    </row>
    <row r="499">
      <c r="A499" s="130"/>
      <c r="B499" s="131"/>
      <c r="C499" s="131"/>
      <c r="D499" s="131"/>
      <c r="E499" s="14"/>
      <c r="F499" s="14"/>
      <c r="G499" s="131"/>
    </row>
    <row r="500">
      <c r="A500" s="130"/>
      <c r="B500" s="131"/>
      <c r="C500" s="131"/>
      <c r="D500" s="131"/>
      <c r="E500" s="14"/>
      <c r="F500" s="14"/>
      <c r="G500" s="131"/>
    </row>
    <row r="501">
      <c r="A501" s="130"/>
      <c r="B501" s="131"/>
      <c r="C501" s="131"/>
      <c r="D501" s="131"/>
      <c r="E501" s="14"/>
      <c r="F501" s="14"/>
      <c r="G501" s="131"/>
    </row>
    <row r="502">
      <c r="A502" s="130"/>
      <c r="B502" s="131"/>
      <c r="C502" s="131"/>
      <c r="D502" s="131"/>
      <c r="E502" s="14"/>
      <c r="F502" s="14"/>
      <c r="G502" s="131"/>
    </row>
    <row r="503">
      <c r="A503" s="130"/>
      <c r="B503" s="131"/>
      <c r="C503" s="131"/>
      <c r="D503" s="131"/>
      <c r="E503" s="14"/>
      <c r="F503" s="14"/>
      <c r="G503" s="131"/>
    </row>
    <row r="504">
      <c r="A504" s="130"/>
      <c r="B504" s="131"/>
      <c r="C504" s="131"/>
      <c r="D504" s="131"/>
      <c r="E504" s="14"/>
      <c r="F504" s="14"/>
      <c r="G504" s="131"/>
    </row>
    <row r="505">
      <c r="A505" s="130"/>
      <c r="B505" s="131"/>
      <c r="C505" s="131"/>
      <c r="D505" s="131"/>
      <c r="E505" s="14"/>
      <c r="F505" s="14"/>
      <c r="G505" s="131"/>
    </row>
    <row r="506">
      <c r="A506" s="130"/>
      <c r="B506" s="131"/>
      <c r="C506" s="131"/>
      <c r="D506" s="131"/>
      <c r="E506" s="14"/>
      <c r="F506" s="14"/>
      <c r="G506" s="131"/>
    </row>
    <row r="507">
      <c r="A507" s="130"/>
      <c r="B507" s="131"/>
      <c r="C507" s="131"/>
      <c r="D507" s="131"/>
      <c r="E507" s="14"/>
      <c r="F507" s="14"/>
      <c r="G507" s="131"/>
    </row>
    <row r="508">
      <c r="A508" s="130"/>
      <c r="B508" s="131"/>
      <c r="C508" s="131"/>
      <c r="D508" s="131"/>
      <c r="E508" s="14"/>
      <c r="F508" s="14"/>
      <c r="G508" s="131"/>
    </row>
    <row r="509">
      <c r="A509" s="130"/>
      <c r="B509" s="131"/>
      <c r="C509" s="131"/>
      <c r="D509" s="131"/>
      <c r="E509" s="14"/>
      <c r="F509" s="14"/>
      <c r="G509" s="131"/>
    </row>
    <row r="510">
      <c r="A510" s="130"/>
      <c r="B510" s="131"/>
      <c r="C510" s="131"/>
      <c r="D510" s="131"/>
      <c r="E510" s="14"/>
      <c r="F510" s="14"/>
      <c r="G510" s="131"/>
    </row>
    <row r="511">
      <c r="A511" s="130"/>
      <c r="B511" s="131"/>
      <c r="C511" s="131"/>
      <c r="D511" s="131"/>
      <c r="E511" s="14"/>
      <c r="F511" s="14"/>
      <c r="G511" s="131"/>
    </row>
    <row r="512">
      <c r="A512" s="130"/>
      <c r="B512" s="131"/>
      <c r="C512" s="131"/>
      <c r="D512" s="131"/>
      <c r="E512" s="14"/>
      <c r="F512" s="14"/>
      <c r="G512" s="131"/>
    </row>
    <row r="513">
      <c r="A513" s="130"/>
      <c r="B513" s="131"/>
      <c r="C513" s="131"/>
      <c r="D513" s="131"/>
      <c r="E513" s="14"/>
      <c r="F513" s="14"/>
      <c r="G513" s="131"/>
    </row>
    <row r="514">
      <c r="A514" s="130"/>
      <c r="B514" s="131"/>
      <c r="C514" s="131"/>
      <c r="D514" s="131"/>
      <c r="E514" s="14"/>
      <c r="F514" s="14"/>
      <c r="G514" s="131"/>
    </row>
    <row r="515">
      <c r="A515" s="130"/>
      <c r="B515" s="131"/>
      <c r="C515" s="131"/>
      <c r="D515" s="131"/>
      <c r="E515" s="14"/>
      <c r="F515" s="14"/>
      <c r="G515" s="131"/>
    </row>
    <row r="516">
      <c r="A516" s="130"/>
      <c r="B516" s="131"/>
      <c r="C516" s="131"/>
      <c r="D516" s="131"/>
      <c r="E516" s="14"/>
      <c r="F516" s="14"/>
      <c r="G516" s="131"/>
    </row>
    <row r="517">
      <c r="A517" s="130"/>
      <c r="B517" s="131"/>
      <c r="C517" s="131"/>
      <c r="D517" s="131"/>
      <c r="E517" s="14"/>
      <c r="F517" s="14"/>
      <c r="G517" s="131"/>
    </row>
    <row r="518">
      <c r="A518" s="130"/>
      <c r="B518" s="131"/>
      <c r="C518" s="131"/>
      <c r="D518" s="131"/>
      <c r="E518" s="14"/>
      <c r="F518" s="14"/>
      <c r="G518" s="131"/>
    </row>
    <row r="519">
      <c r="A519" s="130"/>
      <c r="B519" s="131"/>
      <c r="C519" s="131"/>
      <c r="D519" s="131"/>
      <c r="E519" s="14"/>
      <c r="F519" s="14"/>
      <c r="G519" s="131"/>
    </row>
    <row r="520">
      <c r="A520" s="130"/>
      <c r="B520" s="131"/>
      <c r="C520" s="131"/>
      <c r="D520" s="131"/>
      <c r="E520" s="14"/>
      <c r="F520" s="14"/>
      <c r="G520" s="131"/>
    </row>
    <row r="521">
      <c r="A521" s="130"/>
      <c r="B521" s="131"/>
      <c r="C521" s="131"/>
      <c r="D521" s="131"/>
      <c r="E521" s="14"/>
      <c r="F521" s="14"/>
      <c r="G521" s="131"/>
    </row>
    <row r="522">
      <c r="A522" s="130"/>
      <c r="B522" s="131"/>
      <c r="C522" s="131"/>
      <c r="D522" s="131"/>
      <c r="E522" s="14"/>
      <c r="F522" s="14"/>
      <c r="G522" s="131"/>
    </row>
    <row r="523">
      <c r="A523" s="130"/>
      <c r="B523" s="131"/>
      <c r="C523" s="131"/>
      <c r="D523" s="131"/>
      <c r="E523" s="14"/>
      <c r="F523" s="14"/>
      <c r="G523" s="131"/>
    </row>
    <row r="524">
      <c r="A524" s="130"/>
      <c r="B524" s="131"/>
      <c r="C524" s="131"/>
      <c r="D524" s="131"/>
      <c r="E524" s="14"/>
      <c r="F524" s="14"/>
      <c r="G524" s="131"/>
    </row>
    <row r="525">
      <c r="A525" s="130"/>
      <c r="B525" s="131"/>
      <c r="C525" s="131"/>
      <c r="D525" s="131"/>
      <c r="E525" s="14"/>
      <c r="F525" s="14"/>
      <c r="G525" s="131"/>
    </row>
    <row r="526">
      <c r="A526" s="130"/>
      <c r="B526" s="131"/>
      <c r="C526" s="131"/>
      <c r="D526" s="131"/>
      <c r="E526" s="14"/>
      <c r="F526" s="14"/>
      <c r="G526" s="131"/>
    </row>
    <row r="527">
      <c r="A527" s="130"/>
      <c r="B527" s="131"/>
      <c r="C527" s="131"/>
      <c r="D527" s="131"/>
      <c r="E527" s="14"/>
      <c r="F527" s="14"/>
      <c r="G527" s="131"/>
    </row>
    <row r="528">
      <c r="A528" s="130"/>
      <c r="B528" s="131"/>
      <c r="C528" s="131"/>
      <c r="D528" s="131"/>
      <c r="E528" s="14"/>
      <c r="F528" s="14"/>
      <c r="G528" s="131"/>
    </row>
    <row r="529">
      <c r="A529" s="130"/>
      <c r="B529" s="131"/>
      <c r="C529" s="131"/>
      <c r="D529" s="131"/>
      <c r="E529" s="14"/>
      <c r="F529" s="14"/>
      <c r="G529" s="131"/>
    </row>
    <row r="530">
      <c r="A530" s="130"/>
      <c r="B530" s="131"/>
      <c r="C530" s="131"/>
      <c r="D530" s="131"/>
      <c r="E530" s="14"/>
      <c r="F530" s="14"/>
      <c r="G530" s="131"/>
    </row>
    <row r="531">
      <c r="A531" s="130"/>
      <c r="B531" s="131"/>
      <c r="C531" s="131"/>
      <c r="D531" s="131"/>
      <c r="E531" s="14"/>
      <c r="F531" s="14"/>
      <c r="G531" s="131"/>
    </row>
    <row r="532">
      <c r="A532" s="130"/>
      <c r="B532" s="131"/>
      <c r="C532" s="131"/>
      <c r="D532" s="131"/>
      <c r="E532" s="14"/>
      <c r="F532" s="14"/>
      <c r="G532" s="131"/>
    </row>
    <row r="533">
      <c r="A533" s="130"/>
      <c r="B533" s="131"/>
      <c r="C533" s="131"/>
      <c r="D533" s="131"/>
      <c r="E533" s="14"/>
      <c r="F533" s="14"/>
      <c r="G533" s="131"/>
    </row>
    <row r="534">
      <c r="A534" s="130"/>
      <c r="B534" s="131"/>
      <c r="C534" s="131"/>
      <c r="D534" s="131"/>
      <c r="E534" s="14"/>
      <c r="F534" s="14"/>
      <c r="G534" s="131"/>
    </row>
    <row r="535">
      <c r="A535" s="130"/>
      <c r="B535" s="131"/>
      <c r="C535" s="131"/>
      <c r="D535" s="131"/>
      <c r="E535" s="14"/>
      <c r="F535" s="14"/>
      <c r="G535" s="131"/>
    </row>
    <row r="536">
      <c r="A536" s="130"/>
      <c r="B536" s="131"/>
      <c r="C536" s="131"/>
      <c r="D536" s="131"/>
      <c r="E536" s="14"/>
      <c r="F536" s="14"/>
      <c r="G536" s="131"/>
    </row>
    <row r="537">
      <c r="A537" s="130"/>
      <c r="B537" s="131"/>
      <c r="C537" s="131"/>
      <c r="D537" s="131"/>
      <c r="E537" s="14"/>
      <c r="F537" s="14"/>
      <c r="G537" s="131"/>
    </row>
    <row r="538">
      <c r="A538" s="130"/>
      <c r="B538" s="131"/>
      <c r="C538" s="131"/>
      <c r="D538" s="131"/>
      <c r="E538" s="14"/>
      <c r="F538" s="14"/>
      <c r="G538" s="131"/>
    </row>
    <row r="539">
      <c r="A539" s="130"/>
      <c r="B539" s="131"/>
      <c r="C539" s="131"/>
      <c r="D539" s="131"/>
      <c r="E539" s="14"/>
      <c r="F539" s="14"/>
      <c r="G539" s="131"/>
    </row>
    <row r="540">
      <c r="A540" s="130"/>
      <c r="B540" s="131"/>
      <c r="C540" s="131"/>
      <c r="D540" s="131"/>
      <c r="E540" s="14"/>
      <c r="F540" s="14"/>
      <c r="G540" s="131"/>
    </row>
    <row r="541">
      <c r="A541" s="130"/>
      <c r="B541" s="131"/>
      <c r="C541" s="131"/>
      <c r="D541" s="131"/>
      <c r="E541" s="14"/>
      <c r="F541" s="14"/>
      <c r="G541" s="131"/>
    </row>
    <row r="542">
      <c r="A542" s="130"/>
      <c r="B542" s="131"/>
      <c r="C542" s="131"/>
      <c r="D542" s="131"/>
      <c r="E542" s="14"/>
      <c r="F542" s="14"/>
      <c r="G542" s="131"/>
    </row>
    <row r="543">
      <c r="A543" s="130"/>
      <c r="B543" s="131"/>
      <c r="C543" s="131"/>
      <c r="D543" s="131"/>
      <c r="E543" s="14"/>
      <c r="F543" s="14"/>
      <c r="G543" s="131"/>
    </row>
    <row r="544">
      <c r="A544" s="130"/>
      <c r="B544" s="131"/>
      <c r="C544" s="131"/>
      <c r="D544" s="131"/>
      <c r="E544" s="14"/>
      <c r="F544" s="14"/>
      <c r="G544" s="131"/>
    </row>
    <row r="545">
      <c r="A545" s="130"/>
      <c r="B545" s="131"/>
      <c r="C545" s="131"/>
      <c r="D545" s="131"/>
      <c r="E545" s="14"/>
      <c r="F545" s="14"/>
      <c r="G545" s="131"/>
    </row>
    <row r="546">
      <c r="A546" s="130"/>
      <c r="B546" s="131"/>
      <c r="C546" s="131"/>
      <c r="D546" s="131"/>
      <c r="E546" s="14"/>
      <c r="F546" s="14"/>
      <c r="G546" s="131"/>
    </row>
    <row r="547">
      <c r="A547" s="130"/>
      <c r="B547" s="131"/>
      <c r="C547" s="131"/>
      <c r="D547" s="131"/>
      <c r="E547" s="14"/>
      <c r="F547" s="14"/>
      <c r="G547" s="131"/>
    </row>
    <row r="548">
      <c r="A548" s="130"/>
      <c r="B548" s="131"/>
      <c r="C548" s="131"/>
      <c r="D548" s="131"/>
      <c r="E548" s="14"/>
      <c r="F548" s="14"/>
      <c r="G548" s="131"/>
    </row>
    <row r="549">
      <c r="A549" s="130"/>
      <c r="B549" s="131"/>
      <c r="C549" s="131"/>
      <c r="D549" s="131"/>
      <c r="E549" s="14"/>
      <c r="F549" s="14"/>
      <c r="G549" s="131"/>
    </row>
    <row r="550">
      <c r="A550" s="130"/>
      <c r="B550" s="131"/>
      <c r="C550" s="131"/>
      <c r="D550" s="131"/>
      <c r="E550" s="14"/>
      <c r="F550" s="14"/>
      <c r="G550" s="131"/>
    </row>
    <row r="551">
      <c r="A551" s="130"/>
      <c r="B551" s="131"/>
      <c r="C551" s="131"/>
      <c r="D551" s="131"/>
      <c r="E551" s="14"/>
      <c r="F551" s="14"/>
      <c r="G551" s="131"/>
    </row>
    <row r="552">
      <c r="A552" s="130"/>
      <c r="B552" s="131"/>
      <c r="C552" s="131"/>
      <c r="D552" s="131"/>
      <c r="E552" s="14"/>
      <c r="F552" s="14"/>
      <c r="G552" s="131"/>
    </row>
    <row r="553">
      <c r="A553" s="130"/>
      <c r="B553" s="131"/>
      <c r="C553" s="131"/>
      <c r="D553" s="131"/>
      <c r="E553" s="14"/>
      <c r="F553" s="14"/>
      <c r="G553" s="131"/>
    </row>
    <row r="554">
      <c r="A554" s="130"/>
      <c r="B554" s="131"/>
      <c r="C554" s="131"/>
      <c r="D554" s="131"/>
      <c r="E554" s="14"/>
      <c r="F554" s="14"/>
      <c r="G554" s="131"/>
    </row>
    <row r="555">
      <c r="A555" s="130"/>
      <c r="B555" s="131"/>
      <c r="C555" s="131"/>
      <c r="D555" s="131"/>
      <c r="E555" s="14"/>
      <c r="F555" s="14"/>
      <c r="G555" s="131"/>
    </row>
    <row r="556">
      <c r="A556" s="130"/>
      <c r="B556" s="131"/>
      <c r="C556" s="131"/>
      <c r="D556" s="131"/>
      <c r="E556" s="14"/>
      <c r="F556" s="14"/>
      <c r="G556" s="131"/>
    </row>
    <row r="557">
      <c r="A557" s="130"/>
      <c r="B557" s="131"/>
      <c r="C557" s="131"/>
      <c r="D557" s="131"/>
      <c r="E557" s="14"/>
      <c r="F557" s="14"/>
      <c r="G557" s="131"/>
    </row>
    <row r="558">
      <c r="A558" s="130"/>
      <c r="B558" s="131"/>
      <c r="C558" s="131"/>
      <c r="D558" s="131"/>
      <c r="E558" s="14"/>
      <c r="F558" s="14"/>
      <c r="G558" s="131"/>
    </row>
    <row r="559">
      <c r="A559" s="130"/>
      <c r="B559" s="131"/>
      <c r="C559" s="131"/>
      <c r="D559" s="131"/>
      <c r="E559" s="14"/>
      <c r="F559" s="14"/>
      <c r="G559" s="131"/>
    </row>
    <row r="560">
      <c r="A560" s="130"/>
      <c r="B560" s="131"/>
      <c r="C560" s="131"/>
      <c r="D560" s="131"/>
      <c r="E560" s="14"/>
      <c r="F560" s="14"/>
      <c r="G560" s="131"/>
    </row>
    <row r="561">
      <c r="A561" s="130"/>
      <c r="B561" s="131"/>
      <c r="C561" s="131"/>
      <c r="D561" s="131"/>
      <c r="E561" s="14"/>
      <c r="F561" s="14"/>
      <c r="G561" s="131"/>
    </row>
    <row r="562">
      <c r="A562" s="130"/>
      <c r="B562" s="131"/>
      <c r="C562" s="131"/>
      <c r="D562" s="131"/>
      <c r="E562" s="14"/>
      <c r="F562" s="14"/>
      <c r="G562" s="131"/>
    </row>
    <row r="563">
      <c r="A563" s="130"/>
      <c r="B563" s="131"/>
      <c r="C563" s="131"/>
      <c r="D563" s="131"/>
      <c r="E563" s="14"/>
      <c r="F563" s="14"/>
      <c r="G563" s="131"/>
    </row>
    <row r="564">
      <c r="A564" s="130"/>
      <c r="B564" s="131"/>
      <c r="C564" s="131"/>
      <c r="D564" s="131"/>
      <c r="E564" s="14"/>
      <c r="F564" s="14"/>
      <c r="G564" s="131"/>
    </row>
    <row r="565">
      <c r="A565" s="130"/>
      <c r="B565" s="131"/>
      <c r="C565" s="131"/>
      <c r="D565" s="131"/>
      <c r="E565" s="14"/>
      <c r="F565" s="14"/>
      <c r="G565" s="131"/>
    </row>
    <row r="566">
      <c r="A566" s="130"/>
      <c r="B566" s="131"/>
      <c r="C566" s="131"/>
      <c r="D566" s="131"/>
      <c r="E566" s="14"/>
      <c r="F566" s="14"/>
      <c r="G566" s="131"/>
    </row>
    <row r="567">
      <c r="A567" s="130"/>
      <c r="B567" s="131"/>
      <c r="C567" s="131"/>
      <c r="D567" s="131"/>
      <c r="E567" s="14"/>
      <c r="F567" s="14"/>
      <c r="G567" s="131"/>
    </row>
    <row r="568">
      <c r="A568" s="130"/>
      <c r="B568" s="131"/>
      <c r="C568" s="131"/>
      <c r="D568" s="131"/>
      <c r="E568" s="14"/>
      <c r="F568" s="14"/>
      <c r="G568" s="131"/>
    </row>
    <row r="569">
      <c r="A569" s="130"/>
      <c r="B569" s="131"/>
      <c r="C569" s="131"/>
      <c r="D569" s="131"/>
      <c r="E569" s="14"/>
      <c r="F569" s="14"/>
      <c r="G569" s="131"/>
    </row>
    <row r="570">
      <c r="A570" s="130"/>
      <c r="B570" s="131"/>
      <c r="C570" s="131"/>
      <c r="D570" s="131"/>
      <c r="E570" s="14"/>
      <c r="F570" s="14"/>
      <c r="G570" s="131"/>
    </row>
    <row r="571">
      <c r="A571" s="130"/>
      <c r="B571" s="131"/>
      <c r="C571" s="131"/>
      <c r="D571" s="131"/>
      <c r="E571" s="14"/>
      <c r="F571" s="14"/>
      <c r="G571" s="131"/>
    </row>
    <row r="572">
      <c r="A572" s="130"/>
      <c r="B572" s="131"/>
      <c r="C572" s="131"/>
      <c r="D572" s="131"/>
      <c r="E572" s="14"/>
      <c r="F572" s="14"/>
      <c r="G572" s="131"/>
    </row>
    <row r="573">
      <c r="A573" s="130"/>
      <c r="B573" s="131"/>
      <c r="C573" s="131"/>
      <c r="D573" s="131"/>
      <c r="E573" s="14"/>
      <c r="F573" s="14"/>
      <c r="G573" s="131"/>
    </row>
    <row r="574">
      <c r="A574" s="130"/>
      <c r="B574" s="131"/>
      <c r="C574" s="131"/>
      <c r="D574" s="131"/>
      <c r="E574" s="14"/>
      <c r="F574" s="14"/>
      <c r="G574" s="131"/>
    </row>
    <row r="575">
      <c r="A575" s="130"/>
      <c r="B575" s="131"/>
      <c r="C575" s="131"/>
      <c r="D575" s="131"/>
      <c r="E575" s="14"/>
      <c r="F575" s="14"/>
      <c r="G575" s="131"/>
    </row>
    <row r="576">
      <c r="A576" s="130"/>
      <c r="B576" s="131"/>
      <c r="C576" s="131"/>
      <c r="D576" s="131"/>
      <c r="E576" s="14"/>
      <c r="F576" s="14"/>
      <c r="G576" s="131"/>
    </row>
    <row r="577">
      <c r="A577" s="130"/>
      <c r="B577" s="131"/>
      <c r="C577" s="131"/>
      <c r="D577" s="131"/>
      <c r="E577" s="14"/>
      <c r="F577" s="14"/>
      <c r="G577" s="131"/>
    </row>
    <row r="578">
      <c r="A578" s="130"/>
      <c r="B578" s="131"/>
      <c r="C578" s="131"/>
      <c r="D578" s="131"/>
      <c r="E578" s="14"/>
      <c r="F578" s="14"/>
      <c r="G578" s="131"/>
    </row>
    <row r="579">
      <c r="A579" s="130"/>
      <c r="B579" s="131"/>
      <c r="C579" s="131"/>
      <c r="D579" s="131"/>
      <c r="E579" s="14"/>
      <c r="F579" s="14"/>
      <c r="G579" s="131"/>
    </row>
    <row r="580">
      <c r="A580" s="130"/>
      <c r="B580" s="131"/>
      <c r="C580" s="131"/>
      <c r="D580" s="131"/>
      <c r="E580" s="14"/>
      <c r="F580" s="14"/>
      <c r="G580" s="131"/>
    </row>
    <row r="581">
      <c r="A581" s="130"/>
      <c r="B581" s="131"/>
      <c r="C581" s="131"/>
      <c r="D581" s="131"/>
      <c r="E581" s="14"/>
      <c r="F581" s="14"/>
      <c r="G581" s="131"/>
    </row>
    <row r="582">
      <c r="A582" s="130"/>
      <c r="B582" s="131"/>
      <c r="C582" s="131"/>
      <c r="D582" s="131"/>
      <c r="E582" s="14"/>
      <c r="F582" s="14"/>
      <c r="G582" s="131"/>
    </row>
    <row r="583">
      <c r="A583" s="130"/>
      <c r="B583" s="131"/>
      <c r="C583" s="131"/>
      <c r="D583" s="131"/>
      <c r="E583" s="14"/>
      <c r="F583" s="14"/>
      <c r="G583" s="131"/>
    </row>
    <row r="584">
      <c r="A584" s="130"/>
      <c r="B584" s="131"/>
      <c r="C584" s="131"/>
      <c r="D584" s="131"/>
      <c r="E584" s="14"/>
      <c r="F584" s="14"/>
      <c r="G584" s="131"/>
    </row>
    <row r="585">
      <c r="A585" s="130"/>
      <c r="B585" s="131"/>
      <c r="C585" s="131"/>
      <c r="D585" s="131"/>
      <c r="E585" s="14"/>
      <c r="F585" s="14"/>
      <c r="G585" s="131"/>
    </row>
    <row r="586">
      <c r="A586" s="130"/>
      <c r="B586" s="131"/>
      <c r="C586" s="131"/>
      <c r="D586" s="131"/>
      <c r="E586" s="14"/>
      <c r="F586" s="14"/>
      <c r="G586" s="131"/>
    </row>
    <row r="587">
      <c r="A587" s="130"/>
      <c r="B587" s="131"/>
      <c r="C587" s="131"/>
      <c r="D587" s="131"/>
      <c r="E587" s="14"/>
      <c r="F587" s="14"/>
      <c r="G587" s="131"/>
    </row>
    <row r="588">
      <c r="A588" s="130"/>
      <c r="B588" s="131"/>
      <c r="C588" s="131"/>
      <c r="D588" s="131"/>
      <c r="E588" s="14"/>
      <c r="F588" s="14"/>
      <c r="G588" s="131"/>
    </row>
    <row r="589">
      <c r="A589" s="130"/>
      <c r="B589" s="131"/>
      <c r="C589" s="131"/>
      <c r="D589" s="131"/>
      <c r="E589" s="14"/>
      <c r="F589" s="14"/>
      <c r="G589" s="131"/>
    </row>
    <row r="590">
      <c r="A590" s="130"/>
      <c r="B590" s="131"/>
      <c r="C590" s="131"/>
      <c r="D590" s="131"/>
      <c r="E590" s="14"/>
      <c r="F590" s="14"/>
      <c r="G590" s="131"/>
    </row>
    <row r="591">
      <c r="A591" s="130"/>
      <c r="B591" s="131"/>
      <c r="C591" s="131"/>
      <c r="D591" s="131"/>
      <c r="E591" s="14"/>
      <c r="F591" s="14"/>
      <c r="G591" s="131"/>
    </row>
    <row r="592">
      <c r="A592" s="130"/>
      <c r="B592" s="131"/>
      <c r="C592" s="131"/>
      <c r="D592" s="131"/>
      <c r="E592" s="14"/>
      <c r="F592" s="14"/>
      <c r="G592" s="131"/>
    </row>
    <row r="593">
      <c r="A593" s="130"/>
      <c r="B593" s="131"/>
      <c r="C593" s="131"/>
      <c r="D593" s="131"/>
      <c r="E593" s="14"/>
      <c r="F593" s="14"/>
      <c r="G593" s="131"/>
    </row>
    <row r="594">
      <c r="A594" s="130"/>
      <c r="B594" s="131"/>
      <c r="C594" s="131"/>
      <c r="D594" s="131"/>
      <c r="E594" s="14"/>
      <c r="F594" s="14"/>
      <c r="G594" s="131"/>
    </row>
    <row r="595">
      <c r="A595" s="130"/>
      <c r="B595" s="131"/>
      <c r="C595" s="131"/>
      <c r="D595" s="131"/>
      <c r="E595" s="14"/>
      <c r="F595" s="14"/>
      <c r="G595" s="131"/>
    </row>
    <row r="596">
      <c r="A596" s="130"/>
      <c r="B596" s="131"/>
      <c r="C596" s="131"/>
      <c r="D596" s="131"/>
      <c r="E596" s="14"/>
      <c r="F596" s="14"/>
      <c r="G596" s="131"/>
    </row>
    <row r="597">
      <c r="A597" s="130"/>
      <c r="B597" s="131"/>
      <c r="C597" s="131"/>
      <c r="D597" s="131"/>
      <c r="E597" s="14"/>
      <c r="F597" s="14"/>
      <c r="G597" s="131"/>
    </row>
    <row r="598">
      <c r="A598" s="130"/>
      <c r="B598" s="131"/>
      <c r="C598" s="131"/>
      <c r="D598" s="131"/>
      <c r="E598" s="14"/>
      <c r="F598" s="14"/>
      <c r="G598" s="131"/>
    </row>
    <row r="599">
      <c r="A599" s="130"/>
      <c r="B599" s="131"/>
      <c r="C599" s="131"/>
      <c r="D599" s="131"/>
      <c r="E599" s="14"/>
      <c r="F599" s="14"/>
      <c r="G599" s="131"/>
    </row>
    <row r="600">
      <c r="A600" s="130"/>
      <c r="B600" s="131"/>
      <c r="C600" s="131"/>
      <c r="D600" s="131"/>
      <c r="E600" s="14"/>
      <c r="F600" s="14"/>
      <c r="G600" s="131"/>
    </row>
    <row r="601">
      <c r="A601" s="130"/>
      <c r="B601" s="131"/>
      <c r="C601" s="131"/>
      <c r="D601" s="131"/>
      <c r="E601" s="14"/>
      <c r="F601" s="14"/>
      <c r="G601" s="131"/>
    </row>
    <row r="602">
      <c r="A602" s="130"/>
      <c r="B602" s="131"/>
      <c r="C602" s="131"/>
      <c r="D602" s="131"/>
      <c r="E602" s="14"/>
      <c r="F602" s="14"/>
      <c r="G602" s="131"/>
    </row>
    <row r="603">
      <c r="A603" s="130"/>
      <c r="B603" s="131"/>
      <c r="C603" s="131"/>
      <c r="D603" s="131"/>
      <c r="E603" s="14"/>
      <c r="F603" s="14"/>
      <c r="G603" s="131"/>
    </row>
    <row r="604">
      <c r="A604" s="130"/>
      <c r="B604" s="131"/>
      <c r="C604" s="131"/>
      <c r="D604" s="131"/>
      <c r="E604" s="14"/>
      <c r="F604" s="14"/>
      <c r="G604" s="131"/>
    </row>
    <row r="605">
      <c r="A605" s="130"/>
      <c r="B605" s="131"/>
      <c r="C605" s="131"/>
      <c r="D605" s="131"/>
      <c r="E605" s="14"/>
      <c r="F605" s="14"/>
      <c r="G605" s="131"/>
    </row>
    <row r="606">
      <c r="A606" s="130"/>
      <c r="B606" s="131"/>
      <c r="C606" s="131"/>
      <c r="D606" s="131"/>
      <c r="E606" s="14"/>
      <c r="F606" s="14"/>
      <c r="G606" s="131"/>
    </row>
    <row r="607">
      <c r="A607" s="130"/>
      <c r="B607" s="131"/>
      <c r="C607" s="131"/>
      <c r="D607" s="131"/>
      <c r="E607" s="14"/>
      <c r="F607" s="14"/>
      <c r="G607" s="131"/>
    </row>
    <row r="608">
      <c r="A608" s="130"/>
      <c r="B608" s="131"/>
      <c r="C608" s="131"/>
      <c r="D608" s="131"/>
      <c r="E608" s="14"/>
      <c r="F608" s="14"/>
      <c r="G608" s="131"/>
    </row>
    <row r="609">
      <c r="A609" s="130"/>
      <c r="B609" s="131"/>
      <c r="C609" s="131"/>
      <c r="D609" s="131"/>
      <c r="E609" s="14"/>
      <c r="F609" s="14"/>
      <c r="G609" s="131"/>
    </row>
    <row r="610">
      <c r="A610" s="130"/>
      <c r="B610" s="131"/>
      <c r="C610" s="131"/>
      <c r="D610" s="131"/>
      <c r="E610" s="14"/>
      <c r="F610" s="14"/>
      <c r="G610" s="131"/>
    </row>
    <row r="611">
      <c r="A611" s="130"/>
      <c r="B611" s="131"/>
      <c r="C611" s="131"/>
      <c r="D611" s="131"/>
      <c r="E611" s="14"/>
      <c r="F611" s="14"/>
      <c r="G611" s="131"/>
    </row>
    <row r="612">
      <c r="A612" s="130"/>
      <c r="B612" s="131"/>
      <c r="C612" s="131"/>
      <c r="D612" s="131"/>
      <c r="E612" s="14"/>
      <c r="F612" s="14"/>
      <c r="G612" s="131"/>
    </row>
    <row r="613">
      <c r="A613" s="130"/>
      <c r="B613" s="131"/>
      <c r="C613" s="131"/>
      <c r="D613" s="131"/>
      <c r="E613" s="14"/>
      <c r="F613" s="14"/>
      <c r="G613" s="131"/>
    </row>
    <row r="614">
      <c r="A614" s="130"/>
      <c r="B614" s="131"/>
      <c r="C614" s="131"/>
      <c r="D614" s="131"/>
      <c r="E614" s="14"/>
      <c r="F614" s="14"/>
      <c r="G614" s="131"/>
    </row>
    <row r="615">
      <c r="A615" s="130"/>
      <c r="B615" s="131"/>
      <c r="C615" s="131"/>
      <c r="D615" s="131"/>
      <c r="E615" s="14"/>
      <c r="F615" s="14"/>
      <c r="G615" s="131"/>
    </row>
    <row r="616">
      <c r="A616" s="130"/>
      <c r="B616" s="131"/>
      <c r="C616" s="131"/>
      <c r="D616" s="131"/>
      <c r="E616" s="14"/>
      <c r="F616" s="14"/>
      <c r="G616" s="131"/>
    </row>
    <row r="617">
      <c r="A617" s="130"/>
      <c r="B617" s="131"/>
      <c r="C617" s="131"/>
      <c r="D617" s="131"/>
      <c r="E617" s="14"/>
      <c r="F617" s="14"/>
      <c r="G617" s="131"/>
    </row>
    <row r="618">
      <c r="A618" s="130"/>
      <c r="B618" s="131"/>
      <c r="C618" s="131"/>
      <c r="D618" s="131"/>
      <c r="E618" s="14"/>
      <c r="F618" s="14"/>
      <c r="G618" s="131"/>
    </row>
    <row r="619">
      <c r="A619" s="130"/>
      <c r="B619" s="131"/>
      <c r="C619" s="131"/>
      <c r="D619" s="131"/>
      <c r="E619" s="14"/>
      <c r="F619" s="14"/>
      <c r="G619" s="131"/>
    </row>
    <row r="620">
      <c r="A620" s="130"/>
      <c r="B620" s="131"/>
      <c r="C620" s="131"/>
      <c r="D620" s="131"/>
      <c r="E620" s="14"/>
      <c r="F620" s="14"/>
      <c r="G620" s="131"/>
    </row>
    <row r="621">
      <c r="A621" s="130"/>
      <c r="B621" s="131"/>
      <c r="C621" s="131"/>
      <c r="D621" s="131"/>
      <c r="E621" s="14"/>
      <c r="F621" s="14"/>
      <c r="G621" s="131"/>
    </row>
    <row r="622">
      <c r="A622" s="130"/>
      <c r="B622" s="131"/>
      <c r="C622" s="131"/>
      <c r="D622" s="131"/>
      <c r="E622" s="14"/>
      <c r="F622" s="14"/>
      <c r="G622" s="131"/>
    </row>
    <row r="623">
      <c r="A623" s="130"/>
      <c r="B623" s="131"/>
      <c r="C623" s="131"/>
      <c r="D623" s="131"/>
      <c r="E623" s="14"/>
      <c r="F623" s="14"/>
      <c r="G623" s="131"/>
    </row>
    <row r="624">
      <c r="A624" s="130"/>
      <c r="B624" s="131"/>
      <c r="C624" s="131"/>
      <c r="D624" s="131"/>
      <c r="E624" s="14"/>
      <c r="F624" s="14"/>
      <c r="G624" s="131"/>
    </row>
    <row r="625">
      <c r="A625" s="130"/>
      <c r="B625" s="131"/>
      <c r="C625" s="131"/>
      <c r="D625" s="131"/>
      <c r="E625" s="14"/>
      <c r="F625" s="14"/>
      <c r="G625" s="131"/>
    </row>
    <row r="626">
      <c r="A626" s="130"/>
      <c r="B626" s="131"/>
      <c r="C626" s="131"/>
      <c r="D626" s="131"/>
      <c r="E626" s="14"/>
      <c r="F626" s="14"/>
      <c r="G626" s="131"/>
    </row>
    <row r="627">
      <c r="A627" s="130"/>
      <c r="B627" s="131"/>
      <c r="C627" s="131"/>
      <c r="D627" s="131"/>
      <c r="E627" s="14"/>
      <c r="F627" s="14"/>
      <c r="G627" s="131"/>
    </row>
    <row r="628">
      <c r="A628" s="130"/>
      <c r="B628" s="131"/>
      <c r="C628" s="131"/>
      <c r="D628" s="131"/>
      <c r="E628" s="14"/>
      <c r="F628" s="14"/>
      <c r="G628" s="131"/>
    </row>
    <row r="629">
      <c r="A629" s="130"/>
      <c r="B629" s="131"/>
      <c r="C629" s="131"/>
      <c r="D629" s="131"/>
      <c r="E629" s="14"/>
      <c r="F629" s="14"/>
      <c r="G629" s="131"/>
    </row>
    <row r="630">
      <c r="A630" s="130"/>
      <c r="B630" s="131"/>
      <c r="C630" s="131"/>
      <c r="D630" s="131"/>
      <c r="E630" s="14"/>
      <c r="F630" s="14"/>
      <c r="G630" s="131"/>
    </row>
    <row r="631">
      <c r="A631" s="130"/>
      <c r="B631" s="131"/>
      <c r="C631" s="131"/>
      <c r="D631" s="131"/>
      <c r="E631" s="14"/>
      <c r="F631" s="14"/>
      <c r="G631" s="131"/>
    </row>
    <row r="632">
      <c r="A632" s="130"/>
      <c r="B632" s="131"/>
      <c r="C632" s="131"/>
      <c r="D632" s="131"/>
      <c r="E632" s="14"/>
      <c r="F632" s="14"/>
      <c r="G632" s="131"/>
    </row>
    <row r="633">
      <c r="A633" s="130"/>
      <c r="B633" s="131"/>
      <c r="C633" s="131"/>
      <c r="D633" s="131"/>
      <c r="E633" s="14"/>
      <c r="F633" s="14"/>
      <c r="G633" s="131"/>
    </row>
    <row r="634">
      <c r="A634" s="130"/>
      <c r="B634" s="131"/>
      <c r="C634" s="131"/>
      <c r="D634" s="131"/>
      <c r="E634" s="14"/>
      <c r="F634" s="14"/>
      <c r="G634" s="131"/>
    </row>
    <row r="635">
      <c r="A635" s="130"/>
      <c r="B635" s="131"/>
      <c r="C635" s="131"/>
      <c r="D635" s="131"/>
      <c r="E635" s="14"/>
      <c r="F635" s="14"/>
      <c r="G635" s="131"/>
    </row>
    <row r="636">
      <c r="A636" s="130"/>
      <c r="B636" s="131"/>
      <c r="C636" s="131"/>
      <c r="D636" s="131"/>
      <c r="E636" s="14"/>
      <c r="F636" s="14"/>
      <c r="G636" s="131"/>
    </row>
    <row r="637">
      <c r="A637" s="130"/>
      <c r="B637" s="131"/>
      <c r="C637" s="131"/>
      <c r="D637" s="131"/>
      <c r="E637" s="14"/>
      <c r="F637" s="14"/>
      <c r="G637" s="131"/>
    </row>
    <row r="638">
      <c r="A638" s="130"/>
      <c r="B638" s="131"/>
      <c r="C638" s="131"/>
      <c r="D638" s="131"/>
      <c r="E638" s="14"/>
      <c r="F638" s="14"/>
      <c r="G638" s="131"/>
    </row>
    <row r="639">
      <c r="A639" s="130"/>
      <c r="B639" s="131"/>
      <c r="C639" s="131"/>
      <c r="D639" s="131"/>
      <c r="E639" s="14"/>
      <c r="F639" s="14"/>
      <c r="G639" s="131"/>
    </row>
    <row r="640">
      <c r="A640" s="130"/>
      <c r="B640" s="131"/>
      <c r="C640" s="131"/>
      <c r="D640" s="131"/>
      <c r="E640" s="14"/>
      <c r="F640" s="14"/>
      <c r="G640" s="131"/>
    </row>
    <row r="641">
      <c r="A641" s="130"/>
      <c r="B641" s="131"/>
      <c r="C641" s="131"/>
      <c r="D641" s="131"/>
      <c r="E641" s="14"/>
      <c r="F641" s="14"/>
      <c r="G641" s="131"/>
    </row>
    <row r="642">
      <c r="A642" s="130"/>
      <c r="B642" s="131"/>
      <c r="C642" s="131"/>
      <c r="D642" s="131"/>
      <c r="E642" s="14"/>
      <c r="F642" s="14"/>
      <c r="G642" s="131"/>
    </row>
    <row r="643">
      <c r="A643" s="130"/>
      <c r="B643" s="131"/>
      <c r="C643" s="131"/>
      <c r="D643" s="131"/>
      <c r="E643" s="14"/>
      <c r="F643" s="14"/>
      <c r="G643" s="131"/>
    </row>
    <row r="644">
      <c r="A644" s="130"/>
      <c r="B644" s="131"/>
      <c r="C644" s="131"/>
      <c r="D644" s="131"/>
      <c r="E644" s="14"/>
      <c r="F644" s="14"/>
      <c r="G644" s="131"/>
    </row>
    <row r="645">
      <c r="A645" s="130"/>
      <c r="B645" s="131"/>
      <c r="C645" s="131"/>
      <c r="D645" s="131"/>
      <c r="E645" s="14"/>
      <c r="F645" s="14"/>
      <c r="G645" s="131"/>
    </row>
    <row r="646">
      <c r="A646" s="130"/>
      <c r="B646" s="131"/>
      <c r="C646" s="131"/>
      <c r="D646" s="131"/>
      <c r="E646" s="14"/>
      <c r="F646" s="14"/>
      <c r="G646" s="131"/>
    </row>
    <row r="647">
      <c r="A647" s="130"/>
      <c r="B647" s="131"/>
      <c r="C647" s="131"/>
      <c r="D647" s="131"/>
      <c r="E647" s="14"/>
      <c r="F647" s="14"/>
      <c r="G647" s="131"/>
    </row>
    <row r="648">
      <c r="A648" s="130"/>
      <c r="B648" s="131"/>
      <c r="C648" s="131"/>
      <c r="D648" s="131"/>
      <c r="E648" s="14"/>
      <c r="F648" s="14"/>
      <c r="G648" s="131"/>
    </row>
    <row r="649">
      <c r="A649" s="130"/>
      <c r="B649" s="131"/>
      <c r="C649" s="131"/>
      <c r="D649" s="131"/>
      <c r="E649" s="14"/>
      <c r="F649" s="14"/>
      <c r="G649" s="131"/>
    </row>
    <row r="650">
      <c r="A650" s="130"/>
      <c r="B650" s="131"/>
      <c r="C650" s="131"/>
      <c r="D650" s="131"/>
      <c r="E650" s="14"/>
      <c r="F650" s="14"/>
      <c r="G650" s="131"/>
    </row>
    <row r="651">
      <c r="A651" s="130"/>
      <c r="B651" s="131"/>
      <c r="C651" s="131"/>
      <c r="D651" s="131"/>
      <c r="E651" s="14"/>
      <c r="F651" s="14"/>
      <c r="G651" s="131"/>
    </row>
    <row r="652">
      <c r="A652" s="130"/>
      <c r="B652" s="131"/>
      <c r="C652" s="131"/>
      <c r="D652" s="131"/>
      <c r="E652" s="14"/>
      <c r="F652" s="14"/>
      <c r="G652" s="131"/>
    </row>
    <row r="653">
      <c r="A653" s="130"/>
      <c r="B653" s="131"/>
      <c r="C653" s="131"/>
      <c r="D653" s="131"/>
      <c r="E653" s="14"/>
      <c r="F653" s="14"/>
      <c r="G653" s="131"/>
    </row>
    <row r="654">
      <c r="A654" s="130"/>
      <c r="B654" s="131"/>
      <c r="C654" s="131"/>
      <c r="D654" s="131"/>
      <c r="E654" s="14"/>
      <c r="F654" s="14"/>
      <c r="G654" s="131"/>
    </row>
    <row r="655">
      <c r="A655" s="130"/>
      <c r="B655" s="131"/>
      <c r="C655" s="131"/>
      <c r="D655" s="131"/>
      <c r="E655" s="14"/>
      <c r="F655" s="14"/>
      <c r="G655" s="131"/>
    </row>
    <row r="656">
      <c r="A656" s="130"/>
      <c r="B656" s="131"/>
      <c r="C656" s="131"/>
      <c r="D656" s="131"/>
      <c r="E656" s="14"/>
      <c r="F656" s="14"/>
      <c r="G656" s="131"/>
    </row>
    <row r="657">
      <c r="A657" s="130"/>
      <c r="B657" s="131"/>
      <c r="C657" s="131"/>
      <c r="D657" s="131"/>
      <c r="E657" s="14"/>
      <c r="F657" s="14"/>
      <c r="G657" s="131"/>
    </row>
    <row r="658">
      <c r="A658" s="130"/>
      <c r="B658" s="131"/>
      <c r="C658" s="131"/>
      <c r="D658" s="131"/>
      <c r="E658" s="14"/>
      <c r="F658" s="14"/>
      <c r="G658" s="131"/>
    </row>
    <row r="659">
      <c r="A659" s="130"/>
      <c r="B659" s="131"/>
      <c r="C659" s="131"/>
      <c r="D659" s="131"/>
      <c r="E659" s="14"/>
      <c r="F659" s="14"/>
      <c r="G659" s="131"/>
    </row>
    <row r="660">
      <c r="A660" s="130"/>
      <c r="B660" s="131"/>
      <c r="C660" s="131"/>
      <c r="D660" s="131"/>
      <c r="E660" s="14"/>
      <c r="F660" s="14"/>
      <c r="G660" s="131"/>
    </row>
    <row r="661">
      <c r="A661" s="130"/>
      <c r="B661" s="131"/>
      <c r="C661" s="131"/>
      <c r="D661" s="131"/>
      <c r="E661" s="14"/>
      <c r="F661" s="14"/>
      <c r="G661" s="131"/>
    </row>
    <row r="662">
      <c r="A662" s="130"/>
      <c r="B662" s="131"/>
      <c r="C662" s="131"/>
      <c r="D662" s="131"/>
      <c r="E662" s="14"/>
      <c r="F662" s="14"/>
      <c r="G662" s="131"/>
    </row>
    <row r="663">
      <c r="A663" s="130"/>
      <c r="B663" s="131"/>
      <c r="C663" s="131"/>
      <c r="D663" s="131"/>
      <c r="E663" s="14"/>
      <c r="F663" s="14"/>
      <c r="G663" s="131"/>
    </row>
    <row r="664">
      <c r="A664" s="130"/>
      <c r="B664" s="131"/>
      <c r="C664" s="131"/>
      <c r="D664" s="131"/>
      <c r="E664" s="14"/>
      <c r="F664" s="14"/>
      <c r="G664" s="131"/>
    </row>
    <row r="665">
      <c r="A665" s="130"/>
      <c r="B665" s="131"/>
      <c r="C665" s="131"/>
      <c r="D665" s="131"/>
      <c r="E665" s="14"/>
      <c r="F665" s="14"/>
      <c r="G665" s="131"/>
    </row>
    <row r="666">
      <c r="A666" s="130"/>
      <c r="B666" s="131"/>
      <c r="C666" s="131"/>
      <c r="D666" s="131"/>
      <c r="E666" s="14"/>
      <c r="F666" s="14"/>
      <c r="G666" s="131"/>
    </row>
    <row r="667">
      <c r="A667" s="130"/>
      <c r="B667" s="131"/>
      <c r="C667" s="131"/>
      <c r="D667" s="131"/>
      <c r="E667" s="14"/>
      <c r="F667" s="14"/>
      <c r="G667" s="131"/>
    </row>
    <row r="668">
      <c r="A668" s="130"/>
      <c r="B668" s="131"/>
      <c r="C668" s="131"/>
      <c r="D668" s="131"/>
      <c r="E668" s="14"/>
      <c r="F668" s="14"/>
      <c r="G668" s="131"/>
    </row>
    <row r="669">
      <c r="A669" s="130"/>
      <c r="B669" s="131"/>
      <c r="C669" s="131"/>
      <c r="D669" s="131"/>
      <c r="E669" s="14"/>
      <c r="F669" s="14"/>
      <c r="G669" s="131"/>
    </row>
    <row r="670">
      <c r="A670" s="130"/>
      <c r="B670" s="131"/>
      <c r="C670" s="131"/>
      <c r="D670" s="131"/>
      <c r="E670" s="14"/>
      <c r="F670" s="14"/>
      <c r="G670" s="131"/>
    </row>
    <row r="671">
      <c r="A671" s="130"/>
      <c r="B671" s="131"/>
      <c r="C671" s="131"/>
      <c r="D671" s="131"/>
      <c r="E671" s="14"/>
      <c r="F671" s="14"/>
      <c r="G671" s="131"/>
    </row>
    <row r="672">
      <c r="A672" s="130"/>
      <c r="B672" s="131"/>
      <c r="C672" s="131"/>
      <c r="D672" s="131"/>
      <c r="E672" s="14"/>
      <c r="F672" s="14"/>
      <c r="G672" s="131"/>
    </row>
    <row r="673">
      <c r="A673" s="130"/>
      <c r="B673" s="131"/>
      <c r="C673" s="131"/>
      <c r="D673" s="131"/>
      <c r="E673" s="14"/>
      <c r="F673" s="14"/>
      <c r="G673" s="131"/>
    </row>
    <row r="674">
      <c r="A674" s="130"/>
      <c r="B674" s="131"/>
      <c r="C674" s="131"/>
      <c r="D674" s="131"/>
      <c r="E674" s="14"/>
      <c r="F674" s="14"/>
      <c r="G674" s="131"/>
    </row>
    <row r="675">
      <c r="A675" s="130"/>
      <c r="B675" s="131"/>
      <c r="C675" s="131"/>
      <c r="D675" s="131"/>
      <c r="E675" s="14"/>
      <c r="F675" s="14"/>
      <c r="G675" s="131"/>
    </row>
    <row r="676">
      <c r="A676" s="130"/>
      <c r="B676" s="131"/>
      <c r="C676" s="131"/>
      <c r="D676" s="131"/>
      <c r="E676" s="14"/>
      <c r="F676" s="14"/>
      <c r="G676" s="131"/>
    </row>
    <row r="677">
      <c r="A677" s="130"/>
      <c r="B677" s="131"/>
      <c r="C677" s="131"/>
      <c r="D677" s="131"/>
      <c r="E677" s="14"/>
      <c r="F677" s="14"/>
      <c r="G677" s="131"/>
    </row>
    <row r="678">
      <c r="A678" s="130"/>
      <c r="B678" s="131"/>
      <c r="C678" s="131"/>
      <c r="D678" s="131"/>
      <c r="E678" s="14"/>
      <c r="F678" s="14"/>
      <c r="G678" s="131"/>
    </row>
    <row r="679">
      <c r="A679" s="130"/>
      <c r="B679" s="131"/>
      <c r="C679" s="131"/>
      <c r="D679" s="131"/>
      <c r="E679" s="14"/>
      <c r="F679" s="14"/>
      <c r="G679" s="131"/>
    </row>
    <row r="680">
      <c r="A680" s="130"/>
      <c r="B680" s="131"/>
      <c r="C680" s="131"/>
      <c r="D680" s="131"/>
      <c r="E680" s="14"/>
      <c r="F680" s="14"/>
      <c r="G680" s="131"/>
    </row>
    <row r="681">
      <c r="A681" s="130"/>
      <c r="B681" s="131"/>
      <c r="C681" s="131"/>
      <c r="D681" s="131"/>
      <c r="E681" s="14"/>
      <c r="F681" s="14"/>
      <c r="G681" s="131"/>
    </row>
    <row r="682">
      <c r="A682" s="130"/>
      <c r="B682" s="131"/>
      <c r="C682" s="131"/>
      <c r="D682" s="131"/>
      <c r="E682" s="14"/>
      <c r="F682" s="14"/>
      <c r="G682" s="131"/>
    </row>
    <row r="683">
      <c r="A683" s="130"/>
      <c r="B683" s="131"/>
      <c r="C683" s="131"/>
      <c r="D683" s="131"/>
      <c r="E683" s="14"/>
      <c r="F683" s="14"/>
      <c r="G683" s="131"/>
    </row>
    <row r="684">
      <c r="A684" s="130"/>
      <c r="B684" s="131"/>
      <c r="C684" s="131"/>
      <c r="D684" s="131"/>
      <c r="E684" s="14"/>
      <c r="F684" s="14"/>
      <c r="G684" s="131"/>
    </row>
    <row r="685">
      <c r="A685" s="130"/>
      <c r="B685" s="131"/>
      <c r="C685" s="131"/>
      <c r="D685" s="131"/>
      <c r="E685" s="14"/>
      <c r="F685" s="14"/>
      <c r="G685" s="131"/>
    </row>
    <row r="686">
      <c r="A686" s="130"/>
      <c r="B686" s="131"/>
      <c r="C686" s="131"/>
      <c r="D686" s="131"/>
      <c r="E686" s="14"/>
      <c r="F686" s="14"/>
      <c r="G686" s="131"/>
    </row>
    <row r="687">
      <c r="A687" s="130"/>
      <c r="B687" s="131"/>
      <c r="C687" s="131"/>
      <c r="D687" s="131"/>
      <c r="E687" s="14"/>
      <c r="F687" s="14"/>
      <c r="G687" s="131"/>
    </row>
    <row r="688">
      <c r="A688" s="130"/>
      <c r="B688" s="131"/>
      <c r="C688" s="131"/>
      <c r="D688" s="131"/>
      <c r="E688" s="14"/>
      <c r="F688" s="14"/>
      <c r="G688" s="131"/>
    </row>
    <row r="689">
      <c r="A689" s="130"/>
      <c r="B689" s="131"/>
      <c r="C689" s="131"/>
      <c r="D689" s="131"/>
      <c r="E689" s="14"/>
      <c r="F689" s="14"/>
      <c r="G689" s="131"/>
    </row>
    <row r="690">
      <c r="A690" s="130"/>
      <c r="B690" s="131"/>
      <c r="C690" s="131"/>
      <c r="D690" s="131"/>
      <c r="E690" s="14"/>
      <c r="F690" s="14"/>
      <c r="G690" s="131"/>
    </row>
    <row r="691">
      <c r="A691" s="130"/>
      <c r="B691" s="131"/>
      <c r="C691" s="131"/>
      <c r="D691" s="131"/>
      <c r="E691" s="14"/>
      <c r="F691" s="14"/>
      <c r="G691" s="131"/>
    </row>
    <row r="692">
      <c r="A692" s="130"/>
      <c r="B692" s="131"/>
      <c r="C692" s="131"/>
      <c r="D692" s="131"/>
      <c r="E692" s="14"/>
      <c r="F692" s="14"/>
      <c r="G692" s="131"/>
    </row>
    <row r="693">
      <c r="A693" s="130"/>
      <c r="B693" s="131"/>
      <c r="C693" s="131"/>
      <c r="D693" s="131"/>
      <c r="E693" s="14"/>
      <c r="F693" s="14"/>
      <c r="G693" s="131"/>
    </row>
    <row r="694">
      <c r="A694" s="130"/>
      <c r="B694" s="131"/>
      <c r="C694" s="131"/>
      <c r="D694" s="131"/>
      <c r="E694" s="14"/>
      <c r="F694" s="14"/>
      <c r="G694" s="131"/>
    </row>
    <row r="695">
      <c r="A695" s="130"/>
      <c r="B695" s="131"/>
      <c r="C695" s="131"/>
      <c r="D695" s="131"/>
      <c r="E695" s="14"/>
      <c r="F695" s="14"/>
      <c r="G695" s="131"/>
    </row>
    <row r="696">
      <c r="A696" s="130"/>
      <c r="B696" s="131"/>
      <c r="C696" s="131"/>
      <c r="D696" s="131"/>
      <c r="E696" s="14"/>
      <c r="F696" s="14"/>
      <c r="G696" s="131"/>
    </row>
    <row r="697">
      <c r="A697" s="130"/>
      <c r="B697" s="131"/>
      <c r="C697" s="131"/>
      <c r="D697" s="131"/>
      <c r="E697" s="14"/>
      <c r="F697" s="14"/>
      <c r="G697" s="131"/>
    </row>
    <row r="698">
      <c r="A698" s="130"/>
      <c r="B698" s="131"/>
      <c r="C698" s="131"/>
      <c r="D698" s="131"/>
      <c r="E698" s="14"/>
      <c r="F698" s="14"/>
      <c r="G698" s="131"/>
    </row>
    <row r="699">
      <c r="A699" s="130"/>
      <c r="B699" s="131"/>
      <c r="C699" s="131"/>
      <c r="D699" s="131"/>
      <c r="E699" s="14"/>
      <c r="F699" s="14"/>
      <c r="G699" s="131"/>
    </row>
    <row r="700">
      <c r="A700" s="130"/>
      <c r="B700" s="131"/>
      <c r="C700" s="131"/>
      <c r="D700" s="131"/>
      <c r="E700" s="14"/>
      <c r="F700" s="14"/>
      <c r="G700" s="131"/>
    </row>
    <row r="701">
      <c r="A701" s="130"/>
      <c r="B701" s="131"/>
      <c r="C701" s="131"/>
      <c r="D701" s="131"/>
      <c r="E701" s="14"/>
      <c r="F701" s="14"/>
      <c r="G701" s="131"/>
    </row>
    <row r="702">
      <c r="A702" s="130"/>
      <c r="B702" s="131"/>
      <c r="C702" s="131"/>
      <c r="D702" s="131"/>
      <c r="E702" s="14"/>
      <c r="F702" s="14"/>
      <c r="G702" s="131"/>
    </row>
    <row r="703">
      <c r="A703" s="130"/>
      <c r="B703" s="131"/>
      <c r="C703" s="131"/>
      <c r="D703" s="131"/>
      <c r="E703" s="14"/>
      <c r="F703" s="14"/>
      <c r="G703" s="131"/>
    </row>
    <row r="704">
      <c r="A704" s="130"/>
      <c r="B704" s="131"/>
      <c r="C704" s="131"/>
      <c r="D704" s="131"/>
      <c r="E704" s="14"/>
      <c r="F704" s="14"/>
      <c r="G704" s="131"/>
    </row>
    <row r="705">
      <c r="A705" s="130"/>
      <c r="B705" s="131"/>
      <c r="C705" s="131"/>
      <c r="D705" s="131"/>
      <c r="E705" s="14"/>
      <c r="F705" s="14"/>
      <c r="G705" s="131"/>
    </row>
    <row r="706">
      <c r="A706" s="130"/>
      <c r="B706" s="131"/>
      <c r="C706" s="131"/>
      <c r="D706" s="131"/>
      <c r="E706" s="14"/>
      <c r="F706" s="14"/>
      <c r="G706" s="131"/>
    </row>
    <row r="707">
      <c r="A707" s="130"/>
      <c r="B707" s="131"/>
      <c r="C707" s="131"/>
      <c r="D707" s="131"/>
      <c r="E707" s="14"/>
      <c r="F707" s="14"/>
      <c r="G707" s="131"/>
    </row>
    <row r="708">
      <c r="A708" s="130"/>
      <c r="B708" s="131"/>
      <c r="C708" s="131"/>
      <c r="D708" s="131"/>
      <c r="E708" s="14"/>
      <c r="F708" s="14"/>
      <c r="G708" s="131"/>
    </row>
    <row r="709">
      <c r="A709" s="130"/>
      <c r="B709" s="131"/>
      <c r="C709" s="131"/>
      <c r="D709" s="131"/>
      <c r="E709" s="14"/>
      <c r="F709" s="14"/>
      <c r="G709" s="131"/>
    </row>
    <row r="710">
      <c r="A710" s="130"/>
      <c r="B710" s="131"/>
      <c r="C710" s="131"/>
      <c r="D710" s="131"/>
      <c r="E710" s="14"/>
      <c r="F710" s="14"/>
      <c r="G710" s="131"/>
    </row>
    <row r="711">
      <c r="A711" s="130"/>
      <c r="B711" s="131"/>
      <c r="C711" s="131"/>
      <c r="D711" s="131"/>
      <c r="E711" s="14"/>
      <c r="F711" s="14"/>
      <c r="G711" s="131"/>
    </row>
    <row r="712">
      <c r="A712" s="130"/>
      <c r="B712" s="131"/>
      <c r="C712" s="131"/>
      <c r="D712" s="131"/>
      <c r="E712" s="14"/>
      <c r="F712" s="14"/>
      <c r="G712" s="131"/>
    </row>
    <row r="713">
      <c r="A713" s="130"/>
      <c r="B713" s="131"/>
      <c r="C713" s="131"/>
      <c r="D713" s="131"/>
      <c r="E713" s="14"/>
      <c r="F713" s="14"/>
      <c r="G713" s="131"/>
    </row>
    <row r="714">
      <c r="A714" s="130"/>
      <c r="B714" s="131"/>
      <c r="C714" s="131"/>
      <c r="D714" s="131"/>
      <c r="E714" s="14"/>
      <c r="F714" s="14"/>
      <c r="G714" s="131"/>
    </row>
    <row r="715">
      <c r="A715" s="130"/>
      <c r="B715" s="131"/>
      <c r="C715" s="131"/>
      <c r="D715" s="131"/>
      <c r="E715" s="14"/>
      <c r="F715" s="14"/>
      <c r="G715" s="131"/>
    </row>
    <row r="716">
      <c r="A716" s="130"/>
      <c r="B716" s="131"/>
      <c r="C716" s="131"/>
      <c r="D716" s="131"/>
      <c r="E716" s="14"/>
      <c r="F716" s="14"/>
      <c r="G716" s="131"/>
    </row>
    <row r="717">
      <c r="A717" s="130"/>
      <c r="B717" s="131"/>
      <c r="C717" s="131"/>
      <c r="D717" s="131"/>
      <c r="E717" s="14"/>
      <c r="F717" s="14"/>
      <c r="G717" s="131"/>
    </row>
    <row r="718">
      <c r="A718" s="130"/>
      <c r="B718" s="131"/>
      <c r="C718" s="131"/>
      <c r="D718" s="131"/>
      <c r="E718" s="14"/>
      <c r="F718" s="14"/>
      <c r="G718" s="131"/>
    </row>
    <row r="719">
      <c r="A719" s="130"/>
      <c r="B719" s="131"/>
      <c r="C719" s="131"/>
      <c r="D719" s="131"/>
      <c r="E719" s="14"/>
      <c r="F719" s="14"/>
      <c r="G719" s="131"/>
    </row>
    <row r="720">
      <c r="A720" s="130"/>
      <c r="B720" s="131"/>
      <c r="C720" s="131"/>
      <c r="D720" s="131"/>
      <c r="E720" s="14"/>
      <c r="F720" s="14"/>
      <c r="G720" s="131"/>
    </row>
    <row r="721">
      <c r="A721" s="130"/>
      <c r="B721" s="131"/>
      <c r="C721" s="131"/>
      <c r="D721" s="131"/>
      <c r="E721" s="14"/>
      <c r="F721" s="14"/>
      <c r="G721" s="131"/>
    </row>
    <row r="722">
      <c r="A722" s="130"/>
      <c r="B722" s="131"/>
      <c r="C722" s="131"/>
      <c r="D722" s="131"/>
      <c r="E722" s="14"/>
      <c r="F722" s="14"/>
      <c r="G722" s="131"/>
    </row>
    <row r="723">
      <c r="A723" s="130"/>
      <c r="B723" s="131"/>
      <c r="C723" s="131"/>
      <c r="D723" s="131"/>
      <c r="E723" s="14"/>
      <c r="F723" s="14"/>
      <c r="G723" s="131"/>
    </row>
    <row r="724">
      <c r="A724" s="130"/>
      <c r="B724" s="131"/>
      <c r="C724" s="131"/>
      <c r="D724" s="131"/>
      <c r="E724" s="14"/>
      <c r="F724" s="14"/>
      <c r="G724" s="131"/>
    </row>
    <row r="725">
      <c r="A725" s="130"/>
      <c r="B725" s="131"/>
      <c r="C725" s="131"/>
      <c r="D725" s="131"/>
      <c r="E725" s="14"/>
      <c r="F725" s="14"/>
      <c r="G725" s="131"/>
    </row>
    <row r="726">
      <c r="A726" s="130"/>
      <c r="B726" s="131"/>
      <c r="C726" s="131"/>
      <c r="D726" s="131"/>
      <c r="E726" s="14"/>
      <c r="F726" s="14"/>
      <c r="G726" s="131"/>
    </row>
    <row r="727">
      <c r="A727" s="130"/>
      <c r="B727" s="131"/>
      <c r="C727" s="131"/>
      <c r="D727" s="131"/>
      <c r="E727" s="14"/>
      <c r="F727" s="14"/>
      <c r="G727" s="131"/>
    </row>
    <row r="728">
      <c r="A728" s="130"/>
      <c r="B728" s="131"/>
      <c r="C728" s="131"/>
      <c r="D728" s="131"/>
      <c r="E728" s="14"/>
      <c r="F728" s="14"/>
      <c r="G728" s="131"/>
    </row>
    <row r="729">
      <c r="A729" s="130"/>
      <c r="B729" s="131"/>
      <c r="C729" s="131"/>
      <c r="D729" s="131"/>
      <c r="E729" s="14"/>
      <c r="F729" s="14"/>
      <c r="G729" s="131"/>
    </row>
    <row r="730">
      <c r="A730" s="130"/>
      <c r="B730" s="131"/>
      <c r="C730" s="131"/>
      <c r="D730" s="131"/>
      <c r="E730" s="14"/>
      <c r="F730" s="14"/>
      <c r="G730" s="131"/>
    </row>
    <row r="731">
      <c r="A731" s="130"/>
      <c r="B731" s="131"/>
      <c r="C731" s="131"/>
      <c r="D731" s="131"/>
      <c r="E731" s="14"/>
      <c r="F731" s="14"/>
      <c r="G731" s="131"/>
    </row>
    <row r="732">
      <c r="A732" s="130"/>
      <c r="B732" s="131"/>
      <c r="C732" s="131"/>
      <c r="D732" s="131"/>
      <c r="E732" s="14"/>
      <c r="F732" s="14"/>
      <c r="G732" s="131"/>
    </row>
    <row r="733">
      <c r="A733" s="130"/>
      <c r="B733" s="131"/>
      <c r="C733" s="131"/>
      <c r="D733" s="131"/>
      <c r="E733" s="14"/>
      <c r="F733" s="14"/>
      <c r="G733" s="131"/>
    </row>
    <row r="734">
      <c r="A734" s="130"/>
      <c r="B734" s="131"/>
      <c r="C734" s="131"/>
      <c r="D734" s="131"/>
      <c r="E734" s="14"/>
      <c r="F734" s="14"/>
      <c r="G734" s="131"/>
    </row>
    <row r="735">
      <c r="A735" s="130"/>
      <c r="B735" s="131"/>
      <c r="C735" s="131"/>
      <c r="D735" s="131"/>
      <c r="E735" s="14"/>
      <c r="F735" s="14"/>
      <c r="G735" s="131"/>
    </row>
    <row r="736">
      <c r="A736" s="130"/>
      <c r="B736" s="131"/>
      <c r="C736" s="131"/>
      <c r="D736" s="131"/>
      <c r="E736" s="14"/>
      <c r="F736" s="14"/>
      <c r="G736" s="131"/>
    </row>
    <row r="737">
      <c r="A737" s="130"/>
      <c r="B737" s="131"/>
      <c r="C737" s="131"/>
      <c r="D737" s="131"/>
      <c r="E737" s="14"/>
      <c r="F737" s="14"/>
      <c r="G737" s="131"/>
    </row>
    <row r="738">
      <c r="A738" s="130"/>
      <c r="B738" s="131"/>
      <c r="C738" s="131"/>
      <c r="D738" s="131"/>
      <c r="E738" s="14"/>
      <c r="F738" s="14"/>
      <c r="G738" s="131"/>
    </row>
    <row r="739">
      <c r="A739" s="130"/>
      <c r="B739" s="131"/>
      <c r="C739" s="131"/>
      <c r="D739" s="131"/>
      <c r="E739" s="14"/>
      <c r="F739" s="14"/>
      <c r="G739" s="131"/>
    </row>
    <row r="740">
      <c r="A740" s="130"/>
      <c r="B740" s="131"/>
      <c r="C740" s="131"/>
      <c r="D740" s="131"/>
      <c r="E740" s="14"/>
      <c r="F740" s="14"/>
      <c r="G740" s="131"/>
    </row>
    <row r="741">
      <c r="A741" s="130"/>
      <c r="B741" s="131"/>
      <c r="C741" s="131"/>
      <c r="D741" s="131"/>
      <c r="E741" s="14"/>
      <c r="F741" s="14"/>
      <c r="G741" s="131"/>
    </row>
    <row r="742">
      <c r="A742" s="130"/>
      <c r="B742" s="131"/>
      <c r="C742" s="131"/>
      <c r="D742" s="131"/>
      <c r="E742" s="14"/>
      <c r="F742" s="14"/>
      <c r="G742" s="131"/>
    </row>
    <row r="743">
      <c r="A743" s="130"/>
      <c r="B743" s="131"/>
      <c r="C743" s="131"/>
      <c r="D743" s="131"/>
      <c r="E743" s="14"/>
      <c r="F743" s="14"/>
      <c r="G743" s="131"/>
    </row>
    <row r="744">
      <c r="A744" s="130"/>
      <c r="B744" s="131"/>
      <c r="C744" s="131"/>
      <c r="D744" s="131"/>
      <c r="E744" s="14"/>
      <c r="F744" s="14"/>
      <c r="G744" s="131"/>
    </row>
    <row r="745">
      <c r="A745" s="130"/>
      <c r="B745" s="131"/>
      <c r="C745" s="131"/>
      <c r="D745" s="131"/>
      <c r="E745" s="14"/>
      <c r="F745" s="14"/>
      <c r="G745" s="131"/>
    </row>
    <row r="746">
      <c r="A746" s="130"/>
      <c r="B746" s="131"/>
      <c r="C746" s="131"/>
      <c r="D746" s="131"/>
      <c r="E746" s="14"/>
      <c r="F746" s="14"/>
      <c r="G746" s="131"/>
    </row>
    <row r="747">
      <c r="A747" s="130"/>
      <c r="B747" s="131"/>
      <c r="C747" s="131"/>
      <c r="D747" s="131"/>
      <c r="E747" s="14"/>
      <c r="F747" s="14"/>
      <c r="G747" s="131"/>
    </row>
    <row r="748">
      <c r="A748" s="130"/>
      <c r="B748" s="131"/>
      <c r="C748" s="131"/>
      <c r="D748" s="131"/>
      <c r="E748" s="14"/>
      <c r="F748" s="14"/>
      <c r="G748" s="131"/>
    </row>
    <row r="749">
      <c r="A749" s="130"/>
      <c r="B749" s="131"/>
      <c r="C749" s="131"/>
      <c r="D749" s="131"/>
      <c r="E749" s="14"/>
      <c r="F749" s="14"/>
      <c r="G749" s="131"/>
    </row>
    <row r="750">
      <c r="A750" s="130"/>
      <c r="B750" s="131"/>
      <c r="C750" s="131"/>
      <c r="D750" s="131"/>
      <c r="E750" s="14"/>
      <c r="F750" s="14"/>
      <c r="G750" s="131"/>
    </row>
    <row r="751">
      <c r="A751" s="130"/>
      <c r="B751" s="131"/>
      <c r="C751" s="131"/>
      <c r="D751" s="131"/>
      <c r="E751" s="14"/>
      <c r="F751" s="14"/>
      <c r="G751" s="131"/>
    </row>
    <row r="752">
      <c r="A752" s="130"/>
      <c r="B752" s="131"/>
      <c r="C752" s="131"/>
      <c r="D752" s="131"/>
      <c r="E752" s="14"/>
      <c r="F752" s="14"/>
      <c r="G752" s="131"/>
    </row>
    <row r="753">
      <c r="A753" s="130"/>
      <c r="B753" s="131"/>
      <c r="C753" s="131"/>
      <c r="D753" s="131"/>
      <c r="E753" s="14"/>
      <c r="F753" s="14"/>
      <c r="G753" s="131"/>
    </row>
    <row r="754">
      <c r="A754" s="130"/>
      <c r="B754" s="131"/>
      <c r="C754" s="131"/>
      <c r="D754" s="131"/>
      <c r="E754" s="14"/>
      <c r="F754" s="14"/>
      <c r="G754" s="131"/>
    </row>
    <row r="755">
      <c r="A755" s="130"/>
      <c r="B755" s="131"/>
      <c r="C755" s="131"/>
      <c r="D755" s="131"/>
      <c r="E755" s="14"/>
      <c r="F755" s="14"/>
      <c r="G755" s="131"/>
    </row>
    <row r="756">
      <c r="A756" s="130"/>
      <c r="B756" s="131"/>
      <c r="C756" s="131"/>
      <c r="D756" s="131"/>
      <c r="E756" s="14"/>
      <c r="F756" s="14"/>
      <c r="G756" s="131"/>
    </row>
    <row r="757">
      <c r="A757" s="130"/>
      <c r="B757" s="131"/>
      <c r="C757" s="131"/>
      <c r="D757" s="131"/>
      <c r="E757" s="14"/>
      <c r="F757" s="14"/>
      <c r="G757" s="131"/>
    </row>
    <row r="758">
      <c r="A758" s="130"/>
      <c r="B758" s="131"/>
      <c r="C758" s="131"/>
      <c r="D758" s="131"/>
      <c r="E758" s="14"/>
      <c r="F758" s="14"/>
      <c r="G758" s="131"/>
    </row>
    <row r="759">
      <c r="A759" s="130"/>
      <c r="B759" s="131"/>
      <c r="C759" s="131"/>
      <c r="D759" s="131"/>
      <c r="E759" s="14"/>
      <c r="F759" s="14"/>
      <c r="G759" s="131"/>
    </row>
    <row r="760">
      <c r="A760" s="130"/>
      <c r="B760" s="131"/>
      <c r="C760" s="131"/>
      <c r="D760" s="131"/>
      <c r="E760" s="14"/>
      <c r="F760" s="14"/>
      <c r="G760" s="131"/>
    </row>
    <row r="761">
      <c r="A761" s="130"/>
      <c r="B761" s="131"/>
      <c r="C761" s="131"/>
      <c r="D761" s="131"/>
      <c r="E761" s="14"/>
      <c r="F761" s="14"/>
      <c r="G761" s="131"/>
    </row>
    <row r="762">
      <c r="A762" s="130"/>
      <c r="B762" s="131"/>
      <c r="C762" s="131"/>
      <c r="D762" s="131"/>
      <c r="E762" s="14"/>
      <c r="F762" s="14"/>
      <c r="G762" s="131"/>
    </row>
    <row r="763">
      <c r="A763" s="130"/>
      <c r="B763" s="131"/>
      <c r="C763" s="131"/>
      <c r="D763" s="131"/>
      <c r="E763" s="14"/>
      <c r="F763" s="14"/>
      <c r="G763" s="131"/>
    </row>
    <row r="764">
      <c r="A764" s="130"/>
      <c r="B764" s="131"/>
      <c r="C764" s="131"/>
      <c r="D764" s="131"/>
      <c r="E764" s="14"/>
      <c r="F764" s="14"/>
      <c r="G764" s="131"/>
    </row>
    <row r="765">
      <c r="A765" s="130"/>
      <c r="B765" s="131"/>
      <c r="C765" s="131"/>
      <c r="D765" s="131"/>
      <c r="E765" s="14"/>
      <c r="F765" s="14"/>
      <c r="G765" s="131"/>
    </row>
    <row r="766">
      <c r="A766" s="130"/>
      <c r="B766" s="131"/>
      <c r="C766" s="131"/>
      <c r="D766" s="131"/>
      <c r="E766" s="14"/>
      <c r="F766" s="14"/>
      <c r="G766" s="131"/>
    </row>
    <row r="767">
      <c r="A767" s="130"/>
      <c r="B767" s="131"/>
      <c r="C767" s="131"/>
      <c r="D767" s="131"/>
      <c r="E767" s="14"/>
      <c r="F767" s="14"/>
      <c r="G767" s="131"/>
    </row>
    <row r="768">
      <c r="A768" s="130"/>
      <c r="B768" s="131"/>
      <c r="C768" s="131"/>
      <c r="D768" s="131"/>
      <c r="E768" s="14"/>
      <c r="F768" s="14"/>
      <c r="G768" s="131"/>
    </row>
    <row r="769">
      <c r="A769" s="130"/>
      <c r="B769" s="131"/>
      <c r="C769" s="131"/>
      <c r="D769" s="131"/>
      <c r="E769" s="14"/>
      <c r="F769" s="14"/>
      <c r="G769" s="131"/>
    </row>
    <row r="770">
      <c r="A770" s="130"/>
      <c r="B770" s="131"/>
      <c r="C770" s="131"/>
      <c r="D770" s="131"/>
      <c r="E770" s="14"/>
      <c r="F770" s="14"/>
      <c r="G770" s="131"/>
    </row>
    <row r="771">
      <c r="A771" s="130"/>
      <c r="B771" s="131"/>
      <c r="C771" s="131"/>
      <c r="D771" s="131"/>
      <c r="E771" s="14"/>
      <c r="F771" s="14"/>
      <c r="G771" s="131"/>
    </row>
    <row r="772">
      <c r="A772" s="130"/>
      <c r="B772" s="131"/>
      <c r="C772" s="131"/>
      <c r="D772" s="131"/>
      <c r="E772" s="14"/>
      <c r="F772" s="14"/>
      <c r="G772" s="131"/>
    </row>
    <row r="773">
      <c r="A773" s="130"/>
      <c r="B773" s="131"/>
      <c r="C773" s="131"/>
      <c r="D773" s="131"/>
      <c r="E773" s="14"/>
      <c r="F773" s="14"/>
      <c r="G773" s="131"/>
    </row>
    <row r="774">
      <c r="A774" s="130"/>
      <c r="B774" s="131"/>
      <c r="C774" s="131"/>
      <c r="D774" s="131"/>
      <c r="E774" s="14"/>
      <c r="F774" s="14"/>
      <c r="G774" s="131"/>
    </row>
    <row r="775">
      <c r="A775" s="130"/>
      <c r="B775" s="131"/>
      <c r="C775" s="131"/>
      <c r="D775" s="131"/>
      <c r="E775" s="14"/>
      <c r="F775" s="14"/>
      <c r="G775" s="131"/>
    </row>
    <row r="776">
      <c r="A776" s="130"/>
      <c r="B776" s="131"/>
      <c r="C776" s="131"/>
      <c r="D776" s="131"/>
      <c r="E776" s="14"/>
      <c r="F776" s="14"/>
      <c r="G776" s="131"/>
    </row>
    <row r="777">
      <c r="A777" s="130"/>
      <c r="B777" s="131"/>
      <c r="C777" s="131"/>
      <c r="D777" s="131"/>
      <c r="E777" s="14"/>
      <c r="F777" s="14"/>
      <c r="G777" s="131"/>
    </row>
    <row r="778">
      <c r="A778" s="130"/>
      <c r="B778" s="131"/>
      <c r="C778" s="131"/>
      <c r="D778" s="131"/>
      <c r="E778" s="14"/>
      <c r="F778" s="14"/>
      <c r="G778" s="131"/>
    </row>
    <row r="779">
      <c r="A779" s="130"/>
      <c r="B779" s="131"/>
      <c r="C779" s="131"/>
      <c r="D779" s="131"/>
      <c r="E779" s="14"/>
      <c r="F779" s="14"/>
      <c r="G779" s="131"/>
    </row>
    <row r="780">
      <c r="A780" s="130"/>
      <c r="B780" s="131"/>
      <c r="C780" s="131"/>
      <c r="D780" s="131"/>
      <c r="E780" s="14"/>
      <c r="F780" s="14"/>
      <c r="G780" s="131"/>
    </row>
    <row r="781">
      <c r="A781" s="130"/>
      <c r="B781" s="131"/>
      <c r="C781" s="131"/>
      <c r="D781" s="131"/>
      <c r="E781" s="14"/>
      <c r="F781" s="14"/>
      <c r="G781" s="131"/>
    </row>
    <row r="782">
      <c r="A782" s="130"/>
      <c r="B782" s="131"/>
      <c r="C782" s="131"/>
      <c r="D782" s="131"/>
      <c r="E782" s="14"/>
      <c r="F782" s="14"/>
      <c r="G782" s="131"/>
    </row>
    <row r="783">
      <c r="A783" s="130"/>
      <c r="B783" s="131"/>
      <c r="C783" s="131"/>
      <c r="D783" s="131"/>
      <c r="E783" s="14"/>
      <c r="F783" s="14"/>
      <c r="G783" s="131"/>
    </row>
    <row r="784">
      <c r="A784" s="130"/>
      <c r="B784" s="131"/>
      <c r="C784" s="131"/>
      <c r="D784" s="131"/>
      <c r="E784" s="14"/>
      <c r="F784" s="14"/>
      <c r="G784" s="131"/>
    </row>
    <row r="785">
      <c r="A785" s="130"/>
      <c r="B785" s="131"/>
      <c r="C785" s="131"/>
      <c r="D785" s="131"/>
      <c r="E785" s="14"/>
      <c r="F785" s="14"/>
      <c r="G785" s="131"/>
    </row>
    <row r="786">
      <c r="A786" s="130"/>
      <c r="B786" s="131"/>
      <c r="C786" s="131"/>
      <c r="D786" s="131"/>
      <c r="E786" s="14"/>
      <c r="F786" s="14"/>
      <c r="G786" s="131"/>
    </row>
    <row r="787">
      <c r="A787" s="130"/>
      <c r="B787" s="131"/>
      <c r="C787" s="131"/>
      <c r="D787" s="131"/>
      <c r="E787" s="14"/>
      <c r="F787" s="14"/>
      <c r="G787" s="131"/>
    </row>
    <row r="788">
      <c r="A788" s="130"/>
      <c r="B788" s="131"/>
      <c r="C788" s="131"/>
      <c r="D788" s="131"/>
      <c r="E788" s="14"/>
      <c r="F788" s="14"/>
      <c r="G788" s="131"/>
    </row>
    <row r="789">
      <c r="A789" s="130"/>
      <c r="B789" s="131"/>
      <c r="C789" s="131"/>
      <c r="D789" s="131"/>
      <c r="E789" s="14"/>
      <c r="F789" s="14"/>
      <c r="G789" s="131"/>
    </row>
    <row r="790">
      <c r="A790" s="130"/>
      <c r="B790" s="131"/>
      <c r="C790" s="131"/>
      <c r="D790" s="131"/>
      <c r="E790" s="14"/>
      <c r="F790" s="14"/>
      <c r="G790" s="131"/>
    </row>
    <row r="791">
      <c r="A791" s="130"/>
      <c r="B791" s="131"/>
      <c r="C791" s="131"/>
      <c r="D791" s="131"/>
      <c r="E791" s="14"/>
      <c r="F791" s="14"/>
      <c r="G791" s="131"/>
    </row>
    <row r="792">
      <c r="A792" s="130"/>
      <c r="B792" s="131"/>
      <c r="C792" s="131"/>
      <c r="D792" s="131"/>
      <c r="E792" s="14"/>
      <c r="F792" s="14"/>
      <c r="G792" s="131"/>
    </row>
    <row r="793">
      <c r="A793" s="130"/>
      <c r="B793" s="131"/>
      <c r="C793" s="131"/>
      <c r="D793" s="131"/>
      <c r="E793" s="14"/>
      <c r="F793" s="14"/>
      <c r="G793" s="131"/>
    </row>
    <row r="794">
      <c r="A794" s="130"/>
      <c r="B794" s="131"/>
      <c r="C794" s="131"/>
      <c r="D794" s="131"/>
      <c r="E794" s="14"/>
      <c r="F794" s="14"/>
      <c r="G794" s="131"/>
    </row>
    <row r="795">
      <c r="A795" s="130"/>
      <c r="B795" s="131"/>
      <c r="C795" s="131"/>
      <c r="D795" s="131"/>
      <c r="E795" s="14"/>
      <c r="F795" s="14"/>
      <c r="G795" s="131"/>
    </row>
    <row r="796">
      <c r="A796" s="130"/>
      <c r="B796" s="131"/>
      <c r="C796" s="131"/>
      <c r="D796" s="131"/>
      <c r="E796" s="14"/>
      <c r="F796" s="14"/>
      <c r="G796" s="131"/>
    </row>
    <row r="797">
      <c r="A797" s="130"/>
      <c r="B797" s="131"/>
      <c r="C797" s="131"/>
      <c r="D797" s="131"/>
      <c r="E797" s="14"/>
      <c r="F797" s="14"/>
      <c r="G797" s="131"/>
    </row>
    <row r="798">
      <c r="A798" s="130"/>
      <c r="B798" s="131"/>
      <c r="C798" s="131"/>
      <c r="D798" s="131"/>
      <c r="E798" s="14"/>
      <c r="F798" s="14"/>
      <c r="G798" s="131"/>
    </row>
    <row r="799">
      <c r="A799" s="130"/>
      <c r="B799" s="131"/>
      <c r="C799" s="131"/>
      <c r="D799" s="131"/>
      <c r="E799" s="14"/>
      <c r="F799" s="14"/>
      <c r="G799" s="131"/>
    </row>
    <row r="800">
      <c r="A800" s="130"/>
      <c r="B800" s="131"/>
      <c r="C800" s="131"/>
      <c r="D800" s="131"/>
      <c r="E800" s="14"/>
      <c r="F800" s="14"/>
      <c r="G800" s="131"/>
    </row>
    <row r="801">
      <c r="A801" s="130"/>
      <c r="B801" s="131"/>
      <c r="C801" s="131"/>
      <c r="D801" s="131"/>
      <c r="E801" s="14"/>
      <c r="F801" s="14"/>
      <c r="G801" s="131"/>
    </row>
    <row r="802">
      <c r="A802" s="130"/>
      <c r="B802" s="131"/>
      <c r="C802" s="131"/>
      <c r="D802" s="131"/>
      <c r="E802" s="14"/>
      <c r="F802" s="14"/>
      <c r="G802" s="131"/>
    </row>
    <row r="803">
      <c r="A803" s="130"/>
      <c r="B803" s="131"/>
      <c r="C803" s="131"/>
      <c r="D803" s="131"/>
      <c r="E803" s="14"/>
      <c r="F803" s="14"/>
      <c r="G803" s="131"/>
    </row>
    <row r="804">
      <c r="A804" s="130"/>
      <c r="B804" s="131"/>
      <c r="C804" s="131"/>
      <c r="D804" s="131"/>
      <c r="E804" s="14"/>
      <c r="F804" s="14"/>
      <c r="G804" s="131"/>
    </row>
    <row r="805">
      <c r="A805" s="130"/>
      <c r="B805" s="131"/>
      <c r="C805" s="131"/>
      <c r="D805" s="131"/>
      <c r="E805" s="14"/>
      <c r="F805" s="14"/>
      <c r="G805" s="131"/>
    </row>
    <row r="806">
      <c r="A806" s="130"/>
      <c r="B806" s="131"/>
      <c r="C806" s="131"/>
      <c r="D806" s="131"/>
      <c r="E806" s="14"/>
      <c r="F806" s="14"/>
      <c r="G806" s="131"/>
    </row>
    <row r="807">
      <c r="A807" s="130"/>
      <c r="B807" s="131"/>
      <c r="C807" s="131"/>
      <c r="D807" s="131"/>
      <c r="E807" s="14"/>
      <c r="F807" s="14"/>
      <c r="G807" s="131"/>
    </row>
    <row r="808">
      <c r="A808" s="130"/>
      <c r="B808" s="131"/>
      <c r="C808" s="131"/>
      <c r="D808" s="131"/>
      <c r="E808" s="14"/>
      <c r="F808" s="14"/>
      <c r="G808" s="131"/>
    </row>
    <row r="809">
      <c r="A809" s="130"/>
      <c r="B809" s="131"/>
      <c r="C809" s="131"/>
      <c r="D809" s="131"/>
      <c r="E809" s="14"/>
      <c r="F809" s="14"/>
      <c r="G809" s="131"/>
    </row>
    <row r="810">
      <c r="A810" s="130"/>
      <c r="B810" s="131"/>
      <c r="C810" s="131"/>
      <c r="D810" s="131"/>
      <c r="E810" s="14"/>
      <c r="F810" s="14"/>
      <c r="G810" s="131"/>
    </row>
    <row r="811">
      <c r="A811" s="130"/>
      <c r="B811" s="131"/>
      <c r="C811" s="131"/>
      <c r="D811" s="131"/>
      <c r="E811" s="14"/>
      <c r="F811" s="14"/>
      <c r="G811" s="131"/>
    </row>
    <row r="812">
      <c r="A812" s="130"/>
      <c r="B812" s="131"/>
      <c r="C812" s="131"/>
      <c r="D812" s="131"/>
      <c r="E812" s="14"/>
      <c r="F812" s="14"/>
      <c r="G812" s="131"/>
    </row>
    <row r="813">
      <c r="A813" s="130"/>
      <c r="B813" s="131"/>
      <c r="C813" s="131"/>
      <c r="D813" s="131"/>
      <c r="E813" s="14"/>
      <c r="F813" s="14"/>
      <c r="G813" s="131"/>
    </row>
    <row r="814">
      <c r="A814" s="130"/>
      <c r="B814" s="131"/>
      <c r="C814" s="131"/>
      <c r="D814" s="131"/>
      <c r="E814" s="14"/>
      <c r="F814" s="14"/>
      <c r="G814" s="131"/>
    </row>
    <row r="815">
      <c r="A815" s="130"/>
      <c r="B815" s="131"/>
      <c r="C815" s="131"/>
      <c r="D815" s="131"/>
      <c r="E815" s="14"/>
      <c r="F815" s="14"/>
      <c r="G815" s="131"/>
    </row>
    <row r="816">
      <c r="A816" s="130"/>
      <c r="B816" s="131"/>
      <c r="C816" s="131"/>
      <c r="D816" s="131"/>
      <c r="E816" s="14"/>
      <c r="F816" s="14"/>
      <c r="G816" s="131"/>
    </row>
    <row r="817">
      <c r="A817" s="130"/>
      <c r="B817" s="131"/>
      <c r="C817" s="131"/>
      <c r="D817" s="131"/>
      <c r="E817" s="14"/>
      <c r="F817" s="14"/>
      <c r="G817" s="131"/>
    </row>
    <row r="818">
      <c r="A818" s="130"/>
      <c r="B818" s="131"/>
      <c r="C818" s="131"/>
      <c r="D818" s="131"/>
      <c r="E818" s="14"/>
      <c r="F818" s="14"/>
      <c r="G818" s="131"/>
    </row>
    <row r="819">
      <c r="A819" s="130"/>
      <c r="B819" s="131"/>
      <c r="C819" s="131"/>
      <c r="D819" s="131"/>
      <c r="E819" s="14"/>
      <c r="F819" s="14"/>
      <c r="G819" s="131"/>
    </row>
    <row r="820">
      <c r="A820" s="130"/>
      <c r="B820" s="131"/>
      <c r="C820" s="131"/>
      <c r="D820" s="131"/>
      <c r="E820" s="14"/>
      <c r="F820" s="14"/>
      <c r="G820" s="131"/>
    </row>
    <row r="821">
      <c r="A821" s="130"/>
      <c r="B821" s="131"/>
      <c r="C821" s="131"/>
      <c r="D821" s="131"/>
      <c r="E821" s="14"/>
      <c r="F821" s="14"/>
      <c r="G821" s="131"/>
    </row>
    <row r="822">
      <c r="A822" s="130"/>
      <c r="B822" s="131"/>
      <c r="C822" s="131"/>
      <c r="D822" s="131"/>
      <c r="E822" s="14"/>
      <c r="F822" s="14"/>
      <c r="G822" s="131"/>
    </row>
    <row r="823">
      <c r="A823" s="130"/>
      <c r="B823" s="131"/>
      <c r="C823" s="131"/>
      <c r="D823" s="131"/>
      <c r="E823" s="14"/>
      <c r="F823" s="14"/>
      <c r="G823" s="131"/>
    </row>
    <row r="824">
      <c r="A824" s="130"/>
      <c r="B824" s="131"/>
      <c r="C824" s="131"/>
      <c r="D824" s="131"/>
      <c r="E824" s="14"/>
      <c r="F824" s="14"/>
      <c r="G824" s="131"/>
    </row>
    <row r="825">
      <c r="A825" s="130"/>
      <c r="B825" s="131"/>
      <c r="C825" s="131"/>
      <c r="D825" s="131"/>
      <c r="E825" s="14"/>
      <c r="F825" s="14"/>
      <c r="G825" s="131"/>
    </row>
    <row r="826">
      <c r="A826" s="130"/>
      <c r="B826" s="131"/>
      <c r="C826" s="131"/>
      <c r="D826" s="131"/>
      <c r="E826" s="14"/>
      <c r="F826" s="14"/>
      <c r="G826" s="131"/>
    </row>
    <row r="827">
      <c r="A827" s="130"/>
      <c r="B827" s="131"/>
      <c r="C827" s="131"/>
      <c r="D827" s="131"/>
      <c r="E827" s="14"/>
      <c r="F827" s="14"/>
      <c r="G827" s="131"/>
    </row>
    <row r="828">
      <c r="A828" s="130"/>
      <c r="B828" s="131"/>
      <c r="C828" s="131"/>
      <c r="D828" s="131"/>
      <c r="E828" s="14"/>
      <c r="F828" s="14"/>
      <c r="G828" s="131"/>
    </row>
    <row r="829">
      <c r="A829" s="130"/>
      <c r="B829" s="131"/>
      <c r="C829" s="131"/>
      <c r="D829" s="131"/>
      <c r="E829" s="14"/>
      <c r="F829" s="14"/>
      <c r="G829" s="131"/>
    </row>
    <row r="830">
      <c r="A830" s="130"/>
      <c r="B830" s="131"/>
      <c r="C830" s="131"/>
      <c r="D830" s="131"/>
      <c r="E830" s="14"/>
      <c r="F830" s="14"/>
      <c r="G830" s="131"/>
    </row>
    <row r="831">
      <c r="A831" s="130"/>
      <c r="B831" s="131"/>
      <c r="C831" s="131"/>
      <c r="D831" s="131"/>
      <c r="E831" s="14"/>
      <c r="F831" s="14"/>
      <c r="G831" s="131"/>
    </row>
    <row r="832">
      <c r="A832" s="130"/>
      <c r="B832" s="131"/>
      <c r="C832" s="131"/>
      <c r="D832" s="131"/>
      <c r="E832" s="14"/>
      <c r="F832" s="14"/>
      <c r="G832" s="131"/>
    </row>
    <row r="833">
      <c r="A833" s="130"/>
      <c r="B833" s="131"/>
      <c r="C833" s="131"/>
      <c r="D833" s="131"/>
      <c r="E833" s="14"/>
      <c r="F833" s="14"/>
      <c r="G833" s="131"/>
    </row>
    <row r="834">
      <c r="A834" s="130"/>
      <c r="B834" s="131"/>
      <c r="C834" s="131"/>
      <c r="D834" s="131"/>
      <c r="E834" s="14"/>
      <c r="F834" s="14"/>
      <c r="G834" s="131"/>
    </row>
    <row r="835">
      <c r="A835" s="130"/>
      <c r="B835" s="131"/>
      <c r="C835" s="131"/>
      <c r="D835" s="131"/>
      <c r="E835" s="14"/>
      <c r="F835" s="14"/>
      <c r="G835" s="131"/>
    </row>
    <row r="836">
      <c r="A836" s="130"/>
      <c r="B836" s="131"/>
      <c r="C836" s="131"/>
      <c r="D836" s="131"/>
      <c r="E836" s="14"/>
      <c r="F836" s="14"/>
      <c r="G836" s="131"/>
    </row>
    <row r="837">
      <c r="A837" s="130"/>
      <c r="B837" s="131"/>
      <c r="C837" s="131"/>
      <c r="D837" s="131"/>
      <c r="E837" s="14"/>
      <c r="F837" s="14"/>
      <c r="G837" s="131"/>
    </row>
    <row r="838">
      <c r="A838" s="130"/>
      <c r="B838" s="131"/>
      <c r="C838" s="131"/>
      <c r="D838" s="131"/>
      <c r="E838" s="14"/>
      <c r="F838" s="14"/>
      <c r="G838" s="131"/>
    </row>
    <row r="839">
      <c r="A839" s="130"/>
      <c r="B839" s="131"/>
      <c r="C839" s="131"/>
      <c r="D839" s="131"/>
      <c r="E839" s="14"/>
      <c r="F839" s="14"/>
      <c r="G839" s="131"/>
    </row>
    <row r="840">
      <c r="A840" s="130"/>
      <c r="B840" s="131"/>
      <c r="C840" s="131"/>
      <c r="D840" s="131"/>
      <c r="E840" s="14"/>
      <c r="F840" s="14"/>
      <c r="G840" s="131"/>
    </row>
    <row r="841">
      <c r="A841" s="130"/>
      <c r="B841" s="131"/>
      <c r="C841" s="131"/>
      <c r="D841" s="131"/>
      <c r="E841" s="14"/>
      <c r="F841" s="14"/>
      <c r="G841" s="131"/>
    </row>
    <row r="842">
      <c r="A842" s="130"/>
      <c r="B842" s="131"/>
      <c r="C842" s="131"/>
      <c r="D842" s="131"/>
      <c r="E842" s="14"/>
      <c r="F842" s="14"/>
      <c r="G842" s="131"/>
    </row>
    <row r="843">
      <c r="A843" s="130"/>
      <c r="B843" s="131"/>
      <c r="C843" s="131"/>
      <c r="D843" s="131"/>
      <c r="E843" s="14"/>
      <c r="F843" s="14"/>
      <c r="G843" s="131"/>
    </row>
    <row r="844">
      <c r="A844" s="130"/>
      <c r="B844" s="131"/>
      <c r="C844" s="131"/>
      <c r="D844" s="131"/>
      <c r="E844" s="14"/>
      <c r="F844" s="14"/>
      <c r="G844" s="131"/>
    </row>
    <row r="845">
      <c r="A845" s="130"/>
      <c r="B845" s="131"/>
      <c r="C845" s="131"/>
      <c r="D845" s="131"/>
      <c r="E845" s="14"/>
      <c r="F845" s="14"/>
      <c r="G845" s="131"/>
    </row>
    <row r="846">
      <c r="A846" s="130"/>
      <c r="B846" s="131"/>
      <c r="C846" s="131"/>
      <c r="D846" s="131"/>
      <c r="E846" s="14"/>
      <c r="F846" s="14"/>
      <c r="G846" s="131"/>
    </row>
    <row r="847">
      <c r="A847" s="130"/>
      <c r="B847" s="131"/>
      <c r="C847" s="131"/>
      <c r="D847" s="131"/>
      <c r="E847" s="14"/>
      <c r="F847" s="14"/>
      <c r="G847" s="131"/>
    </row>
    <row r="848">
      <c r="A848" s="130"/>
      <c r="B848" s="131"/>
      <c r="C848" s="131"/>
      <c r="D848" s="131"/>
      <c r="E848" s="14"/>
      <c r="F848" s="14"/>
      <c r="G848" s="131"/>
    </row>
    <row r="849">
      <c r="A849" s="130"/>
      <c r="B849" s="131"/>
      <c r="C849" s="131"/>
      <c r="D849" s="131"/>
      <c r="E849" s="14"/>
      <c r="F849" s="14"/>
      <c r="G849" s="131"/>
    </row>
    <row r="850">
      <c r="A850" s="130"/>
      <c r="B850" s="131"/>
      <c r="C850" s="131"/>
      <c r="D850" s="131"/>
      <c r="E850" s="14"/>
      <c r="F850" s="14"/>
      <c r="G850" s="131"/>
    </row>
    <row r="851">
      <c r="A851" s="130"/>
      <c r="B851" s="131"/>
      <c r="C851" s="131"/>
      <c r="D851" s="131"/>
      <c r="E851" s="14"/>
      <c r="F851" s="14"/>
      <c r="G851" s="131"/>
    </row>
    <row r="852">
      <c r="A852" s="130"/>
      <c r="B852" s="131"/>
      <c r="C852" s="131"/>
      <c r="D852" s="131"/>
      <c r="E852" s="14"/>
      <c r="F852" s="14"/>
      <c r="G852" s="131"/>
    </row>
    <row r="853">
      <c r="A853" s="130"/>
      <c r="B853" s="131"/>
      <c r="C853" s="131"/>
      <c r="D853" s="131"/>
      <c r="E853" s="14"/>
      <c r="F853" s="14"/>
      <c r="G853" s="131"/>
    </row>
    <row r="854">
      <c r="A854" s="130"/>
      <c r="B854" s="131"/>
      <c r="C854" s="131"/>
      <c r="D854" s="131"/>
      <c r="E854" s="14"/>
      <c r="F854" s="14"/>
      <c r="G854" s="131"/>
    </row>
    <row r="855">
      <c r="A855" s="130"/>
      <c r="B855" s="131"/>
      <c r="C855" s="131"/>
      <c r="D855" s="131"/>
      <c r="E855" s="14"/>
      <c r="F855" s="14"/>
      <c r="G855" s="131"/>
    </row>
    <row r="856">
      <c r="A856" s="130"/>
      <c r="B856" s="131"/>
      <c r="C856" s="131"/>
      <c r="D856" s="131"/>
      <c r="E856" s="14"/>
      <c r="F856" s="14"/>
      <c r="G856" s="131"/>
    </row>
    <row r="857">
      <c r="A857" s="130"/>
      <c r="B857" s="131"/>
      <c r="C857" s="131"/>
      <c r="D857" s="131"/>
      <c r="E857" s="14"/>
      <c r="F857" s="14"/>
      <c r="G857" s="131"/>
    </row>
    <row r="858">
      <c r="A858" s="130"/>
      <c r="B858" s="131"/>
      <c r="C858" s="131"/>
      <c r="D858" s="131"/>
      <c r="E858" s="14"/>
      <c r="F858" s="14"/>
      <c r="G858" s="131"/>
    </row>
    <row r="859">
      <c r="A859" s="130"/>
      <c r="B859" s="131"/>
      <c r="C859" s="131"/>
      <c r="D859" s="131"/>
      <c r="E859" s="14"/>
      <c r="F859" s="14"/>
      <c r="G859" s="131"/>
    </row>
    <row r="860">
      <c r="A860" s="130"/>
      <c r="B860" s="131"/>
      <c r="C860" s="131"/>
      <c r="D860" s="131"/>
      <c r="E860" s="14"/>
      <c r="F860" s="14"/>
      <c r="G860" s="131"/>
    </row>
    <row r="861">
      <c r="A861" s="130"/>
      <c r="B861" s="131"/>
      <c r="C861" s="131"/>
      <c r="D861" s="131"/>
      <c r="E861" s="14"/>
      <c r="F861" s="14"/>
      <c r="G861" s="131"/>
    </row>
    <row r="862">
      <c r="A862" s="130"/>
      <c r="B862" s="131"/>
      <c r="C862" s="131"/>
      <c r="D862" s="131"/>
      <c r="E862" s="14"/>
      <c r="F862" s="14"/>
      <c r="G862" s="131"/>
    </row>
    <row r="863">
      <c r="A863" s="130"/>
      <c r="B863" s="131"/>
      <c r="C863" s="131"/>
      <c r="D863" s="131"/>
      <c r="E863" s="14"/>
      <c r="F863" s="14"/>
      <c r="G863" s="131"/>
    </row>
    <row r="864">
      <c r="A864" s="130"/>
      <c r="B864" s="131"/>
      <c r="C864" s="131"/>
      <c r="D864" s="131"/>
      <c r="E864" s="14"/>
      <c r="F864" s="14"/>
      <c r="G864" s="131"/>
    </row>
    <row r="865">
      <c r="A865" s="130"/>
      <c r="B865" s="131"/>
      <c r="C865" s="131"/>
      <c r="D865" s="131"/>
      <c r="E865" s="14"/>
      <c r="F865" s="14"/>
      <c r="G865" s="131"/>
    </row>
    <row r="866">
      <c r="A866" s="130"/>
      <c r="B866" s="131"/>
      <c r="C866" s="131"/>
      <c r="D866" s="131"/>
      <c r="E866" s="14"/>
      <c r="F866" s="14"/>
      <c r="G866" s="131"/>
    </row>
    <row r="867">
      <c r="A867" s="130"/>
      <c r="B867" s="131"/>
      <c r="C867" s="131"/>
      <c r="D867" s="131"/>
      <c r="E867" s="14"/>
      <c r="F867" s="14"/>
      <c r="G867" s="131"/>
    </row>
    <row r="868">
      <c r="A868" s="130"/>
      <c r="B868" s="131"/>
      <c r="C868" s="131"/>
      <c r="D868" s="131"/>
      <c r="E868" s="14"/>
      <c r="F868" s="14"/>
      <c r="G868" s="131"/>
    </row>
    <row r="869">
      <c r="A869" s="130"/>
      <c r="B869" s="131"/>
      <c r="C869" s="131"/>
      <c r="D869" s="131"/>
      <c r="E869" s="14"/>
      <c r="F869" s="14"/>
      <c r="G869" s="131"/>
    </row>
    <row r="870">
      <c r="A870" s="130"/>
      <c r="B870" s="131"/>
      <c r="C870" s="131"/>
      <c r="D870" s="131"/>
      <c r="E870" s="14"/>
      <c r="F870" s="14"/>
      <c r="G870" s="131"/>
    </row>
    <row r="871">
      <c r="A871" s="130"/>
      <c r="B871" s="131"/>
      <c r="C871" s="131"/>
      <c r="D871" s="131"/>
      <c r="E871" s="14"/>
      <c r="F871" s="14"/>
      <c r="G871" s="131"/>
    </row>
    <row r="872">
      <c r="A872" s="130"/>
      <c r="B872" s="131"/>
      <c r="C872" s="131"/>
      <c r="D872" s="131"/>
      <c r="E872" s="14"/>
      <c r="F872" s="14"/>
      <c r="G872" s="131"/>
    </row>
    <row r="873">
      <c r="A873" s="130"/>
      <c r="B873" s="131"/>
      <c r="C873" s="131"/>
      <c r="D873" s="131"/>
      <c r="E873" s="14"/>
      <c r="F873" s="14"/>
      <c r="G873" s="131"/>
    </row>
    <row r="874">
      <c r="A874" s="130"/>
      <c r="B874" s="131"/>
      <c r="C874" s="131"/>
      <c r="D874" s="131"/>
      <c r="E874" s="14"/>
      <c r="F874" s="14"/>
      <c r="G874" s="131"/>
    </row>
    <row r="875">
      <c r="A875" s="130"/>
      <c r="B875" s="131"/>
      <c r="C875" s="131"/>
      <c r="D875" s="131"/>
      <c r="E875" s="14"/>
      <c r="F875" s="14"/>
      <c r="G875" s="131"/>
    </row>
    <row r="876">
      <c r="A876" s="130"/>
      <c r="B876" s="131"/>
      <c r="C876" s="131"/>
      <c r="D876" s="131"/>
      <c r="E876" s="14"/>
      <c r="F876" s="14"/>
      <c r="G876" s="131"/>
    </row>
    <row r="877">
      <c r="A877" s="130"/>
      <c r="B877" s="131"/>
      <c r="C877" s="131"/>
      <c r="D877" s="131"/>
      <c r="E877" s="14"/>
      <c r="F877" s="14"/>
      <c r="G877" s="131"/>
    </row>
    <row r="878">
      <c r="A878" s="130"/>
      <c r="B878" s="131"/>
      <c r="C878" s="131"/>
      <c r="D878" s="131"/>
      <c r="E878" s="14"/>
      <c r="F878" s="14"/>
      <c r="G878" s="131"/>
    </row>
    <row r="879">
      <c r="A879" s="130"/>
      <c r="B879" s="131"/>
      <c r="C879" s="131"/>
      <c r="D879" s="131"/>
      <c r="E879" s="14"/>
      <c r="F879" s="14"/>
      <c r="G879" s="131"/>
    </row>
    <row r="880">
      <c r="A880" s="130"/>
      <c r="B880" s="131"/>
      <c r="C880" s="131"/>
      <c r="D880" s="131"/>
      <c r="E880" s="14"/>
      <c r="F880" s="14"/>
      <c r="G880" s="131"/>
    </row>
    <row r="881">
      <c r="A881" s="130"/>
      <c r="B881" s="131"/>
      <c r="C881" s="131"/>
      <c r="D881" s="131"/>
      <c r="E881" s="14"/>
      <c r="F881" s="14"/>
      <c r="G881" s="131"/>
    </row>
    <row r="882">
      <c r="A882" s="130"/>
      <c r="B882" s="131"/>
      <c r="C882" s="131"/>
      <c r="D882" s="131"/>
      <c r="E882" s="14"/>
      <c r="F882" s="14"/>
      <c r="G882" s="131"/>
    </row>
    <row r="883">
      <c r="A883" s="130"/>
      <c r="B883" s="131"/>
      <c r="C883" s="131"/>
      <c r="D883" s="131"/>
      <c r="E883" s="14"/>
      <c r="F883" s="14"/>
      <c r="G883" s="131"/>
    </row>
    <row r="884">
      <c r="A884" s="130"/>
      <c r="B884" s="131"/>
      <c r="C884" s="131"/>
      <c r="D884" s="131"/>
      <c r="E884" s="14"/>
      <c r="F884" s="14"/>
      <c r="G884" s="131"/>
    </row>
    <row r="885">
      <c r="A885" s="130"/>
      <c r="B885" s="131"/>
      <c r="C885" s="131"/>
      <c r="D885" s="131"/>
      <c r="E885" s="14"/>
      <c r="F885" s="14"/>
      <c r="G885" s="131"/>
    </row>
    <row r="886">
      <c r="A886" s="130"/>
      <c r="B886" s="131"/>
      <c r="C886" s="131"/>
      <c r="D886" s="131"/>
      <c r="E886" s="14"/>
      <c r="F886" s="14"/>
      <c r="G886" s="131"/>
    </row>
    <row r="887">
      <c r="A887" s="130"/>
      <c r="B887" s="131"/>
      <c r="C887" s="131"/>
      <c r="D887" s="131"/>
      <c r="E887" s="14"/>
      <c r="F887" s="14"/>
      <c r="G887" s="131"/>
    </row>
    <row r="888">
      <c r="A888" s="130"/>
      <c r="B888" s="131"/>
      <c r="C888" s="131"/>
      <c r="D888" s="131"/>
      <c r="E888" s="14"/>
      <c r="F888" s="14"/>
      <c r="G888" s="131"/>
    </row>
    <row r="889">
      <c r="A889" s="130"/>
      <c r="B889" s="131"/>
      <c r="C889" s="131"/>
      <c r="D889" s="131"/>
      <c r="E889" s="14"/>
      <c r="F889" s="14"/>
      <c r="G889" s="131"/>
    </row>
    <row r="890">
      <c r="A890" s="130"/>
      <c r="B890" s="131"/>
      <c r="C890" s="131"/>
      <c r="D890" s="131"/>
      <c r="E890" s="14"/>
      <c r="F890" s="14"/>
      <c r="G890" s="131"/>
    </row>
    <row r="891">
      <c r="A891" s="130"/>
      <c r="B891" s="131"/>
      <c r="C891" s="131"/>
      <c r="D891" s="131"/>
      <c r="E891" s="14"/>
      <c r="F891" s="14"/>
      <c r="G891" s="131"/>
    </row>
    <row r="892">
      <c r="A892" s="130"/>
      <c r="B892" s="131"/>
      <c r="C892" s="131"/>
      <c r="D892" s="131"/>
      <c r="E892" s="14"/>
      <c r="F892" s="14"/>
      <c r="G892" s="131"/>
    </row>
    <row r="893">
      <c r="A893" s="130"/>
      <c r="B893" s="131"/>
      <c r="C893" s="131"/>
      <c r="D893" s="131"/>
      <c r="E893" s="14"/>
      <c r="F893" s="14"/>
      <c r="G893" s="131"/>
    </row>
    <row r="894">
      <c r="A894" s="130"/>
      <c r="B894" s="131"/>
      <c r="C894" s="131"/>
      <c r="D894" s="131"/>
      <c r="E894" s="14"/>
      <c r="F894" s="14"/>
      <c r="G894" s="131"/>
    </row>
    <row r="895">
      <c r="A895" s="130"/>
      <c r="B895" s="131"/>
      <c r="C895" s="131"/>
      <c r="D895" s="131"/>
      <c r="E895" s="14"/>
      <c r="F895" s="14"/>
      <c r="G895" s="131"/>
    </row>
    <row r="896">
      <c r="A896" s="130"/>
      <c r="B896" s="131"/>
      <c r="C896" s="131"/>
      <c r="D896" s="131"/>
      <c r="E896" s="14"/>
      <c r="F896" s="14"/>
      <c r="G896" s="131"/>
    </row>
    <row r="897">
      <c r="A897" s="130"/>
      <c r="B897" s="131"/>
      <c r="C897" s="131"/>
      <c r="D897" s="131"/>
      <c r="E897" s="14"/>
      <c r="F897" s="14"/>
      <c r="G897" s="131"/>
    </row>
    <row r="898">
      <c r="A898" s="130"/>
      <c r="B898" s="131"/>
      <c r="C898" s="131"/>
      <c r="D898" s="131"/>
      <c r="E898" s="14"/>
      <c r="F898" s="14"/>
      <c r="G898" s="131"/>
    </row>
    <row r="899">
      <c r="A899" s="130"/>
      <c r="B899" s="131"/>
      <c r="C899" s="131"/>
      <c r="D899" s="131"/>
      <c r="E899" s="14"/>
      <c r="F899" s="14"/>
      <c r="G899" s="131"/>
    </row>
    <row r="900">
      <c r="A900" s="130"/>
      <c r="B900" s="131"/>
      <c r="C900" s="131"/>
      <c r="D900" s="131"/>
      <c r="E900" s="14"/>
      <c r="F900" s="14"/>
      <c r="G900" s="131"/>
    </row>
    <row r="901">
      <c r="A901" s="130"/>
      <c r="B901" s="131"/>
      <c r="C901" s="131"/>
      <c r="D901" s="131"/>
      <c r="E901" s="14"/>
      <c r="F901" s="14"/>
      <c r="G901" s="131"/>
    </row>
    <row r="902">
      <c r="A902" s="130"/>
      <c r="B902" s="131"/>
      <c r="C902" s="131"/>
      <c r="D902" s="131"/>
      <c r="E902" s="14"/>
      <c r="F902" s="14"/>
      <c r="G902" s="131"/>
    </row>
    <row r="903">
      <c r="A903" s="130"/>
      <c r="B903" s="131"/>
      <c r="C903" s="131"/>
      <c r="D903" s="131"/>
      <c r="E903" s="14"/>
      <c r="F903" s="14"/>
      <c r="G903" s="131"/>
    </row>
    <row r="904">
      <c r="A904" s="130"/>
      <c r="B904" s="131"/>
      <c r="C904" s="131"/>
      <c r="D904" s="131"/>
      <c r="E904" s="14"/>
      <c r="F904" s="14"/>
      <c r="G904" s="131"/>
    </row>
    <row r="905">
      <c r="A905" s="130"/>
      <c r="B905" s="131"/>
      <c r="C905" s="131"/>
      <c r="D905" s="131"/>
      <c r="E905" s="14"/>
      <c r="F905" s="14"/>
      <c r="G905" s="131"/>
    </row>
    <row r="906">
      <c r="A906" s="130"/>
      <c r="B906" s="131"/>
      <c r="C906" s="131"/>
      <c r="D906" s="131"/>
      <c r="E906" s="14"/>
      <c r="F906" s="14"/>
      <c r="G906" s="131"/>
    </row>
    <row r="907">
      <c r="A907" s="130"/>
      <c r="B907" s="131"/>
      <c r="C907" s="131"/>
      <c r="D907" s="131"/>
      <c r="E907" s="14"/>
      <c r="F907" s="14"/>
      <c r="G907" s="131"/>
    </row>
    <row r="908">
      <c r="A908" s="130"/>
      <c r="B908" s="131"/>
      <c r="C908" s="131"/>
      <c r="D908" s="131"/>
      <c r="E908" s="14"/>
      <c r="F908" s="14"/>
      <c r="G908" s="131"/>
    </row>
    <row r="909">
      <c r="A909" s="130"/>
      <c r="B909" s="131"/>
      <c r="C909" s="131"/>
      <c r="D909" s="131"/>
      <c r="E909" s="14"/>
      <c r="F909" s="14"/>
      <c r="G909" s="131"/>
    </row>
    <row r="910">
      <c r="A910" s="130"/>
      <c r="B910" s="131"/>
      <c r="C910" s="131"/>
      <c r="D910" s="131"/>
      <c r="E910" s="14"/>
      <c r="F910" s="14"/>
      <c r="G910" s="131"/>
    </row>
    <row r="911">
      <c r="A911" s="130"/>
      <c r="B911" s="131"/>
      <c r="C911" s="131"/>
      <c r="D911" s="131"/>
      <c r="E911" s="14"/>
      <c r="F911" s="14"/>
      <c r="G911" s="131"/>
    </row>
    <row r="912">
      <c r="A912" s="130"/>
      <c r="B912" s="131"/>
      <c r="C912" s="131"/>
      <c r="D912" s="131"/>
      <c r="E912" s="14"/>
      <c r="F912" s="14"/>
      <c r="G912" s="131"/>
    </row>
    <row r="913">
      <c r="A913" s="130"/>
      <c r="B913" s="131"/>
      <c r="C913" s="131"/>
      <c r="D913" s="131"/>
      <c r="E913" s="14"/>
      <c r="F913" s="14"/>
      <c r="G913" s="131"/>
    </row>
    <row r="914">
      <c r="A914" s="130"/>
      <c r="B914" s="131"/>
      <c r="C914" s="131"/>
      <c r="D914" s="131"/>
      <c r="E914" s="14"/>
      <c r="F914" s="14"/>
      <c r="G914" s="131"/>
    </row>
    <row r="915">
      <c r="A915" s="130"/>
      <c r="B915" s="131"/>
      <c r="C915" s="131"/>
      <c r="D915" s="131"/>
      <c r="E915" s="14"/>
      <c r="F915" s="14"/>
      <c r="G915" s="131"/>
    </row>
    <row r="916">
      <c r="A916" s="130"/>
      <c r="B916" s="131"/>
      <c r="C916" s="131"/>
      <c r="D916" s="131"/>
      <c r="E916" s="14"/>
      <c r="F916" s="14"/>
      <c r="G916" s="131"/>
    </row>
    <row r="917">
      <c r="A917" s="130"/>
      <c r="B917" s="131"/>
      <c r="C917" s="131"/>
      <c r="D917" s="131"/>
      <c r="E917" s="14"/>
      <c r="F917" s="14"/>
      <c r="G917" s="131"/>
    </row>
    <row r="918">
      <c r="A918" s="130"/>
      <c r="B918" s="131"/>
      <c r="C918" s="131"/>
      <c r="D918" s="131"/>
      <c r="E918" s="14"/>
      <c r="F918" s="14"/>
      <c r="G918" s="131"/>
    </row>
    <row r="919">
      <c r="A919" s="130"/>
      <c r="B919" s="131"/>
      <c r="C919" s="131"/>
      <c r="D919" s="131"/>
      <c r="E919" s="14"/>
      <c r="F919" s="14"/>
      <c r="G919" s="131"/>
    </row>
    <row r="920">
      <c r="A920" s="130"/>
      <c r="B920" s="131"/>
      <c r="C920" s="131"/>
      <c r="D920" s="131"/>
      <c r="E920" s="14"/>
      <c r="F920" s="14"/>
      <c r="G920" s="131"/>
    </row>
    <row r="921">
      <c r="A921" s="130"/>
      <c r="B921" s="131"/>
      <c r="C921" s="131"/>
      <c r="D921" s="131"/>
      <c r="E921" s="14"/>
      <c r="F921" s="14"/>
      <c r="G921" s="131"/>
    </row>
    <row r="922">
      <c r="A922" s="130"/>
      <c r="B922" s="131"/>
      <c r="C922" s="131"/>
      <c r="D922" s="131"/>
      <c r="E922" s="14"/>
      <c r="F922" s="14"/>
      <c r="G922" s="131"/>
    </row>
    <row r="923">
      <c r="A923" s="130"/>
      <c r="B923" s="131"/>
      <c r="C923" s="131"/>
      <c r="D923" s="131"/>
      <c r="E923" s="14"/>
      <c r="F923" s="14"/>
      <c r="G923" s="131"/>
    </row>
    <row r="924">
      <c r="A924" s="130"/>
      <c r="B924" s="131"/>
      <c r="C924" s="131"/>
      <c r="D924" s="131"/>
      <c r="E924" s="14"/>
      <c r="F924" s="14"/>
      <c r="G924" s="131"/>
    </row>
    <row r="925">
      <c r="A925" s="130"/>
      <c r="B925" s="131"/>
      <c r="C925" s="131"/>
      <c r="D925" s="131"/>
      <c r="E925" s="14"/>
      <c r="F925" s="14"/>
      <c r="G925" s="131"/>
    </row>
    <row r="926">
      <c r="A926" s="130"/>
      <c r="B926" s="131"/>
      <c r="C926" s="131"/>
      <c r="D926" s="131"/>
      <c r="E926" s="14"/>
      <c r="F926" s="14"/>
      <c r="G926" s="131"/>
    </row>
    <row r="927">
      <c r="A927" s="130"/>
      <c r="B927" s="131"/>
      <c r="C927" s="131"/>
      <c r="D927" s="131"/>
      <c r="E927" s="14"/>
      <c r="F927" s="14"/>
      <c r="G927" s="131"/>
    </row>
    <row r="928">
      <c r="A928" s="130"/>
      <c r="B928" s="131"/>
      <c r="C928" s="131"/>
      <c r="D928" s="131"/>
      <c r="E928" s="14"/>
      <c r="F928" s="14"/>
      <c r="G928" s="131"/>
    </row>
    <row r="929">
      <c r="A929" s="130"/>
      <c r="B929" s="131"/>
      <c r="C929" s="131"/>
      <c r="D929" s="131"/>
      <c r="E929" s="14"/>
      <c r="F929" s="14"/>
      <c r="G929" s="131"/>
    </row>
    <row r="930">
      <c r="A930" s="130"/>
      <c r="B930" s="131"/>
      <c r="C930" s="131"/>
      <c r="D930" s="131"/>
      <c r="E930" s="14"/>
      <c r="F930" s="14"/>
      <c r="G930" s="131"/>
    </row>
    <row r="931">
      <c r="A931" s="130"/>
      <c r="B931" s="131"/>
      <c r="C931" s="131"/>
      <c r="D931" s="131"/>
      <c r="E931" s="14"/>
      <c r="F931" s="14"/>
      <c r="G931" s="131"/>
    </row>
    <row r="932">
      <c r="A932" s="130"/>
      <c r="B932" s="131"/>
      <c r="C932" s="131"/>
      <c r="D932" s="131"/>
      <c r="E932" s="14"/>
      <c r="F932" s="14"/>
      <c r="G932" s="131"/>
    </row>
    <row r="933">
      <c r="A933" s="130"/>
      <c r="B933" s="131"/>
      <c r="C933" s="131"/>
      <c r="D933" s="131"/>
      <c r="E933" s="14"/>
      <c r="F933" s="14"/>
      <c r="G933" s="131"/>
    </row>
    <row r="934">
      <c r="A934" s="130"/>
      <c r="B934" s="131"/>
      <c r="C934" s="131"/>
      <c r="D934" s="131"/>
      <c r="E934" s="14"/>
      <c r="F934" s="14"/>
      <c r="G934" s="131"/>
    </row>
    <row r="935">
      <c r="A935" s="130"/>
      <c r="B935" s="131"/>
      <c r="C935" s="131"/>
      <c r="D935" s="131"/>
      <c r="E935" s="14"/>
      <c r="F935" s="14"/>
      <c r="G935" s="131"/>
    </row>
    <row r="936">
      <c r="A936" s="130"/>
      <c r="B936" s="131"/>
      <c r="C936" s="131"/>
      <c r="D936" s="131"/>
      <c r="E936" s="14"/>
      <c r="F936" s="14"/>
      <c r="G936" s="131"/>
    </row>
    <row r="937">
      <c r="A937" s="130"/>
      <c r="B937" s="131"/>
      <c r="C937" s="131"/>
      <c r="D937" s="131"/>
      <c r="E937" s="14"/>
      <c r="F937" s="14"/>
      <c r="G937" s="131"/>
    </row>
    <row r="938">
      <c r="A938" s="130"/>
      <c r="B938" s="131"/>
      <c r="C938" s="131"/>
      <c r="D938" s="131"/>
      <c r="E938" s="14"/>
      <c r="F938" s="14"/>
      <c r="G938" s="131"/>
    </row>
    <row r="939">
      <c r="A939" s="130"/>
      <c r="B939" s="131"/>
      <c r="C939" s="131"/>
      <c r="D939" s="131"/>
      <c r="E939" s="14"/>
      <c r="F939" s="14"/>
      <c r="G939" s="131"/>
    </row>
    <row r="940">
      <c r="A940" s="130"/>
      <c r="B940" s="131"/>
      <c r="C940" s="131"/>
      <c r="D940" s="131"/>
      <c r="E940" s="14"/>
      <c r="F940" s="14"/>
      <c r="G940" s="131"/>
    </row>
    <row r="941">
      <c r="A941" s="130"/>
      <c r="B941" s="131"/>
      <c r="C941" s="131"/>
      <c r="D941" s="131"/>
      <c r="E941" s="14"/>
      <c r="F941" s="14"/>
      <c r="G941" s="131"/>
    </row>
    <row r="942">
      <c r="A942" s="130"/>
      <c r="B942" s="131"/>
      <c r="C942" s="131"/>
      <c r="D942" s="131"/>
      <c r="E942" s="14"/>
      <c r="F942" s="14"/>
      <c r="G942" s="131"/>
    </row>
    <row r="943">
      <c r="A943" s="130"/>
      <c r="B943" s="131"/>
      <c r="C943" s="131"/>
      <c r="D943" s="131"/>
      <c r="E943" s="14"/>
      <c r="F943" s="14"/>
      <c r="G943" s="131"/>
    </row>
    <row r="944">
      <c r="A944" s="130"/>
      <c r="B944" s="131"/>
      <c r="C944" s="131"/>
      <c r="D944" s="131"/>
      <c r="E944" s="14"/>
      <c r="F944" s="14"/>
      <c r="G944" s="131"/>
    </row>
    <row r="945">
      <c r="A945" s="130"/>
      <c r="B945" s="131"/>
      <c r="C945" s="131"/>
      <c r="D945" s="131"/>
      <c r="E945" s="14"/>
      <c r="F945" s="14"/>
      <c r="G945" s="131"/>
    </row>
    <row r="946">
      <c r="A946" s="130"/>
      <c r="B946" s="131"/>
      <c r="C946" s="131"/>
      <c r="D946" s="131"/>
      <c r="E946" s="14"/>
      <c r="F946" s="14"/>
      <c r="G946" s="131"/>
    </row>
    <row r="947">
      <c r="A947" s="130"/>
      <c r="B947" s="131"/>
      <c r="C947" s="131"/>
      <c r="D947" s="131"/>
      <c r="E947" s="14"/>
      <c r="F947" s="14"/>
      <c r="G947" s="131"/>
    </row>
    <row r="948">
      <c r="A948" s="130"/>
      <c r="B948" s="131"/>
      <c r="C948" s="131"/>
      <c r="D948" s="131"/>
      <c r="E948" s="14"/>
      <c r="F948" s="14"/>
      <c r="G948" s="131"/>
    </row>
    <row r="949">
      <c r="A949" s="130"/>
      <c r="B949" s="131"/>
      <c r="C949" s="131"/>
      <c r="D949" s="131"/>
      <c r="E949" s="14"/>
      <c r="F949" s="14"/>
      <c r="G949" s="131"/>
    </row>
    <row r="950">
      <c r="A950" s="130"/>
      <c r="B950" s="131"/>
      <c r="C950" s="131"/>
      <c r="D950" s="131"/>
      <c r="E950" s="14"/>
      <c r="F950" s="14"/>
      <c r="G950" s="131"/>
    </row>
    <row r="951">
      <c r="A951" s="130"/>
      <c r="B951" s="131"/>
      <c r="C951" s="131"/>
      <c r="D951" s="131"/>
      <c r="E951" s="14"/>
      <c r="F951" s="14"/>
      <c r="G951" s="131"/>
    </row>
    <row r="952">
      <c r="A952" s="130"/>
      <c r="B952" s="131"/>
      <c r="C952" s="131"/>
      <c r="D952" s="131"/>
      <c r="E952" s="14"/>
      <c r="F952" s="14"/>
      <c r="G952" s="131"/>
    </row>
    <row r="953">
      <c r="A953" s="130"/>
      <c r="B953" s="131"/>
      <c r="C953" s="131"/>
      <c r="D953" s="131"/>
      <c r="E953" s="14"/>
      <c r="F953" s="14"/>
      <c r="G953" s="131"/>
    </row>
    <row r="954">
      <c r="A954" s="130"/>
      <c r="B954" s="131"/>
      <c r="C954" s="131"/>
      <c r="D954" s="131"/>
      <c r="E954" s="14"/>
      <c r="F954" s="14"/>
      <c r="G954" s="131"/>
    </row>
    <row r="955">
      <c r="A955" s="130"/>
      <c r="B955" s="131"/>
      <c r="C955" s="131"/>
      <c r="D955" s="131"/>
      <c r="E955" s="14"/>
      <c r="F955" s="14"/>
      <c r="G955" s="131"/>
    </row>
    <row r="956">
      <c r="A956" s="130"/>
      <c r="B956" s="131"/>
      <c r="C956" s="131"/>
      <c r="D956" s="131"/>
      <c r="E956" s="14"/>
      <c r="F956" s="14"/>
      <c r="G956" s="131"/>
    </row>
    <row r="957">
      <c r="A957" s="130"/>
      <c r="B957" s="131"/>
      <c r="C957" s="131"/>
      <c r="D957" s="131"/>
      <c r="E957" s="14"/>
      <c r="F957" s="14"/>
      <c r="G957" s="131"/>
    </row>
    <row r="958">
      <c r="A958" s="130"/>
      <c r="B958" s="131"/>
      <c r="C958" s="131"/>
      <c r="D958" s="131"/>
      <c r="E958" s="14"/>
      <c r="F958" s="14"/>
      <c r="G958" s="131"/>
    </row>
    <row r="959">
      <c r="A959" s="130"/>
      <c r="B959" s="131"/>
      <c r="C959" s="131"/>
      <c r="D959" s="131"/>
      <c r="E959" s="14"/>
      <c r="F959" s="14"/>
      <c r="G959" s="131"/>
    </row>
    <row r="960">
      <c r="A960" s="130"/>
      <c r="B960" s="131"/>
      <c r="C960" s="131"/>
      <c r="D960" s="131"/>
      <c r="E960" s="14"/>
      <c r="F960" s="14"/>
      <c r="G960" s="131"/>
    </row>
    <row r="961">
      <c r="A961" s="130"/>
      <c r="B961" s="131"/>
      <c r="C961" s="131"/>
      <c r="D961" s="131"/>
      <c r="E961" s="14"/>
      <c r="F961" s="14"/>
      <c r="G961" s="131"/>
    </row>
    <row r="962">
      <c r="A962" s="130"/>
      <c r="B962" s="131"/>
      <c r="C962" s="131"/>
      <c r="D962" s="131"/>
      <c r="E962" s="14"/>
      <c r="F962" s="14"/>
      <c r="G962" s="131"/>
    </row>
    <row r="963">
      <c r="A963" s="130"/>
      <c r="B963" s="131"/>
      <c r="C963" s="131"/>
      <c r="D963" s="131"/>
      <c r="E963" s="14"/>
      <c r="F963" s="14"/>
      <c r="G963" s="131"/>
    </row>
    <row r="964">
      <c r="A964" s="130"/>
      <c r="B964" s="131"/>
      <c r="C964" s="131"/>
      <c r="D964" s="131"/>
      <c r="E964" s="14"/>
      <c r="F964" s="14"/>
      <c r="G964" s="131"/>
    </row>
    <row r="965">
      <c r="A965" s="130"/>
      <c r="B965" s="131"/>
      <c r="C965" s="131"/>
      <c r="D965" s="131"/>
      <c r="E965" s="14"/>
      <c r="F965" s="14"/>
      <c r="G965" s="131"/>
    </row>
    <row r="966">
      <c r="A966" s="130"/>
      <c r="B966" s="131"/>
      <c r="C966" s="131"/>
      <c r="D966" s="131"/>
      <c r="E966" s="14"/>
      <c r="F966" s="14"/>
      <c r="G966" s="131"/>
    </row>
    <row r="967">
      <c r="A967" s="130"/>
      <c r="B967" s="131"/>
      <c r="C967" s="131"/>
      <c r="D967" s="131"/>
      <c r="E967" s="14"/>
      <c r="F967" s="14"/>
      <c r="G967" s="131"/>
    </row>
    <row r="968">
      <c r="A968" s="130"/>
      <c r="B968" s="131"/>
      <c r="C968" s="131"/>
      <c r="D968" s="131"/>
      <c r="E968" s="14"/>
      <c r="F968" s="14"/>
      <c r="G968" s="131"/>
    </row>
    <row r="969">
      <c r="A969" s="130"/>
      <c r="B969" s="131"/>
      <c r="C969" s="131"/>
      <c r="D969" s="131"/>
      <c r="E969" s="14"/>
      <c r="F969" s="14"/>
      <c r="G969" s="131"/>
    </row>
    <row r="970">
      <c r="A970" s="130"/>
      <c r="B970" s="131"/>
      <c r="C970" s="131"/>
      <c r="D970" s="131"/>
      <c r="E970" s="14"/>
      <c r="F970" s="14"/>
      <c r="G970" s="131"/>
    </row>
    <row r="971">
      <c r="A971" s="130"/>
      <c r="B971" s="131"/>
      <c r="C971" s="131"/>
      <c r="D971" s="131"/>
      <c r="E971" s="14"/>
      <c r="F971" s="14"/>
      <c r="G971" s="131"/>
    </row>
    <row r="972">
      <c r="A972" s="130"/>
      <c r="B972" s="131"/>
      <c r="C972" s="131"/>
      <c r="D972" s="131"/>
      <c r="E972" s="14"/>
      <c r="F972" s="14"/>
      <c r="G972" s="131"/>
    </row>
    <row r="973">
      <c r="A973" s="130"/>
      <c r="B973" s="131"/>
      <c r="C973" s="131"/>
      <c r="D973" s="131"/>
      <c r="E973" s="14"/>
      <c r="F973" s="14"/>
      <c r="G973" s="131"/>
    </row>
    <row r="974">
      <c r="A974" s="130"/>
      <c r="B974" s="131"/>
      <c r="C974" s="131"/>
      <c r="D974" s="131"/>
      <c r="E974" s="14"/>
      <c r="F974" s="14"/>
      <c r="G974" s="131"/>
    </row>
    <row r="975">
      <c r="A975" s="130"/>
      <c r="B975" s="131"/>
      <c r="C975" s="131"/>
      <c r="D975" s="131"/>
      <c r="E975" s="14"/>
      <c r="F975" s="14"/>
      <c r="G975" s="131"/>
    </row>
    <row r="976">
      <c r="A976" s="130"/>
      <c r="B976" s="131"/>
      <c r="C976" s="131"/>
      <c r="D976" s="131"/>
      <c r="E976" s="14"/>
      <c r="F976" s="14"/>
      <c r="G976" s="131"/>
    </row>
    <row r="977">
      <c r="A977" s="130"/>
      <c r="B977" s="131"/>
      <c r="C977" s="131"/>
      <c r="D977" s="131"/>
      <c r="E977" s="14"/>
      <c r="F977" s="14"/>
      <c r="G977" s="131"/>
    </row>
    <row r="978">
      <c r="A978" s="130"/>
      <c r="B978" s="131"/>
      <c r="C978" s="131"/>
      <c r="D978" s="131"/>
      <c r="E978" s="14"/>
      <c r="F978" s="14"/>
      <c r="G978" s="131"/>
    </row>
    <row r="979">
      <c r="A979" s="130"/>
      <c r="B979" s="131"/>
      <c r="C979" s="131"/>
      <c r="D979" s="131"/>
      <c r="E979" s="14"/>
      <c r="F979" s="14"/>
      <c r="G979" s="131"/>
    </row>
    <row r="980">
      <c r="A980" s="130"/>
      <c r="B980" s="131"/>
      <c r="C980" s="131"/>
      <c r="D980" s="131"/>
      <c r="E980" s="14"/>
      <c r="F980" s="14"/>
      <c r="G980" s="131"/>
    </row>
    <row r="981">
      <c r="A981" s="130"/>
      <c r="B981" s="131"/>
      <c r="C981" s="131"/>
      <c r="D981" s="131"/>
      <c r="E981" s="14"/>
      <c r="F981" s="14"/>
      <c r="G981" s="131"/>
    </row>
    <row r="982">
      <c r="A982" s="130"/>
      <c r="B982" s="131"/>
      <c r="C982" s="131"/>
      <c r="D982" s="131"/>
      <c r="E982" s="14"/>
      <c r="F982" s="14"/>
      <c r="G982" s="131"/>
    </row>
    <row r="983">
      <c r="A983" s="130"/>
      <c r="B983" s="131"/>
      <c r="C983" s="131"/>
      <c r="D983" s="131"/>
      <c r="E983" s="14"/>
      <c r="F983" s="14"/>
      <c r="G983" s="131"/>
    </row>
    <row r="984">
      <c r="A984" s="130"/>
      <c r="B984" s="131"/>
      <c r="C984" s="131"/>
      <c r="D984" s="131"/>
      <c r="E984" s="14"/>
      <c r="F984" s="14"/>
      <c r="G984" s="131"/>
    </row>
    <row r="985">
      <c r="A985" s="130"/>
      <c r="B985" s="131"/>
      <c r="C985" s="131"/>
      <c r="D985" s="131"/>
      <c r="E985" s="14"/>
      <c r="F985" s="14"/>
      <c r="G985" s="131"/>
    </row>
    <row r="986">
      <c r="A986" s="130"/>
      <c r="B986" s="131"/>
      <c r="C986" s="131"/>
      <c r="D986" s="131"/>
      <c r="E986" s="14"/>
      <c r="F986" s="14"/>
      <c r="G986" s="131"/>
    </row>
    <row r="987">
      <c r="A987" s="130"/>
      <c r="B987" s="131"/>
      <c r="C987" s="131"/>
      <c r="D987" s="131"/>
      <c r="E987" s="14"/>
      <c r="F987" s="14"/>
      <c r="G987" s="131"/>
    </row>
    <row r="988">
      <c r="A988" s="130"/>
      <c r="B988" s="131"/>
      <c r="C988" s="131"/>
      <c r="D988" s="131"/>
      <c r="E988" s="14"/>
      <c r="F988" s="14"/>
      <c r="G988" s="131"/>
    </row>
    <row r="989">
      <c r="A989" s="130"/>
      <c r="B989" s="131"/>
      <c r="C989" s="131"/>
      <c r="D989" s="131"/>
      <c r="E989" s="14"/>
      <c r="F989" s="14"/>
      <c r="G989" s="131"/>
    </row>
    <row r="990">
      <c r="A990" s="130"/>
      <c r="B990" s="131"/>
      <c r="C990" s="131"/>
      <c r="D990" s="131"/>
      <c r="E990" s="14"/>
      <c r="F990" s="14"/>
      <c r="G990" s="131"/>
    </row>
    <row r="991">
      <c r="A991" s="130"/>
      <c r="B991" s="131"/>
      <c r="C991" s="131"/>
      <c r="D991" s="131"/>
      <c r="E991" s="14"/>
      <c r="F991" s="14"/>
      <c r="G991" s="131"/>
    </row>
    <row r="992">
      <c r="A992" s="130"/>
      <c r="B992" s="131"/>
      <c r="C992" s="131"/>
      <c r="D992" s="131"/>
      <c r="E992" s="14"/>
      <c r="F992" s="14"/>
      <c r="G992" s="131"/>
    </row>
    <row r="993">
      <c r="A993" s="130"/>
      <c r="B993" s="131"/>
      <c r="C993" s="131"/>
      <c r="D993" s="131"/>
      <c r="E993" s="14"/>
      <c r="F993" s="14"/>
      <c r="G993" s="131"/>
    </row>
    <row r="994">
      <c r="A994" s="130"/>
      <c r="B994" s="131"/>
      <c r="C994" s="131"/>
      <c r="D994" s="131"/>
      <c r="E994" s="14"/>
      <c r="F994" s="14"/>
      <c r="G994" s="131"/>
    </row>
    <row r="995">
      <c r="A995" s="130"/>
      <c r="B995" s="131"/>
      <c r="C995" s="131"/>
      <c r="D995" s="131"/>
      <c r="E995" s="14"/>
      <c r="F995" s="14"/>
      <c r="G995" s="131"/>
    </row>
    <row r="996">
      <c r="A996" s="130"/>
      <c r="B996" s="131"/>
      <c r="C996" s="131"/>
      <c r="D996" s="131"/>
      <c r="E996" s="14"/>
      <c r="F996" s="14"/>
      <c r="G996" s="131"/>
    </row>
    <row r="997">
      <c r="A997" s="130"/>
      <c r="B997" s="131"/>
      <c r="C997" s="131"/>
      <c r="D997" s="131"/>
      <c r="E997" s="14"/>
      <c r="F997" s="14"/>
      <c r="G997" s="131"/>
    </row>
    <row r="998">
      <c r="A998" s="130"/>
      <c r="B998" s="131"/>
      <c r="C998" s="131"/>
      <c r="D998" s="131"/>
      <c r="E998" s="14"/>
      <c r="F998" s="14"/>
      <c r="G998" s="131"/>
    </row>
    <row r="999">
      <c r="A999" s="130"/>
      <c r="B999" s="131"/>
      <c r="C999" s="131"/>
      <c r="D999" s="131"/>
      <c r="E999" s="14"/>
      <c r="F999" s="14"/>
      <c r="G999" s="131"/>
    </row>
    <row r="1000">
      <c r="A1000" s="130"/>
      <c r="B1000" s="131"/>
      <c r="C1000" s="131"/>
      <c r="D1000" s="131"/>
      <c r="E1000" s="14"/>
      <c r="F1000" s="14"/>
      <c r="G1000" s="131"/>
    </row>
  </sheetData>
  <dataValidations>
    <dataValidation type="list" allowBlank="1" showErrorMessage="1" sqref="F2:F1000">
      <formula1>'預算欄位參數表'!$H$2:$H1000</formula1>
    </dataValidation>
    <dataValidation type="list" allowBlank="1" showErrorMessage="1" sqref="G2:G1000">
      <formula1>'預算欄位參數表'!$G$2:$G1000</formula1>
    </dataValidation>
    <dataValidation type="list" allowBlank="1" showErrorMessage="1" sqref="A2:A1000">
      <formula1>'預算欄位參數表'!$A$3</formula1>
    </dataValidation>
    <dataValidation type="list" allowBlank="1" showErrorMessage="1" sqref="B2:B1000">
      <formula1>'預算欄位參數表'!$B$2:$B1000</formula1>
    </dataValidation>
    <dataValidation type="list" allowBlank="1" showErrorMessage="1" sqref="C2:C1000">
      <formula1>'預算欄位參數表'!$C$2:$C1000</formula1>
    </dataValidation>
    <dataValidation type="list" allowBlank="1" showErrorMessage="1" sqref="D2:D1000">
      <formula1>'預算欄位參數表'!$D$2:$D1000</formula1>
    </dataValidation>
    <dataValidation type="list" allowBlank="1" showErrorMessage="1" sqref="E2:E1000">
      <formula1>'預算欄位參數表'!$F$2:$F1000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4.38"/>
    <col customWidth="1" min="3" max="3" width="19.38"/>
    <col customWidth="1" min="4" max="4" width="13.0"/>
    <col customWidth="1" min="5" max="5" width="16.75"/>
    <col customWidth="1" min="6" max="6" width="14.63"/>
    <col customWidth="1" min="7" max="7" width="17.25"/>
    <col customWidth="1" min="8" max="8" width="12.63"/>
    <col customWidth="1" min="9" max="9" width="23.13"/>
    <col customWidth="1" min="10" max="10" width="9.38"/>
    <col customWidth="1" min="11" max="12" width="44.0"/>
    <col customWidth="1" min="13" max="13" width="30.5"/>
  </cols>
  <sheetData>
    <row r="1">
      <c r="A1" s="3" t="str">
        <f>IFERROR(__xludf.DUMMYFUNCTION("IMPORTRANGE(""https://docs.google.com/spreadsheets/d/1-YuSlnwICv7dSIIRxQFJU2gwgM9OHTbandHa0RE3CW8/edit?gid=1671067433#gid=1671067433"",""預算欄位參數表!A1:Z"")"),"子公司")</f>
        <v>子公司</v>
      </c>
      <c r="B1" s="3" t="str">
        <f>IFERROR(__xludf.DUMMYFUNCTION("""COMPUTED_VALUE"""),"事業單位")</f>
        <v>事業單位</v>
      </c>
      <c r="C1" s="3" t="str">
        <f>IFERROR(__xludf.DUMMYFUNCTION("""COMPUTED_VALUE"""),"Si 編號")</f>
        <v>Si 編號</v>
      </c>
      <c r="D1" s="3" t="str">
        <f>IFERROR(__xludf.DUMMYFUNCTION("""COMPUTED_VALUE"""),"TA 編號")</f>
        <v>TA 編號</v>
      </c>
      <c r="E1" s="3" t="str">
        <f>IFERROR(__xludf.DUMMYFUNCTION("""COMPUTED_VALUE"""),"TA 編號（維運/集團）")</f>
        <v>TA 編號（維運/集團）</v>
      </c>
      <c r="F1" s="3" t="str">
        <f>IFERROR(__xludf.DUMMYFUNCTION("""COMPUTED_VALUE"""),"價值鏈任務代號")</f>
        <v>價值鏈任務代號</v>
      </c>
      <c r="G1" s="3" t="str">
        <f>IFERROR(__xludf.DUMMYFUNCTION("""COMPUTED_VALUE"""),"費用類型")</f>
        <v>費用類型</v>
      </c>
      <c r="H1" s="3" t="str">
        <f>IFERROR(__xludf.DUMMYFUNCTION("""COMPUTED_VALUE"""),"專案費用單位")</f>
        <v>專案費用單位</v>
      </c>
      <c r="I1" s="3" t="str">
        <f>IFERROR(__xludf.DUMMYFUNCTION("""COMPUTED_VALUE"""),"維運費用單位")</f>
        <v>維運費用單位</v>
      </c>
      <c r="J1" s="3" t="str">
        <f>IFERROR(__xludf.DUMMYFUNCTION("""COMPUTED_VALUE"""),"集團共同攤分單位")</f>
        <v>集團共同攤分單位</v>
      </c>
      <c r="K1" s="3" t="str">
        <f>IFERROR(__xludf.DUMMYFUNCTION("""COMPUTED_VALUE"""),"職等")</f>
        <v>職等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 t="str">
        <f>IFERROR(__xludf.DUMMYFUNCTION("""COMPUTED_VALUE"""),"TW")</f>
        <v>TW</v>
      </c>
      <c r="B2" s="3" t="str">
        <f>IFERROR(__xludf.DUMMYFUNCTION("""COMPUTED_VALUE"""),"OMO")</f>
        <v>OMO</v>
      </c>
      <c r="C2" s="3" t="str">
        <f>IFERROR(__xludf.DUMMYFUNCTION("""COMPUTED_VALUE"""),"OrderingSi1")</f>
        <v>OrderingSi1</v>
      </c>
      <c r="D2" s="3" t="str">
        <f>IFERROR(__xludf.DUMMYFUNCTION("""COMPUTED_VALUE"""),"Ordering26TA1")</f>
        <v>Ordering26TA1</v>
      </c>
      <c r="E2" s="3" t="str">
        <f>IFERROR(__xludf.DUMMYFUNCTION("""COMPUTED_VALUE"""),"Baseline")</f>
        <v>Baseline</v>
      </c>
      <c r="F2" s="3" t="str">
        <f>IFERROR(__xludf.DUMMYFUNCTION("""COMPUTED_VALUE"""),"NA")</f>
        <v>NA</v>
      </c>
      <c r="G2" s="3" t="str">
        <f>IFERROR(__xludf.DUMMYFUNCTION("""COMPUTED_VALUE"""),"人事費用")</f>
        <v>人事費用</v>
      </c>
      <c r="H2" s="3" t="str">
        <f>IFERROR(__xludf.DUMMYFUNCTION("""COMPUTED_VALUE"""),"執行長室 : 稽核部")</f>
        <v>執行長室 : 稽核部</v>
      </c>
      <c r="I2" s="3" t="str">
        <f>IFERROR(__xludf.DUMMYFUNCTION("""COMPUTED_VALUE"""),"執行長室 : 行銷營運中心 : 銷售營運部 : 客戶導入團隊")</f>
        <v>執行長室 : 行銷營運中心 : 銷售營運部 : 客戶導入團隊</v>
      </c>
      <c r="J2" s="3" t="str">
        <f>IFERROR(__xludf.DUMMYFUNCTION("""COMPUTED_VALUE"""),"執行長室 : 研發中心 : 研發中心")</f>
        <v>執行長室 : 研發中心 : 研發中心</v>
      </c>
      <c r="K2" s="3" t="str">
        <f>IFERROR(__xludf.DUMMYFUNCTION("""COMPUTED_VALUE"""),"IC4")</f>
        <v>IC4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tr">
        <f>IFERROR(__xludf.DUMMYFUNCTION("""COMPUTED_VALUE"""),"QLR")</f>
        <v>QLR</v>
      </c>
      <c r="B3" s="3" t="str">
        <f>IFERROR(__xludf.DUMMYFUNCTION("""COMPUTED_VALUE"""),"POS")</f>
        <v>POS</v>
      </c>
      <c r="C3" s="3" t="str">
        <f>IFERROR(__xludf.DUMMYFUNCTION("""COMPUTED_VALUE"""),"ReservationSi1")</f>
        <v>ReservationSi1</v>
      </c>
      <c r="D3" s="3" t="str">
        <f>IFERROR(__xludf.DUMMYFUNCTION("""COMPUTED_VALUE"""),"Ordering26TA2")</f>
        <v>Ordering26TA2</v>
      </c>
      <c r="E3" s="3" t="str">
        <f>IFERROR(__xludf.DUMMYFUNCTION("""COMPUTED_VALUE"""),"Corporation")</f>
        <v>Corporation</v>
      </c>
      <c r="F3" s="3" t="str">
        <f>IFERROR(__xludf.DUMMYFUNCTION("""COMPUTED_VALUE"""),"VC08P2")</f>
        <v>VC08P2</v>
      </c>
      <c r="G3" s="3" t="str">
        <f>IFERROR(__xludf.DUMMYFUNCTION("""COMPUTED_VALUE"""),"非人事費用")</f>
        <v>非人事費用</v>
      </c>
      <c r="H3" s="3" t="str">
        <f>IFERROR(__xludf.DUMMYFUNCTION("""COMPUTED_VALUE"""),"執行長室")</f>
        <v>執行長室</v>
      </c>
      <c r="I3" s="3" t="str">
        <f>IFERROR(__xludf.DUMMYFUNCTION("""COMPUTED_VALUE"""),"執行長室 : 客戶價值中心 : 客戶關係管理部")</f>
        <v>執行長室 : 客戶價值中心 : 客戶關係管理部</v>
      </c>
      <c r="J3" s="3" t="str">
        <f>IFERROR(__xludf.DUMMYFUNCTION("""COMPUTED_VALUE"""),"執行長室 : 財務中心 : 財務中心")</f>
        <v>執行長室 : 財務中心 : 財務中心</v>
      </c>
      <c r="K3" s="3" t="str">
        <f>IFERROR(__xludf.DUMMYFUNCTION("""COMPUTED_VALUE"""),"IC5")</f>
        <v>IC5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tr">
        <f>IFERROR(__xludf.DUMMYFUNCTION("""COMPUTED_VALUE"""),"SG")</f>
        <v>SG</v>
      </c>
      <c r="B4" s="3" t="str">
        <f>IFERROR(__xludf.DUMMYFUNCTION("""COMPUTED_VALUE"""),"2C")</f>
        <v>2C</v>
      </c>
      <c r="C4" s="3" t="str">
        <f>IFERROR(__xludf.DUMMYFUNCTION("""COMPUTED_VALUE"""),"SMBSi1")</f>
        <v>SMBSi1</v>
      </c>
      <c r="D4" s="3" t="str">
        <f>IFERROR(__xludf.DUMMYFUNCTION("""COMPUTED_VALUE"""),"Ordering26TA3")</f>
        <v>Ordering26TA3</v>
      </c>
      <c r="E4" s="3"/>
      <c r="F4" s="3" t="str">
        <f>IFERROR(__xludf.DUMMYFUNCTION("""COMPUTED_VALUE"""),"VC08P1")</f>
        <v>VC08P1</v>
      </c>
      <c r="G4" s="3"/>
      <c r="H4" s="3" t="str">
        <f>IFERROR(__xludf.DUMMYFUNCTION("""COMPUTED_VALUE"""),"執行長室 : 研發中心 : 研發中心")</f>
        <v>執行長室 : 研發中心 : 研發中心</v>
      </c>
      <c r="I4" s="3" t="str">
        <f>IFERROR(__xludf.DUMMYFUNCTION("""COMPUTED_VALUE"""),"執行長室 : 客戶價值中心 : 客戶關係管理部 : TSE 團隊")</f>
        <v>執行長室 : 客戶價值中心 : 客戶關係管理部 : TSE 團隊</v>
      </c>
      <c r="J4" s="3" t="str">
        <f>IFERROR(__xludf.DUMMYFUNCTION("""COMPUTED_VALUE"""),"執行長室 : 管理中心 : 管理中心")</f>
        <v>執行長室 : 管理中心 : 管理中心</v>
      </c>
      <c r="K4" s="3" t="str">
        <f>IFERROR(__xludf.DUMMYFUNCTION("""COMPUTED_VALUE"""),"IC6")</f>
        <v>IC6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tr">
        <f>IFERROR(__xludf.DUMMYFUNCTION("""COMPUTED_VALUE"""),"HK")</f>
        <v>HK</v>
      </c>
      <c r="B5" s="3" t="str">
        <f>IFERROR(__xludf.DUMMYFUNCTION("""COMPUTED_VALUE"""),"Corporation")</f>
        <v>Corporation</v>
      </c>
      <c r="C5" s="3" t="str">
        <f>IFERROR(__xludf.DUMMYFUNCTION("""COMPUTED_VALUE"""),"ENTSi1")</f>
        <v>ENTSi1</v>
      </c>
      <c r="D5" s="3" t="str">
        <f>IFERROR(__xludf.DUMMYFUNCTION("""COMPUTED_VALUE"""),"Ordering26TA4")</f>
        <v>Ordering26TA4</v>
      </c>
      <c r="E5" s="3"/>
      <c r="F5" s="3" t="str">
        <f>IFERROR(__xludf.DUMMYFUNCTION("""COMPUTED_VALUE"""),"VC05P1")</f>
        <v>VC05P1</v>
      </c>
      <c r="G5" s="3"/>
      <c r="H5" s="3" t="str">
        <f>IFERROR(__xludf.DUMMYFUNCTION("""COMPUTED_VALUE"""),"執行長室 : 研發中心 : 軟體工程部")</f>
        <v>執行長室 : 研發中心 : 軟體工程部</v>
      </c>
      <c r="I5" s="3" t="str">
        <f>IFERROR(__xludf.DUMMYFUNCTION("""COMPUTED_VALUE"""),"執行長室 : 客戶價值中心 : 客戶關係管理部 : 客服團隊")</f>
        <v>執行長室 : 客戶價值中心 : 客戶關係管理部 : 客服團隊</v>
      </c>
      <c r="J5" s="3" t="str">
        <f>IFERROR(__xludf.DUMMYFUNCTION("""COMPUTED_VALUE"""),"執行長室 : 管理中心 : 行政總務部")</f>
        <v>執行長室 : 管理中心 : 行政總務部</v>
      </c>
      <c r="K5" s="3" t="str">
        <f>IFERROR(__xludf.DUMMYFUNCTION("""COMPUTED_VALUE"""),"IC7")</f>
        <v>IC7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 t="str">
        <f>IFERROR(__xludf.DUMMYFUNCTION("""COMPUTED_VALUE"""),"ENTSi2")</f>
        <v>ENTSi2</v>
      </c>
      <c r="D6" s="3" t="str">
        <f>IFERROR(__xludf.DUMMYFUNCTION("""COMPUTED_VALUE"""),"Reservation26TA1")</f>
        <v>Reservation26TA1</v>
      </c>
      <c r="E6" s="3"/>
      <c r="F6" s="3" t="str">
        <f>IFERROR(__xludf.DUMMYFUNCTION("""COMPUTED_VALUE"""),"VC05P2")</f>
        <v>VC05P2</v>
      </c>
      <c r="G6" s="3"/>
      <c r="H6" s="3" t="str">
        <f>IFERROR(__xludf.DUMMYFUNCTION("""COMPUTED_VALUE"""),"執行長室 : 研發中心 : 軟體工程部 : 前端團隊")</f>
        <v>執行長室 : 研發中心 : 軟體工程部 : 前端團隊</v>
      </c>
      <c r="I6" s="3" t="str">
        <f>IFERROR(__xludf.DUMMYFUNCTION("""COMPUTED_VALUE"""),"執行長室 : 客戶價值中心 : 客戶關係管理部 : 客戶經理團隊	")</f>
        <v>執行長室 : 客戶價值中心 : 客戶關係管理部 : 客戶經理團隊	</v>
      </c>
      <c r="J6" s="3" t="str">
        <f>IFERROR(__xludf.DUMMYFUNCTION("""COMPUTED_VALUE"""),"執行長室 : 管理中心 : 人資部")</f>
        <v>執行長室 : 管理中心 : 人資部</v>
      </c>
      <c r="K6" s="3" t="str">
        <f>IFERROR(__xludf.DUMMYFUNCTION("""COMPUTED_VALUE"""),"M5")</f>
        <v>M5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 t="str">
        <f>IFERROR(__xludf.DUMMYFUNCTION("""COMPUTED_VALUE"""),"QLRSi1")</f>
        <v>QLRSi1</v>
      </c>
      <c r="D7" s="3" t="str">
        <f>IFERROR(__xludf.DUMMYFUNCTION("""COMPUTED_VALUE"""),"Reservation26TA2")</f>
        <v>Reservation26TA2</v>
      </c>
      <c r="E7" s="3"/>
      <c r="F7" s="3" t="str">
        <f>IFERROR(__xludf.DUMMYFUNCTION("""COMPUTED_VALUE"""),"VC05P8")</f>
        <v>VC05P8</v>
      </c>
      <c r="G7" s="3"/>
      <c r="H7" s="3" t="str">
        <f>IFERROR(__xludf.DUMMYFUNCTION("""COMPUTED_VALUE"""),"執行長室 : 研發中心 : 軟體工程部 : 後端團隊")</f>
        <v>執行長室 : 研發中心 : 軟體工程部 : 後端團隊</v>
      </c>
      <c r="I7" s="3"/>
      <c r="J7" s="3" t="str">
        <f>IFERROR(__xludf.DUMMYFUNCTION("""COMPUTED_VALUE"""),"執行長室 : 管理中心 : 法務部")</f>
        <v>執行長室 : 管理中心 : 法務部</v>
      </c>
      <c r="K7" s="3" t="str">
        <f>IFERROR(__xludf.DUMMYFUNCTION("""COMPUTED_VALUE"""),"M6")</f>
        <v>M6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 t="str">
        <f>IFERROR(__xludf.DUMMYFUNCTION("""COMPUTED_VALUE"""),"QLRSi2")</f>
        <v>QLRSi2</v>
      </c>
      <c r="D8" s="3" t="str">
        <f>IFERROR(__xludf.DUMMYFUNCTION("""COMPUTED_VALUE"""),"Reservation26TA3")</f>
        <v>Reservation26TA3</v>
      </c>
      <c r="E8" s="3"/>
      <c r="F8" s="3" t="str">
        <f>IFERROR(__xludf.DUMMYFUNCTION("""COMPUTED_VALUE"""),"VC05P7")</f>
        <v>VC05P7</v>
      </c>
      <c r="G8" s="3"/>
      <c r="H8" s="3" t="str">
        <f>IFERROR(__xludf.DUMMYFUNCTION("""COMPUTED_VALUE"""),"執行長室 : 研發中心 : 軟體工程部 : iOS 團隊")</f>
        <v>執行長室 : 研發中心 : 軟體工程部 : iOS 團隊</v>
      </c>
      <c r="I8" s="3"/>
      <c r="J8" s="3" t="str">
        <f>IFERROR(__xludf.DUMMYFUNCTION("""COMPUTED_VALUE"""),"執行長室 : 管理中心 : 資訊部")</f>
        <v>執行長室 : 管理中心 : 資訊部</v>
      </c>
      <c r="K8" s="3" t="str">
        <f>IFERROR(__xludf.DUMMYFUNCTION("""COMPUTED_VALUE"""),"M7")</f>
        <v>M7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 t="str">
        <f>IFERROR(__xludf.DUMMYFUNCTION("""COMPUTED_VALUE"""),"QLRSi3")</f>
        <v>QLRSi3</v>
      </c>
      <c r="D9" s="3" t="str">
        <f>IFERROR(__xludf.DUMMYFUNCTION("""COMPUTED_VALUE"""),"SMB26TA1")</f>
        <v>SMB26TA1</v>
      </c>
      <c r="E9" s="3"/>
      <c r="F9" s="3" t="str">
        <f>IFERROR(__xludf.DUMMYFUNCTION("""COMPUTED_VALUE"""),"VC05P6")</f>
        <v>VC05P6</v>
      </c>
      <c r="G9" s="3"/>
      <c r="H9" s="3" t="str">
        <f>IFERROR(__xludf.DUMMYFUNCTION("""COMPUTED_VALUE"""),"執行長室 : 研發中心 : 軟體工程部 : QE 團隊")</f>
        <v>執行長室 : 研發中心 : 軟體工程部 : QE 團隊</v>
      </c>
      <c r="I9" s="3"/>
      <c r="J9" s="3" t="str">
        <f>IFERROR(__xludf.DUMMYFUNCTION("""COMPUTED_VALUE"""),"執行長室 : 管理中心 : 採購部")</f>
        <v>執行長室 : 管理中心 : 採購部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 t="str">
        <f>IFERROR(__xludf.DUMMYFUNCTION("""COMPUTED_VALUE"""),"2CSi1")</f>
        <v>2CSi1</v>
      </c>
      <c r="D10" s="3" t="str">
        <f>IFERROR(__xludf.DUMMYFUNCTION("""COMPUTED_VALUE"""),"ENT26TA1")</f>
        <v>ENT26TA1</v>
      </c>
      <c r="E10" s="3"/>
      <c r="F10" s="3" t="str">
        <f>IFERROR(__xludf.DUMMYFUNCTION("""COMPUTED_VALUE"""),"VC05P5")</f>
        <v>VC05P5</v>
      </c>
      <c r="G10" s="3"/>
      <c r="H10" s="3" t="str">
        <f>IFERROR(__xludf.DUMMYFUNCTION("""COMPUTED_VALUE"""),"執行長室 : 研發中心 : 產品設計部")</f>
        <v>執行長室 : 研發中心 : 產品設計部</v>
      </c>
      <c r="I10" s="3"/>
      <c r="J10" s="3" t="str">
        <f>IFERROR(__xludf.DUMMYFUNCTION("""COMPUTED_VALUE"""),"執行長室 : 策略資料中心 : 策略資料中心")</f>
        <v>執行長室 : 策略資料中心 : 策略資料中心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 t="str">
        <f>IFERROR(__xludf.DUMMYFUNCTION("""COMPUTED_VALUE"""),"Maintenance")</f>
        <v>Maintenance</v>
      </c>
      <c r="D11" s="3" t="str">
        <f>IFERROR(__xludf.DUMMYFUNCTION("""COMPUTED_VALUE"""),"QLR26TA1")</f>
        <v>QLR26TA1</v>
      </c>
      <c r="E11" s="3"/>
      <c r="F11" s="3" t="str">
        <f>IFERROR(__xludf.DUMMYFUNCTION("""COMPUTED_VALUE"""),"VC05P4")</f>
        <v>VC05P4</v>
      </c>
      <c r="G11" s="3"/>
      <c r="H11" s="3" t="str">
        <f>IFERROR(__xludf.DUMMYFUNCTION("""COMPUTED_VALUE"""),"執行長室 : 研發中心 : 產品設計部 : 產品設計師團隊")</f>
        <v>執行長室 : 研發中心 : 產品設計部 : 產品設計師團隊</v>
      </c>
      <c r="I11" s="3"/>
      <c r="J11" s="3" t="str">
        <f>IFERROR(__xludf.DUMMYFUNCTION("""COMPUTED_VALUE"""),"執行長室 : 策略資料中心 : 策略規劃部")</f>
        <v>執行長室 : 策略資料中心 : 策略規劃部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 t="str">
        <f>IFERROR(__xludf.DUMMYFUNCTION("""COMPUTED_VALUE"""),"Corporation")</f>
        <v>Corporation</v>
      </c>
      <c r="D12" s="3" t="str">
        <f>IFERROR(__xludf.DUMMYFUNCTION("""COMPUTED_VALUE"""),"QLR26TA2")</f>
        <v>QLR26TA2</v>
      </c>
      <c r="E12" s="3"/>
      <c r="F12" s="3" t="str">
        <f>IFERROR(__xludf.DUMMYFUNCTION("""COMPUTED_VALUE"""),"VC05P3")</f>
        <v>VC05P3</v>
      </c>
      <c r="G12" s="3"/>
      <c r="H12" s="3" t="str">
        <f>IFERROR(__xludf.DUMMYFUNCTION("""COMPUTED_VALUE"""),"執行長室 : 研發中心 : 產品設計部 : 產品經理團隊")</f>
        <v>執行長室 : 研發中心 : 產品設計部 : 產品經理團隊</v>
      </c>
      <c r="I12" s="3"/>
      <c r="J12" s="3" t="str">
        <f>IFERROR(__xludf.DUMMYFUNCTION("""COMPUTED_VALUE"""),"執行長室 : 策略資料中心 : 數據管理部")</f>
        <v>執行長室 : 策略資料中心 : 數據管理部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 t="str">
        <f>IFERROR(__xludf.DUMMYFUNCTION("""COMPUTED_VALUE"""),"QLR26TA3")</f>
        <v>QLR26TA3</v>
      </c>
      <c r="E13" s="3"/>
      <c r="F13" s="3" t="str">
        <f>IFERROR(__xludf.DUMMYFUNCTION("""COMPUTED_VALUE"""),"VC02P2")</f>
        <v>VC02P2</v>
      </c>
      <c r="G13" s="3"/>
      <c r="H13" s="3" t="str">
        <f>IFERROR(__xludf.DUMMYFUNCTION("""COMPUTED_VALUE"""),"執行長室 : 研發中心 : 產品設計部 : 數據分析團隊")</f>
        <v>執行長室 : 研發中心 : 產品設計部 : 數據分析團隊</v>
      </c>
      <c r="I13" s="3"/>
      <c r="J13" s="3" t="str">
        <f>IFERROR(__xludf.DUMMYFUNCTION("""COMPUTED_VALUE"""),"執行長室 : 行銷營運中心 : 行銷營運中心")</f>
        <v>執行長室 : 行銷營運中心 : 行銷營運中心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 t="str">
        <f>IFERROR(__xludf.DUMMYFUNCTION("""COMPUTED_VALUE"""),"2C26TA1")</f>
        <v>2C26TA1</v>
      </c>
      <c r="E14" s="3"/>
      <c r="F14" s="3" t="str">
        <f>IFERROR(__xludf.DUMMYFUNCTION("""COMPUTED_VALUE"""),"VC02P1")</f>
        <v>VC02P1</v>
      </c>
      <c r="G14" s="3"/>
      <c r="H14" s="3" t="str">
        <f>IFERROR(__xludf.DUMMYFUNCTION("""COMPUTED_VALUE"""),"執行長室 : 財務中心 : 財務中心")</f>
        <v>執行長室 : 財務中心 : 財務中心</v>
      </c>
      <c r="I14" s="3"/>
      <c r="J14" s="3" t="str">
        <f>IFERROR(__xludf.DUMMYFUNCTION("""COMPUTED_VALUE"""),"執行長室 : 客戶價值中心 : 客戶價值中心")</f>
        <v>執行長室 : 客戶價值中心 : 客戶價值中心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 t="str">
        <f>IFERROR(__xludf.DUMMYFUNCTION("""COMPUTED_VALUE"""),"Corporation")</f>
        <v>Corporation</v>
      </c>
      <c r="E15" s="3"/>
      <c r="F15" s="3" t="str">
        <f>IFERROR(__xludf.DUMMYFUNCTION("""COMPUTED_VALUE"""),"VC04P1")</f>
        <v>VC04P1</v>
      </c>
      <c r="G15" s="3"/>
      <c r="H15" s="3" t="str">
        <f>IFERROR(__xludf.DUMMYFUNCTION("""COMPUTED_VALUE"""),"執行長室 : 管理中心 : 管理中心")</f>
        <v>執行長室 : 管理中心 : 管理中心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 t="str">
        <f>IFERROR(__xludf.DUMMYFUNCTION("""COMPUTED_VALUE"""),"Baseline")</f>
        <v>Baseline</v>
      </c>
      <c r="E16" s="3"/>
      <c r="F16" s="3" t="str">
        <f>IFERROR(__xludf.DUMMYFUNCTION("""COMPUTED_VALUE"""),"VC01P1")</f>
        <v>VC01P1</v>
      </c>
      <c r="G16" s="3"/>
      <c r="H16" s="3" t="str">
        <f>IFERROR(__xludf.DUMMYFUNCTION("""COMPUTED_VALUE"""),"執行長室 : 管理中心 : 行政總務部")</f>
        <v>執行長室 : 管理中心 : 行政總務部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 t="str">
        <f>IFERROR(__xludf.DUMMYFUNCTION("""COMPUTED_VALUE"""),"VC01P2")</f>
        <v>VC01P2</v>
      </c>
      <c r="G17" s="3"/>
      <c r="H17" s="3" t="str">
        <f>IFERROR(__xludf.DUMMYFUNCTION("""COMPUTED_VALUE"""),"執行長室 : 管理中心 : 人資部")</f>
        <v>執行長室 : 管理中心 : 人資部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 t="str">
        <f>IFERROR(__xludf.DUMMYFUNCTION("""COMPUTED_VALUE"""),"VC03P1")</f>
        <v>VC03P1</v>
      </c>
      <c r="G18" s="3"/>
      <c r="H18" s="3" t="str">
        <f>IFERROR(__xludf.DUMMYFUNCTION("""COMPUTED_VALUE"""),"執行長室 : 管理中心 : 法務部")</f>
        <v>執行長室 : 管理中心 : 法務部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 t="str">
        <f>IFERROR(__xludf.DUMMYFUNCTION("""COMPUTED_VALUE"""),"VC01P3")</f>
        <v>VC01P3</v>
      </c>
      <c r="G19" s="3"/>
      <c r="H19" s="3" t="str">
        <f>IFERROR(__xludf.DUMMYFUNCTION("""COMPUTED_VALUE"""),"執行長室 : 管理中心 : 資訊部")</f>
        <v>執行長室 : 管理中心 : 資訊部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 t="str">
        <f>IFERROR(__xludf.DUMMYFUNCTION("""COMPUTED_VALUE"""),"VC03P2")</f>
        <v>VC03P2</v>
      </c>
      <c r="G20" s="3"/>
      <c r="H20" s="3" t="str">
        <f>IFERROR(__xludf.DUMMYFUNCTION("""COMPUTED_VALUE"""),"執行長室 : 管理中心 : 採購部")</f>
        <v>執行長室 : 管理中心 : 採購部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 t="str">
        <f>IFERROR(__xludf.DUMMYFUNCTION("""COMPUTED_VALUE"""),"執行長室 : 策略資料中心 : 策略資料中心")</f>
        <v>執行長室 : 策略資料中心 : 策略資料中心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 t="str">
        <f>IFERROR(__xludf.DUMMYFUNCTION("""COMPUTED_VALUE"""),"執行長室 : 策略資料中心 : 策略規劃部")</f>
        <v>執行長室 : 策略資料中心 : 策略規劃部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 t="str">
        <f>IFERROR(__xludf.DUMMYFUNCTION("""COMPUTED_VALUE"""),"執行長室 : 策略資料中心 : 數據管理部")</f>
        <v>執行長室 : 策略資料中心 : 數據管理部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 t="str">
        <f>IFERROR(__xludf.DUMMYFUNCTION("""COMPUTED_VALUE"""),"執行長室 : 行銷營運中心 : 行銷營運中心")</f>
        <v>執行長室 : 行銷營運中心 : 行銷營運中心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 t="str">
        <f>IFERROR(__xludf.DUMMYFUNCTION("""COMPUTED_VALUE"""),"執行長室 : 行銷營運中心 : 專案銷售部")</f>
        <v>執行長室 : 行銷營運中心 : 專案銷售部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 t="str">
        <f>IFERROR(__xludf.DUMMYFUNCTION("""COMPUTED_VALUE"""),"執行長室 : 行銷營運中心 : 產品行銷部")</f>
        <v>執行長室 : 行銷營運中心 : 產品行銷部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 t="str">
        <f>IFERROR(__xludf.DUMMYFUNCTION("""COMPUTED_VALUE"""),"執行長室 : 行銷營運中心 : 產品行銷部 : 產品行銷團隊")</f>
        <v>執行長室 : 行銷營運中心 : 產品行銷部 : 產品行銷團隊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 t="str">
        <f>IFERROR(__xludf.DUMMYFUNCTION("""COMPUTED_VALUE"""),"執行長室 : 行銷營運中心 : 產品行銷部 : 設計管理團隊")</f>
        <v>執行長室 : 行銷營運中心 : 產品行銷部 : 設計管理團隊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 t="str">
        <f>IFERROR(__xludf.DUMMYFUNCTION("""COMPUTED_VALUE"""),"執行長室 : 行銷營運中心 : 社群關係部")</f>
        <v>執行長室 : 行銷營運中心 : 社群關係部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 t="str">
        <f>IFERROR(__xludf.DUMMYFUNCTION("""COMPUTED_VALUE"""),"執行長室 : 行銷營運中心 : 社群關係部 : 餐廳社群團隊")</f>
        <v>執行長室 : 行銷營運中心 : 社群關係部 : 餐廳社群團隊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 t="str">
        <f>IFERROR(__xludf.DUMMYFUNCTION("""COMPUTED_VALUE"""),"執行長室 : 行銷營運中心 : 社群關係部 : 餐廳社群團隊")</f>
        <v>執行長室 : 行銷營運中心 : 社群關係部 : 餐廳社群團隊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 t="str">
        <f>IFERROR(__xludf.DUMMYFUNCTION("""COMPUTED_VALUE"""),"執行長室 : 行銷營運中心 : 銷售營運部")</f>
        <v>執行長室 : 行銷營運中心 : 銷售營運部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 t="str">
        <f>IFERROR(__xludf.DUMMYFUNCTION("""COMPUTED_VALUE"""),"執行長室 : 行銷營運中心 : 銷售營運部 : 成交營運團隊")</f>
        <v>執行長室 : 行銷營運中心 : 銷售營運部 : 成交營運團隊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 t="str">
        <f>IFERROR(__xludf.DUMMYFUNCTION("""COMPUTED_VALUE"""),"執行長室 : 行銷營運中心 : 銷售營運部 : 銷售顧問團隊")</f>
        <v>執行長室 : 行銷營運中心 : 銷售營運部 : 銷售顧問團隊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 t="str">
        <f>IFERROR(__xludf.DUMMYFUNCTION("""COMPUTED_VALUE"""),"執行長室 : 行銷營運中心 : 銷售營運部 : 客戶導入團隊")</f>
        <v>執行長室 : 行銷營運中心 : 銷售營運部 : 客戶導入團隊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 t="str">
        <f>IFERROR(__xludf.DUMMYFUNCTION("""COMPUTED_VALUE"""),"執行長室 : 行銷營運中心 : 銷售營運部 : 線上開發團隊")</f>
        <v>執行長室 : 行銷營運中心 : 銷售營運部 : 線上開發團隊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 t="str">
        <f>IFERROR(__xludf.DUMMYFUNCTION("""COMPUTED_VALUE"""),"執行長室 : 行銷營運中心 : 銷售營運部 : 銷售訓練團隊")</f>
        <v>執行長室 : 行銷營運中心 : 銷售營運部 : 銷售訓練團隊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 t="str">
        <f>IFERROR(__xludf.DUMMYFUNCTION("""COMPUTED_VALUE"""),"執行長室 : 客戶價值中心 : 客戶價值中心")</f>
        <v>執行長室 : 客戶價值中心 : 客戶價值中心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 t="str">
        <f>IFERROR(__xludf.DUMMYFUNCTION("""COMPUTED_VALUE"""),"執行長室 : 客戶價值中心 : 客戶關係管理部")</f>
        <v>執行長室 : 客戶價值中心 : 客戶關係管理部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 t="str">
        <f>IFERROR(__xludf.DUMMYFUNCTION("""COMPUTED_VALUE"""),"執行長室 : 客戶價值中心 : 客戶關係管理部 : TSE 團隊")</f>
        <v>執行長室 : 客戶價值中心 : 客戶關係管理部 : TSE 團隊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 t="str">
        <f>IFERROR(__xludf.DUMMYFUNCTION("""COMPUTED_VALUE"""),"執行長室 : 客戶價值中心 : 客戶關係管理部 : 客服團隊")</f>
        <v>執行長室 : 客戶價值中心 : 客戶關係管理部 : 客服團隊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 t="str">
        <f>IFERROR(__xludf.DUMMYFUNCTION("""COMPUTED_VALUE"""),"執行長室 : 客戶價值中心 : 客戶關係管理部 : 客戶經理團隊	")</f>
        <v>執行長室 : 客戶價值中心 : 客戶關係管理部 : 客戶經理團隊	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 t="str">
        <f>IFERROR(__xludf.DUMMYFUNCTION("""COMPUTED_VALUE"""),"執行長室 : 客戶價值中心 : 客戶成功管理部")</f>
        <v>執行長室 : 客戶價值中心 : 客戶成功管理部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 t="str">
        <f>IFERROR(__xludf.DUMMYFUNCTION("""COMPUTED_VALUE"""),"執行長室 : 客戶價值中心 : 客戶成功管理部 : 產品教育團隊")</f>
        <v>執行長室 : 客戶價值中心 : 客戶成功管理部 : 產品教育團隊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 t="str">
        <f>IFERROR(__xludf.DUMMYFUNCTION("""COMPUTED_VALUE"""),"執行長室 : 客戶價值中心 : 客戶成功管理部 : 客戶成功團隊")</f>
        <v>執行長室 : 客戶價值中心 : 客戶成功管理部 : 客戶成功團隊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 t="str">
        <f>IFERROR(__xludf.DUMMYFUNCTION("""COMPUTED_VALUE"""),"執行長室 : 行銷營運中心 : 行銷營運中心")</f>
        <v>執行長室 : 行銷營運中心 : 行銷營運中心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 t="str">
        <f>IFERROR(__xludf.DUMMYFUNCTION("""COMPUTED_VALUE"""),"執行長室 : 行銷營運中心 : 產品行銷部")</f>
        <v>執行長室 : 行銷營運中心 : 產品行銷部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 t="str">
        <f>IFERROR(__xludf.DUMMYFUNCTION("""COMPUTED_VALUE"""),"執行長室 : 行銷營運中心 : 產品行銷部 : 行銷團隊")</f>
        <v>執行長室 : 行銷營運中心 : 產品行銷部 : 行銷團隊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 t="str">
        <f>IFERROR(__xludf.DUMMYFUNCTION("""COMPUTED_VALUE"""),"執行長室 : 行銷營運中心 : 產品行銷部 : 社群團隊")</f>
        <v>執行長室 : 行銷營運中心 : 產品行銷部 : 社群團隊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 t="str">
        <f>IFERROR(__xludf.DUMMYFUNCTION("""COMPUTED_VALUE"""),"執行長室 : 行銷營運中心 : 銷售營運部")</f>
        <v>執行長室 : 行銷營運中心 : 銷售營運部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 t="str">
        <f>IFERROR(__xludf.DUMMYFUNCTION("""COMPUTED_VALUE"""),"執行長室 : 行銷營運中心 : 銷售營運部 : 銷售開發團隊")</f>
        <v>執行長室 : 行銷營運中心 : 銷售營運部 : 銷售開發團隊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 t="str">
        <f>IFERROR(__xludf.DUMMYFUNCTION("""COMPUTED_VALUE"""),"執行長室 : 行銷營運中心 : 銷售營運部 : 成交營運團隊")</f>
        <v>執行長室 : 行銷營運中心 : 銷售營運部 : 成交營運團隊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 t="str">
        <f>IFERROR(__xludf.DUMMYFUNCTION("""COMPUTED_VALUE"""),"執行長室 : 管理中心 : 管理中心")</f>
        <v>執行長室 : 管理中心 : 管理中心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 t="str">
        <f>IFERROR(__xludf.DUMMYFUNCTION("""COMPUTED_VALUE"""),"執行長室 : 管理中心 : 財務部")</f>
        <v>執行長室 : 管理中心 : 財務部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 t="str">
        <f>IFERROR(__xludf.DUMMYFUNCTION("""COMPUTED_VALUE"""),"執行長室 : 管理中心 : 人力資源部")</f>
        <v>執行長室 : 管理中心 : 人力資源部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 t="str">
        <f>IFERROR(__xludf.DUMMYFUNCTION("""COMPUTED_VALUE"""),"執行長室 : 管理中心 : 行政總務部")</f>
        <v>執行長室 : 管理中心 : 行政總務部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 t="str">
        <f>IFERROR(__xludf.DUMMYFUNCTION("""COMPUTED_VALUE"""),"執行長室 : 管理中心 : 採購部")</f>
        <v>執行長室 : 管理中心 : 採購部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 t="str">
        <f>IFERROR(__xludf.DUMMYFUNCTION("""COMPUTED_VALUE"""),"執行長室 : 研發中心 : 研發中心")</f>
        <v>執行長室 : 研發中心 : 研發中心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 t="str">
        <f>IFERROR(__xludf.DUMMYFUNCTION("""COMPUTED_VALUE"""),"執行長室 : 研發中心 : 產品營運部 : 客服團隊")</f>
        <v>執行長室 : 研發中心 : 產品營運部 : 客服團隊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 t="str">
        <f>IFERROR(__xludf.DUMMYFUNCTION("""COMPUTED_VALUE"""),"執行長室 : 研發中心 : 產品設計部")</f>
        <v>執行長室 : 研發中心 : 產品設計部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 t="str">
        <f>IFERROR(__xludf.DUMMYFUNCTION("""COMPUTED_VALUE"""),"執行長室 : 研發中心 : 軟體工程部")</f>
        <v>執行長室 : 研發中心 : 軟體工程部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.88"/>
    <col customWidth="1" min="3" max="3" width="9.38"/>
    <col customWidth="1" min="4" max="4" width="10.25"/>
    <col customWidth="1" min="5" max="6" width="7.63"/>
    <col customWidth="1" min="7" max="7" width="11.0"/>
    <col customWidth="1" min="8" max="8" width="32.5"/>
    <col customWidth="1" min="9" max="9" width="32.63"/>
    <col customWidth="1" min="10" max="10" width="27.13"/>
    <col customWidth="1" min="11" max="11" width="36.0"/>
    <col customWidth="1" min="12" max="12" width="11.0"/>
    <col customWidth="1" min="13" max="13" width="7.63"/>
    <col customWidth="1" min="14" max="14" width="11.88"/>
    <col customWidth="1" min="15" max="15" width="11.0"/>
    <col customWidth="1" min="16" max="16" width="9.38"/>
    <col customWidth="1" min="17" max="17" width="38.63"/>
  </cols>
  <sheetData>
    <row r="1">
      <c r="B1" s="3" t="str">
        <f>IFERROR(__xludf.DUMMYFUNCTION("IMPORTRANGE(""https://docs.google.com/spreadsheets/d/1fiD6EDAkov9pRwQ_8sXhwmAj-vJoUCNKTRov_ZiHklw/edit?gid=1913353331#gid=1913353331"",""2026 定版資料!A1:Z"")"),"#")</f>
        <v>#</v>
      </c>
      <c r="C1" s="3" t="str">
        <f>IFERROR(__xludf.DUMMYFUNCTION("""COMPUTED_VALUE"""),"費用類型")</f>
        <v>費用類型</v>
      </c>
      <c r="D1" s="3" t="str">
        <f>IFERROR(__xludf.DUMMYFUNCTION("""COMPUTED_VALUE"""),"子公司")</f>
        <v>子公司</v>
      </c>
      <c r="E1" s="132" t="str">
        <f>IFERROR(__xludf.DUMMYFUNCTION("""COMPUTED_VALUE"""),"會科代號")</f>
        <v>會科代號</v>
      </c>
      <c r="F1" s="3" t="str">
        <f>IFERROR(__xludf.DUMMYFUNCTION("""COMPUTED_VALUE"""),"會計科目")</f>
        <v>會計科目</v>
      </c>
      <c r="G1" s="3" t="str">
        <f>IFERROR(__xludf.DUMMYFUNCTION("""COMPUTED_VALUE"""),"明細科目")</f>
        <v>明細科目</v>
      </c>
      <c r="H1" s="3" t="str">
        <f>IFERROR(__xludf.DUMMYFUNCTION("""COMPUTED_VALUE"""),"說明")</f>
        <v>說明</v>
      </c>
      <c r="I1" s="3" t="str">
        <f>IFERROR(__xludf.DUMMYFUNCTION("""COMPUTED_VALUE"""),"月 額度
(每人)")</f>
        <v>月 額度
(每人)</v>
      </c>
      <c r="J1" s="3" t="str">
        <f>IFERROR(__xludf.DUMMYFUNCTION("""COMPUTED_VALUE"""),"年 額度
(每人)")</f>
        <v>年 額度
(每人)</v>
      </c>
      <c r="K1" s="3" t="str">
        <f>IFERROR(__xludf.DUMMYFUNCTION("""COMPUTED_VALUE"""),"預算編製、計算單位")</f>
        <v>預算編製、計算單位</v>
      </c>
      <c r="L1" s="3" t="str">
        <f>IFERROR(__xludf.DUMMYFUNCTION("""COMPUTED_VALUE"""),"預算歸屬單位")</f>
        <v>預算歸屬單位</v>
      </c>
      <c r="M1" s="3" t="str">
        <f>IFERROR(__xludf.DUMMYFUNCTION("""COMPUTED_VALUE"""),"備註")</f>
        <v>備註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B2" s="3">
        <f>IFERROR(__xludf.DUMMYFUNCTION("""COMPUTED_VALUE"""),1.0)</f>
        <v>1</v>
      </c>
      <c r="C2" s="3" t="str">
        <f>IFERROR(__xludf.DUMMYFUNCTION("""COMPUTED_VALUE"""),"人事費用")</f>
        <v>人事費用</v>
      </c>
      <c r="D2" s="3" t="str">
        <f>IFERROR(__xludf.DUMMYFUNCTION("""COMPUTED_VALUE"""),"iCHEF+QLR")</f>
        <v>iCHEF+QLR</v>
      </c>
      <c r="E2" s="132" t="str">
        <f>IFERROR(__xludf.DUMMYFUNCTION("""COMPUTED_VALUE"""),"6x1001")</f>
        <v>6x1001</v>
      </c>
      <c r="F2" s="3" t="str">
        <f>IFERROR(__xludf.DUMMYFUNCTION("""COMPUTED_VALUE"""),"薪資費用")</f>
        <v>薪資費用</v>
      </c>
      <c r="G2" s="3" t="str">
        <f>IFERROR(__xludf.DUMMYFUNCTION("""COMPUTED_VALUE"""),"本薪")</f>
        <v>本薪</v>
      </c>
      <c r="H2" s="3" t="str">
        <f>IFERROR(__xludf.DUMMYFUNCTION("""COMPUTED_VALUE"""),"薪資")</f>
        <v>薪資</v>
      </c>
      <c r="I2" s="3"/>
      <c r="J2" s="3"/>
      <c r="K2" s="3" t="str">
        <f>IFERROR(__xludf.DUMMYFUNCTION("""COMPUTED_VALUE"""),"管理中心提供薪資，各專業中心依人員配置編列")</f>
        <v>管理中心提供薪資，各專業中心依人員配置編列</v>
      </c>
      <c r="L2" s="3" t="str">
        <f>IFERROR(__xludf.DUMMYFUNCTION("""COMPUTED_VALUE"""),"各專業中心")</f>
        <v>各專業中心</v>
      </c>
      <c r="M2" s="3" t="str">
        <f>IFERROR(__xludf.DUMMYFUNCTION("""COMPUTED_VALUE"""),"金額由 HR 計算")</f>
        <v>金額由 HR 計算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B3" s="3">
        <f>IFERROR(__xludf.DUMMYFUNCTION("""COMPUTED_VALUE"""),2.0)</f>
        <v>2</v>
      </c>
      <c r="C3" s="3" t="str">
        <f>IFERROR(__xludf.DUMMYFUNCTION("""COMPUTED_VALUE"""),"人事費用")</f>
        <v>人事費用</v>
      </c>
      <c r="D3" s="3" t="str">
        <f>IFERROR(__xludf.DUMMYFUNCTION("""COMPUTED_VALUE"""),"iCHEF+QLR")</f>
        <v>iCHEF+QLR</v>
      </c>
      <c r="E3" s="132" t="str">
        <f>IFERROR(__xludf.DUMMYFUNCTION("""COMPUTED_VALUE"""),"6x27")</f>
        <v>6x27</v>
      </c>
      <c r="F3" s="3" t="str">
        <f>IFERROR(__xludf.DUMMYFUNCTION("""COMPUTED_VALUE"""),"伙食費")</f>
        <v>伙食費</v>
      </c>
      <c r="G3" s="3" t="str">
        <f>IFERROR(__xludf.DUMMYFUNCTION("""COMPUTED_VALUE"""),"伙食費")</f>
        <v>伙食費</v>
      </c>
      <c r="H3" s="3" t="str">
        <f>IFERROR(__xludf.DUMMYFUNCTION("""COMPUTED_VALUE"""),"伙食費")</f>
        <v>伙食費</v>
      </c>
      <c r="I3" s="3"/>
      <c r="J3" s="3"/>
      <c r="K3" s="3" t="str">
        <f>IFERROR(__xludf.DUMMYFUNCTION("""COMPUTED_VALUE"""),"管理中心提供薪資，各專業中心依人員配置編列")</f>
        <v>管理中心提供薪資，各專業中心依人員配置編列</v>
      </c>
      <c r="L3" s="3" t="str">
        <f>IFERROR(__xludf.DUMMYFUNCTION("""COMPUTED_VALUE"""),"各專業中心")</f>
        <v>各專業中心</v>
      </c>
      <c r="M3" s="3" t="str">
        <f>IFERROR(__xludf.DUMMYFUNCTION("""COMPUTED_VALUE"""),"金額由 HR 計算")</f>
        <v>金額由 HR 計算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B4" s="3">
        <f>IFERROR(__xludf.DUMMYFUNCTION("""COMPUTED_VALUE"""),3.0)</f>
        <v>3</v>
      </c>
      <c r="C4" s="3" t="str">
        <f>IFERROR(__xludf.DUMMYFUNCTION("""COMPUTED_VALUE"""),"人事費用")</f>
        <v>人事費用</v>
      </c>
      <c r="D4" s="3" t="str">
        <f>IFERROR(__xludf.DUMMYFUNCTION("""COMPUTED_VALUE"""),"iCHEF+QLR")</f>
        <v>iCHEF+QLR</v>
      </c>
      <c r="E4" s="132" t="str">
        <f>IFERROR(__xludf.DUMMYFUNCTION("""COMPUTED_VALUE"""),"6x1009")</f>
        <v>6x1009</v>
      </c>
      <c r="F4" s="3" t="str">
        <f>IFERROR(__xludf.DUMMYFUNCTION("""COMPUTED_VALUE"""),"薪資費用")</f>
        <v>薪資費用</v>
      </c>
      <c r="G4" s="3" t="str">
        <f>IFERROR(__xludf.DUMMYFUNCTION("""COMPUTED_VALUE"""),"主管津貼")</f>
        <v>主管津貼</v>
      </c>
      <c r="H4" s="3" t="str">
        <f>IFERROR(__xludf.DUMMYFUNCTION("""COMPUTED_VALUE"""),"主管津貼")</f>
        <v>主管津貼</v>
      </c>
      <c r="I4" s="3"/>
      <c r="J4" s="3"/>
      <c r="K4" s="3" t="str">
        <f>IFERROR(__xludf.DUMMYFUNCTION("""COMPUTED_VALUE"""),"管理中心提供薪資，各專業中心依人員配置編列")</f>
        <v>管理中心提供薪資，各專業中心依人員配置編列</v>
      </c>
      <c r="L4" s="3" t="str">
        <f>IFERROR(__xludf.DUMMYFUNCTION("""COMPUTED_VALUE"""),"各專業中心")</f>
        <v>各專業中心</v>
      </c>
      <c r="M4" s="3" t="str">
        <f>IFERROR(__xludf.DUMMYFUNCTION("""COMPUTED_VALUE"""),"金額由 HR 計算")</f>
        <v>金額由 HR 計算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B5" s="3">
        <f>IFERROR(__xludf.DUMMYFUNCTION("""COMPUTED_VALUE"""),4.0)</f>
        <v>4</v>
      </c>
      <c r="C5" s="3" t="str">
        <f>IFERROR(__xludf.DUMMYFUNCTION("""COMPUTED_VALUE"""),"人事費用")</f>
        <v>人事費用</v>
      </c>
      <c r="D5" s="3" t="str">
        <f>IFERROR(__xludf.DUMMYFUNCTION("""COMPUTED_VALUE"""),"iCHEF+QLR")</f>
        <v>iCHEF+QLR</v>
      </c>
      <c r="E5" s="132" t="str">
        <f>IFERROR(__xludf.DUMMYFUNCTION("""COMPUTED_VALUE"""),"6x1003")</f>
        <v>6x1003</v>
      </c>
      <c r="F5" s="3" t="str">
        <f>IFERROR(__xludf.DUMMYFUNCTION("""COMPUTED_VALUE"""),"薪資費用")</f>
        <v>薪資費用</v>
      </c>
      <c r="G5" s="3" t="str">
        <f>IFERROR(__xludf.DUMMYFUNCTION("""COMPUTED_VALUE"""),"加班費")</f>
        <v>加班費</v>
      </c>
      <c r="H5" s="3" t="str">
        <f>IFERROR(__xludf.DUMMYFUNCTION("""COMPUTED_VALUE"""),"加班費")</f>
        <v>加班費</v>
      </c>
      <c r="I5" s="3"/>
      <c r="J5" s="3"/>
      <c r="K5" s="3" t="str">
        <f>IFERROR(__xludf.DUMMYFUNCTION("""COMPUTED_VALUE"""),"管理中心提供薪資，各專業中心依人員配置編列")</f>
        <v>管理中心提供薪資，各專業中心依人員配置編列</v>
      </c>
      <c r="L5" s="3" t="str">
        <f>IFERROR(__xludf.DUMMYFUNCTION("""COMPUTED_VALUE"""),"各專業中心")</f>
        <v>各專業中心</v>
      </c>
      <c r="M5" s="3" t="str">
        <f>IFERROR(__xludf.DUMMYFUNCTION("""COMPUTED_VALUE"""),"金額由 HR 計算")</f>
        <v>金額由 HR 計算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B6" s="3">
        <f>IFERROR(__xludf.DUMMYFUNCTION("""COMPUTED_VALUE"""),5.0)</f>
        <v>5</v>
      </c>
      <c r="C6" s="3" t="str">
        <f>IFERROR(__xludf.DUMMYFUNCTION("""COMPUTED_VALUE"""),"人事費用")</f>
        <v>人事費用</v>
      </c>
      <c r="D6" s="3" t="str">
        <f>IFERROR(__xludf.DUMMYFUNCTION("""COMPUTED_VALUE"""),"iCHEF+QLR")</f>
        <v>iCHEF+QLR</v>
      </c>
      <c r="E6" s="132" t="str">
        <f>IFERROR(__xludf.DUMMYFUNCTION("""COMPUTED_VALUE"""),"6x1004")</f>
        <v>6x1004</v>
      </c>
      <c r="F6" s="3" t="str">
        <f>IFERROR(__xludf.DUMMYFUNCTION("""COMPUTED_VALUE"""),"薪資費用")</f>
        <v>薪資費用</v>
      </c>
      <c r="G6" s="3" t="str">
        <f>IFERROR(__xludf.DUMMYFUNCTION("""COMPUTED_VALUE"""),"退休金")</f>
        <v>退休金</v>
      </c>
      <c r="H6" s="3" t="str">
        <f>IFERROR(__xludf.DUMMYFUNCTION("""COMPUTED_VALUE"""),"退休金")</f>
        <v>退休金</v>
      </c>
      <c r="I6" s="3"/>
      <c r="J6" s="3"/>
      <c r="K6" s="3" t="str">
        <f>IFERROR(__xludf.DUMMYFUNCTION("""COMPUTED_VALUE"""),"管理中心提供薪資，各專業中心依人員配置編列")</f>
        <v>管理中心提供薪資，各專業中心依人員配置編列</v>
      </c>
      <c r="L6" s="3" t="str">
        <f>IFERROR(__xludf.DUMMYFUNCTION("""COMPUTED_VALUE"""),"各專業中心")</f>
        <v>各專業中心</v>
      </c>
      <c r="M6" s="3" t="str">
        <f>IFERROR(__xludf.DUMMYFUNCTION("""COMPUTED_VALUE"""),"金額由 HR 計算")</f>
        <v>金額由 HR 計算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B7" s="3">
        <f>IFERROR(__xludf.DUMMYFUNCTION("""COMPUTED_VALUE"""),6.0)</f>
        <v>6</v>
      </c>
      <c r="C7" s="3" t="str">
        <f>IFERROR(__xludf.DUMMYFUNCTION("""COMPUTED_VALUE"""),"人事費用")</f>
        <v>人事費用</v>
      </c>
      <c r="D7" s="3" t="str">
        <f>IFERROR(__xludf.DUMMYFUNCTION("""COMPUTED_VALUE"""),"iCHEF+QLR")</f>
        <v>iCHEF+QLR</v>
      </c>
      <c r="E7" s="132" t="str">
        <f>IFERROR(__xludf.DUMMYFUNCTION("""COMPUTED_VALUE"""),"6x1901")</f>
        <v>6x1901</v>
      </c>
      <c r="F7" s="3" t="str">
        <f>IFERROR(__xludf.DUMMYFUNCTION("""COMPUTED_VALUE"""),"保險費")</f>
        <v>保險費</v>
      </c>
      <c r="G7" s="3" t="str">
        <f>IFERROR(__xludf.DUMMYFUNCTION("""COMPUTED_VALUE"""),"健保費")</f>
        <v>健保費</v>
      </c>
      <c r="H7" s="3" t="str">
        <f>IFERROR(__xludf.DUMMYFUNCTION("""COMPUTED_VALUE"""),"健保費")</f>
        <v>健保費</v>
      </c>
      <c r="I7" s="3"/>
      <c r="J7" s="3"/>
      <c r="K7" s="3" t="str">
        <f>IFERROR(__xludf.DUMMYFUNCTION("""COMPUTED_VALUE"""),"管理中心提供薪資，各專業中心依人員配置編列")</f>
        <v>管理中心提供薪資，各專業中心依人員配置編列</v>
      </c>
      <c r="L7" s="3" t="str">
        <f>IFERROR(__xludf.DUMMYFUNCTION("""COMPUTED_VALUE"""),"各專業中心")</f>
        <v>各專業中心</v>
      </c>
      <c r="M7" s="3" t="str">
        <f>IFERROR(__xludf.DUMMYFUNCTION("""COMPUTED_VALUE"""),"金額由 HR 計算")</f>
        <v>金額由 HR 計算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B8" s="3">
        <f>IFERROR(__xludf.DUMMYFUNCTION("""COMPUTED_VALUE"""),7.0)</f>
        <v>7</v>
      </c>
      <c r="C8" s="3" t="str">
        <f>IFERROR(__xludf.DUMMYFUNCTION("""COMPUTED_VALUE"""),"人事費用")</f>
        <v>人事費用</v>
      </c>
      <c r="D8" s="3" t="str">
        <f>IFERROR(__xludf.DUMMYFUNCTION("""COMPUTED_VALUE"""),"iCHEF+QLR")</f>
        <v>iCHEF+QLR</v>
      </c>
      <c r="E8" s="132" t="str">
        <f>IFERROR(__xludf.DUMMYFUNCTION("""COMPUTED_VALUE"""),"6x1902")</f>
        <v>6x1902</v>
      </c>
      <c r="F8" s="3" t="str">
        <f>IFERROR(__xludf.DUMMYFUNCTION("""COMPUTED_VALUE"""),"保險費")</f>
        <v>保險費</v>
      </c>
      <c r="G8" s="3" t="str">
        <f>IFERROR(__xludf.DUMMYFUNCTION("""COMPUTED_VALUE"""),"勞保費")</f>
        <v>勞保費</v>
      </c>
      <c r="H8" s="3" t="str">
        <f>IFERROR(__xludf.DUMMYFUNCTION("""COMPUTED_VALUE"""),"勞保費")</f>
        <v>勞保費</v>
      </c>
      <c r="I8" s="3"/>
      <c r="J8" s="3"/>
      <c r="K8" s="3" t="str">
        <f>IFERROR(__xludf.DUMMYFUNCTION("""COMPUTED_VALUE"""),"管理中心提供薪資，各專業中心依人員配置編列")</f>
        <v>管理中心提供薪資，各專業中心依人員配置編列</v>
      </c>
      <c r="L8" s="3" t="str">
        <f>IFERROR(__xludf.DUMMYFUNCTION("""COMPUTED_VALUE"""),"各專業中心")</f>
        <v>各專業中心</v>
      </c>
      <c r="M8" s="3" t="str">
        <f>IFERROR(__xludf.DUMMYFUNCTION("""COMPUTED_VALUE"""),"金額由 HR 計算")</f>
        <v>金額由 HR 計算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B9" s="3">
        <f>IFERROR(__xludf.DUMMYFUNCTION("""COMPUTED_VALUE"""),8.0)</f>
        <v>8</v>
      </c>
      <c r="C9" s="3" t="str">
        <f>IFERROR(__xludf.DUMMYFUNCTION("""COMPUTED_VALUE"""),"人事費用")</f>
        <v>人事費用</v>
      </c>
      <c r="D9" s="3" t="str">
        <f>IFERROR(__xludf.DUMMYFUNCTION("""COMPUTED_VALUE"""),"iCHEF+QLR")</f>
        <v>iCHEF+QLR</v>
      </c>
      <c r="E9" s="132" t="str">
        <f>IFERROR(__xludf.DUMMYFUNCTION("""COMPUTED_VALUE"""),"6x1005")</f>
        <v>6x1005</v>
      </c>
      <c r="F9" s="3" t="str">
        <f>IFERROR(__xludf.DUMMYFUNCTION("""COMPUTED_VALUE"""),"薪資費用")</f>
        <v>薪資費用</v>
      </c>
      <c r="G9" s="3" t="str">
        <f>IFERROR(__xludf.DUMMYFUNCTION("""COMPUTED_VALUE"""),"年終獎金")</f>
        <v>年終獎金</v>
      </c>
      <c r="H9" s="3" t="str">
        <f>IFERROR(__xludf.DUMMYFUNCTION("""COMPUTED_VALUE"""),"第十三個月")</f>
        <v>第十三個月</v>
      </c>
      <c r="I9" s="3"/>
      <c r="J9" s="3"/>
      <c r="K9" s="3" t="str">
        <f>IFERROR(__xludf.DUMMYFUNCTION("""COMPUTED_VALUE"""),"管理中心提供薪資，各專業中心依人員配置編列")</f>
        <v>管理中心提供薪資，各專業中心依人員配置編列</v>
      </c>
      <c r="L9" s="3" t="str">
        <f>IFERROR(__xludf.DUMMYFUNCTION("""COMPUTED_VALUE"""),"各專業中心")</f>
        <v>各專業中心</v>
      </c>
      <c r="M9" s="3" t="str">
        <f>IFERROR(__xludf.DUMMYFUNCTION("""COMPUTED_VALUE"""),"金額由 HR 計算")</f>
        <v>金額由 HR 計算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B10" s="3">
        <f>IFERROR(__xludf.DUMMYFUNCTION("""COMPUTED_VALUE"""),9.0)</f>
        <v>9</v>
      </c>
      <c r="C10" s="3" t="str">
        <f>IFERROR(__xludf.DUMMYFUNCTION("""COMPUTED_VALUE"""),"人事費用")</f>
        <v>人事費用</v>
      </c>
      <c r="D10" s="3" t="str">
        <f>IFERROR(__xludf.DUMMYFUNCTION("""COMPUTED_VALUE"""),"iCHEF+QLR")</f>
        <v>iCHEF+QLR</v>
      </c>
      <c r="E10" s="132" t="str">
        <f>IFERROR(__xludf.DUMMYFUNCTION("""COMPUTED_VALUE"""),"6x1006")</f>
        <v>6x1006</v>
      </c>
      <c r="F10" s="3" t="str">
        <f>IFERROR(__xludf.DUMMYFUNCTION("""COMPUTED_VALUE"""),"薪資費用")</f>
        <v>薪資費用</v>
      </c>
      <c r="G10" s="3" t="str">
        <f>IFERROR(__xludf.DUMMYFUNCTION("""COMPUTED_VALUE"""),"績效獎金")</f>
        <v>績效獎金</v>
      </c>
      <c r="H10" s="3" t="str">
        <f>IFERROR(__xludf.DUMMYFUNCTION("""COMPUTED_VALUE"""),"團隊層級獎金 - IC職")</f>
        <v>團隊層級獎金 - IC職</v>
      </c>
      <c r="I10" s="133">
        <f>IFERROR(__xludf.DUMMYFUNCTION("""COMPUTED_VALUE"""),1667.0)</f>
        <v>1667</v>
      </c>
      <c r="J10" s="133">
        <f>IFERROR(__xludf.DUMMYFUNCTION("""COMPUTED_VALUE"""),20000.0)</f>
        <v>20000</v>
      </c>
      <c r="K10" s="3" t="str">
        <f>IFERROR(__xludf.DUMMYFUNCTION("""COMPUTED_VALUE"""),"各專業中心")</f>
        <v>各專業中心</v>
      </c>
      <c r="L10" s="3" t="str">
        <f>IFERROR(__xludf.DUMMYFUNCTION("""COMPUTED_VALUE"""),"各專業中心")</f>
        <v>各專業中心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B11" s="3">
        <f>IFERROR(__xludf.DUMMYFUNCTION("""COMPUTED_VALUE"""),10.0)</f>
        <v>10</v>
      </c>
      <c r="C11" s="3" t="str">
        <f>IFERROR(__xludf.DUMMYFUNCTION("""COMPUTED_VALUE"""),"人事費用")</f>
        <v>人事費用</v>
      </c>
      <c r="D11" s="3" t="str">
        <f>IFERROR(__xludf.DUMMYFUNCTION("""COMPUTED_VALUE"""),"iCHEF+QLR")</f>
        <v>iCHEF+QLR</v>
      </c>
      <c r="E11" s="132" t="str">
        <f>IFERROR(__xludf.DUMMYFUNCTION("""COMPUTED_VALUE"""),"6x1006")</f>
        <v>6x1006</v>
      </c>
      <c r="F11" s="3" t="str">
        <f>IFERROR(__xludf.DUMMYFUNCTION("""COMPUTED_VALUE"""),"薪資費用")</f>
        <v>薪資費用</v>
      </c>
      <c r="G11" s="3" t="str">
        <f>IFERROR(__xludf.DUMMYFUNCTION("""COMPUTED_VALUE"""),"績效獎金")</f>
        <v>績效獎金</v>
      </c>
      <c r="H11" s="3" t="str">
        <f>IFERROR(__xludf.DUMMYFUNCTION("""COMPUTED_VALUE"""),"團隊層級獎金 - 一級主管")</f>
        <v>團隊層級獎金 - 一級主管</v>
      </c>
      <c r="I11" s="133">
        <f>IFERROR(__xludf.DUMMYFUNCTION("""COMPUTED_VALUE"""),500.0)</f>
        <v>500</v>
      </c>
      <c r="J11" s="133">
        <f>IFERROR(__xludf.DUMMYFUNCTION("""COMPUTED_VALUE"""),6000.0)</f>
        <v>6000</v>
      </c>
      <c r="K11" s="3" t="str">
        <f>IFERROR(__xludf.DUMMYFUNCTION("""COMPUTED_VALUE"""),"各專業中心")</f>
        <v>各專業中心</v>
      </c>
      <c r="L11" s="3" t="str">
        <f>IFERROR(__xludf.DUMMYFUNCTION("""COMPUTED_VALUE"""),"各專業中心")</f>
        <v>各專業中心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B12" s="3">
        <f>IFERROR(__xludf.DUMMYFUNCTION("""COMPUTED_VALUE"""),11.0)</f>
        <v>11</v>
      </c>
      <c r="C12" s="3" t="str">
        <f>IFERROR(__xludf.DUMMYFUNCTION("""COMPUTED_VALUE"""),"人事費用")</f>
        <v>人事費用</v>
      </c>
      <c r="D12" s="3" t="str">
        <f>IFERROR(__xludf.DUMMYFUNCTION("""COMPUTED_VALUE"""),"iCHEF+QLR")</f>
        <v>iCHEF+QLR</v>
      </c>
      <c r="E12" s="132" t="str">
        <f>IFERROR(__xludf.DUMMYFUNCTION("""COMPUTED_VALUE"""),"6x1006")</f>
        <v>6x1006</v>
      </c>
      <c r="F12" s="3" t="str">
        <f>IFERROR(__xludf.DUMMYFUNCTION("""COMPUTED_VALUE"""),"薪資費用")</f>
        <v>薪資費用</v>
      </c>
      <c r="G12" s="3" t="str">
        <f>IFERROR(__xludf.DUMMYFUNCTION("""COMPUTED_VALUE"""),"績效獎金")</f>
        <v>績效獎金</v>
      </c>
      <c r="H12" s="3" t="str">
        <f>IFERROR(__xludf.DUMMYFUNCTION("""COMPUTED_VALUE"""),"團隊層級獎金 - 二級主管")</f>
        <v>團隊層級獎金 - 二級主管</v>
      </c>
      <c r="I12" s="133">
        <f>IFERROR(__xludf.DUMMYFUNCTION("""COMPUTED_VALUE"""),834.0)</f>
        <v>834</v>
      </c>
      <c r="J12" s="133">
        <f>IFERROR(__xludf.DUMMYFUNCTION("""COMPUTED_VALUE"""),10000.0)</f>
        <v>10000</v>
      </c>
      <c r="K12" s="3" t="str">
        <f>IFERROR(__xludf.DUMMYFUNCTION("""COMPUTED_VALUE"""),"各專業中心")</f>
        <v>各專業中心</v>
      </c>
      <c r="L12" s="3" t="str">
        <f>IFERROR(__xludf.DUMMYFUNCTION("""COMPUTED_VALUE"""),"各專業中心")</f>
        <v>各專業中心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B13" s="3">
        <f>IFERROR(__xludf.DUMMYFUNCTION("""COMPUTED_VALUE"""),12.0)</f>
        <v>12</v>
      </c>
      <c r="C13" s="3" t="str">
        <f>IFERROR(__xludf.DUMMYFUNCTION("""COMPUTED_VALUE"""),"人事費用")</f>
        <v>人事費用</v>
      </c>
      <c r="D13" s="3" t="str">
        <f>IFERROR(__xludf.DUMMYFUNCTION("""COMPUTED_VALUE"""),"iCHEF+QLR")</f>
        <v>iCHEF+QLR</v>
      </c>
      <c r="E13" s="132" t="str">
        <f>IFERROR(__xludf.DUMMYFUNCTION("""COMPUTED_VALUE"""),"6x1006")</f>
        <v>6x1006</v>
      </c>
      <c r="F13" s="3" t="str">
        <f>IFERROR(__xludf.DUMMYFUNCTION("""COMPUTED_VALUE"""),"薪資費用")</f>
        <v>薪資費用</v>
      </c>
      <c r="G13" s="3" t="str">
        <f>IFERROR(__xludf.DUMMYFUNCTION("""COMPUTED_VALUE"""),"績效獎金")</f>
        <v>績效獎金</v>
      </c>
      <c r="H13" s="3" t="str">
        <f>IFERROR(__xludf.DUMMYFUNCTION("""COMPUTED_VALUE"""),"團隊層級獎金 - 三級主管")</f>
        <v>團隊層級獎金 - 三級主管</v>
      </c>
      <c r="I13" s="133">
        <f>IFERROR(__xludf.DUMMYFUNCTION("""COMPUTED_VALUE"""),1167.0)</f>
        <v>1167</v>
      </c>
      <c r="J13" s="133">
        <f>IFERROR(__xludf.DUMMYFUNCTION("""COMPUTED_VALUE"""),14000.0)</f>
        <v>14000</v>
      </c>
      <c r="K13" s="3" t="str">
        <f>IFERROR(__xludf.DUMMYFUNCTION("""COMPUTED_VALUE"""),"各專業中心")</f>
        <v>各專業中心</v>
      </c>
      <c r="L13" s="3" t="str">
        <f>IFERROR(__xludf.DUMMYFUNCTION("""COMPUTED_VALUE"""),"各專業中心")</f>
        <v>各專業中心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B14" s="3">
        <f>IFERROR(__xludf.DUMMYFUNCTION("""COMPUTED_VALUE"""),13.0)</f>
        <v>13</v>
      </c>
      <c r="C14" s="3" t="str">
        <f>IFERROR(__xludf.DUMMYFUNCTION("""COMPUTED_VALUE"""),"人事費用")</f>
        <v>人事費用</v>
      </c>
      <c r="D14" s="3" t="str">
        <f>IFERROR(__xludf.DUMMYFUNCTION("""COMPUTED_VALUE"""),"iCHEF+QLR")</f>
        <v>iCHEF+QLR</v>
      </c>
      <c r="E14" s="132" t="str">
        <f>IFERROR(__xludf.DUMMYFUNCTION("""COMPUTED_VALUE"""),"6x1095")</f>
        <v>6x1095</v>
      </c>
      <c r="F14" s="3" t="str">
        <f>IFERROR(__xludf.DUMMYFUNCTION("""COMPUTED_VALUE"""),"薪資費用")</f>
        <v>薪資費用</v>
      </c>
      <c r="G14" s="3" t="str">
        <f>IFERROR(__xludf.DUMMYFUNCTION("""COMPUTED_VALUE"""),"公司層級獎金")</f>
        <v>公司層級獎金</v>
      </c>
      <c r="H14" s="3" t="str">
        <f>IFERROR(__xludf.DUMMYFUNCTION("""COMPUTED_VALUE"""),"公司層級獎金")</f>
        <v>公司層級獎金</v>
      </c>
      <c r="I14" s="3"/>
      <c r="J14" s="133" t="str">
        <f>IFERROR(__xludf.DUMMYFUNCTION("""COMPUTED_VALUE"""),"2.5% of ARR")</f>
        <v>2.5% of ARR</v>
      </c>
      <c r="K14" s="3" t="str">
        <f>IFERROR(__xludf.DUMMYFUNCTION("""COMPUTED_VALUE"""),"CEO")</f>
        <v>CEO</v>
      </c>
      <c r="L14" s="3" t="str">
        <f>IFERROR(__xludf.DUMMYFUNCTION("""COMPUTED_VALUE"""),"CEO")</f>
        <v>CEO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B15" s="3">
        <f>IFERROR(__xludf.DUMMYFUNCTION("""COMPUTED_VALUE"""),14.0)</f>
        <v>14</v>
      </c>
      <c r="C15" s="3" t="str">
        <f>IFERROR(__xludf.DUMMYFUNCTION("""COMPUTED_VALUE"""),"非人事費用")</f>
        <v>非人事費用</v>
      </c>
      <c r="D15" s="3" t="str">
        <f>IFERROR(__xludf.DUMMYFUNCTION("""COMPUTED_VALUE"""),"iCHEF")</f>
        <v>iCHEF</v>
      </c>
      <c r="E15" s="132" t="str">
        <f>IFERROR(__xludf.DUMMYFUNCTION("""COMPUTED_VALUE"""),"6x3299")</f>
        <v>6x3299</v>
      </c>
      <c r="F15" s="3" t="str">
        <f>IFERROR(__xludf.DUMMYFUNCTION("""COMPUTED_VALUE"""),"其他費用")</f>
        <v>其他費用</v>
      </c>
      <c r="G15" s="3" t="str">
        <f>IFERROR(__xludf.DUMMYFUNCTION("""COMPUTED_VALUE"""),"其他")</f>
        <v>其他</v>
      </c>
      <c r="H15" s="3" t="str">
        <f>IFERROR(__xludf.DUMMYFUNCTION("""COMPUTED_VALUE"""),"季度聚餐")</f>
        <v>季度聚餐</v>
      </c>
      <c r="I15" s="133">
        <f>IFERROR(__xludf.DUMMYFUNCTION("""COMPUTED_VALUE"""),334.0)</f>
        <v>334</v>
      </c>
      <c r="J15" s="133">
        <f>IFERROR(__xludf.DUMMYFUNCTION("""COMPUTED_VALUE"""),4000.0)</f>
        <v>4000</v>
      </c>
      <c r="K15" s="3" t="str">
        <f>IFERROR(__xludf.DUMMYFUNCTION("""COMPUTED_VALUE"""),"各專業中心")</f>
        <v>各專業中心</v>
      </c>
      <c r="L15" s="3" t="str">
        <f>IFERROR(__xludf.DUMMYFUNCTION("""COMPUTED_VALUE"""),"各專業中心")</f>
        <v>各專業中心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B16" s="3">
        <f>IFERROR(__xludf.DUMMYFUNCTION("""COMPUTED_VALUE"""),15.0)</f>
        <v>15</v>
      </c>
      <c r="C16" s="3" t="str">
        <f>IFERROR(__xludf.DUMMYFUNCTION("""COMPUTED_VALUE"""),"非人事費用")</f>
        <v>非人事費用</v>
      </c>
      <c r="D16" s="3" t="str">
        <f>IFERROR(__xludf.DUMMYFUNCTION("""COMPUTED_VALUE"""),"QLR")</f>
        <v>QLR</v>
      </c>
      <c r="E16" s="132" t="str">
        <f>IFERROR(__xludf.DUMMYFUNCTION("""COMPUTED_VALUE"""),"6x3299")</f>
        <v>6x3299</v>
      </c>
      <c r="F16" s="3" t="str">
        <f>IFERROR(__xludf.DUMMYFUNCTION("""COMPUTED_VALUE"""),"其他費用")</f>
        <v>其他費用</v>
      </c>
      <c r="G16" s="3" t="str">
        <f>IFERROR(__xludf.DUMMYFUNCTION("""COMPUTED_VALUE"""),"其他")</f>
        <v>其他</v>
      </c>
      <c r="H16" s="3" t="str">
        <f>IFERROR(__xludf.DUMMYFUNCTION("""COMPUTED_VALUE"""),"體驗基金")</f>
        <v>體驗基金</v>
      </c>
      <c r="I16" s="133">
        <f>IFERROR(__xludf.DUMMYFUNCTION("""COMPUTED_VALUE"""),334.0)</f>
        <v>334</v>
      </c>
      <c r="J16" s="133">
        <f>IFERROR(__xludf.DUMMYFUNCTION("""COMPUTED_VALUE"""),4000.0)</f>
        <v>4000</v>
      </c>
      <c r="K16" s="3" t="str">
        <f>IFERROR(__xludf.DUMMYFUNCTION("""COMPUTED_VALUE"""),"各專業中心")</f>
        <v>各專業中心</v>
      </c>
      <c r="L16" s="3" t="str">
        <f>IFERROR(__xludf.DUMMYFUNCTION("""COMPUTED_VALUE"""),"各專業中心")</f>
        <v>各專業中心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B17" s="3">
        <f>IFERROR(__xludf.DUMMYFUNCTION("""COMPUTED_VALUE"""),16.0)</f>
        <v>16</v>
      </c>
      <c r="C17" s="3" t="str">
        <f>IFERROR(__xludf.DUMMYFUNCTION("""COMPUTED_VALUE"""),"非人事費用")</f>
        <v>非人事費用</v>
      </c>
      <c r="D17" s="3" t="str">
        <f>IFERROR(__xludf.DUMMYFUNCTION("""COMPUTED_VALUE"""),"iCHEF")</f>
        <v>iCHEF</v>
      </c>
      <c r="E17" s="132" t="str">
        <f>IFERROR(__xludf.DUMMYFUNCTION("""COMPUTED_VALUE"""),"613299
612999")</f>
        <v>613299
612999</v>
      </c>
      <c r="F17" s="3" t="str">
        <f>IFERROR(__xludf.DUMMYFUNCTION("""COMPUTED_VALUE"""),"其他費用
勞務費")</f>
        <v>其他費用
勞務費</v>
      </c>
      <c r="G17" s="3" t="str">
        <f>IFERROR(__xludf.DUMMYFUNCTION("""COMPUTED_VALUE"""),"其他
其他")</f>
        <v>其他
其他</v>
      </c>
      <c r="H17" s="3" t="str">
        <f>IFERROR(__xludf.DUMMYFUNCTION("""COMPUTED_VALUE"""),"健康檢查 (在職滿一年)")</f>
        <v>健康檢查 (在職滿一年)</v>
      </c>
      <c r="I17" s="133">
        <f>IFERROR(__xludf.DUMMYFUNCTION("""COMPUTED_VALUE"""),250.0)</f>
        <v>250</v>
      </c>
      <c r="J17" s="133">
        <f>IFERROR(__xludf.DUMMYFUNCTION("""COMPUTED_VALUE"""),3000.0)</f>
        <v>3000</v>
      </c>
      <c r="K17" s="3" t="str">
        <f>IFERROR(__xludf.DUMMYFUNCTION("""COMPUTED_VALUE"""),"各專業中心")</f>
        <v>各專業中心</v>
      </c>
      <c r="L17" s="3" t="str">
        <f>IFERROR(__xludf.DUMMYFUNCTION("""COMPUTED_VALUE"""),"各專業中心")</f>
        <v>各專業中心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B18" s="3">
        <f>IFERROR(__xludf.DUMMYFUNCTION("""COMPUTED_VALUE"""),17.0)</f>
        <v>17</v>
      </c>
      <c r="C18" s="3" t="str">
        <f>IFERROR(__xludf.DUMMYFUNCTION("""COMPUTED_VALUE"""),"非人事費用")</f>
        <v>非人事費用</v>
      </c>
      <c r="D18" s="3" t="str">
        <f>IFERROR(__xludf.DUMMYFUNCTION("""COMPUTED_VALUE"""),"iCHEF")</f>
        <v>iCHEF</v>
      </c>
      <c r="E18" s="132" t="str">
        <f>IFERROR(__xludf.DUMMYFUNCTION("""COMPUTED_VALUE"""),"6x19")</f>
        <v>6x19</v>
      </c>
      <c r="F18" s="3" t="str">
        <f>IFERROR(__xludf.DUMMYFUNCTION("""COMPUTED_VALUE"""),"保險費")</f>
        <v>保險費</v>
      </c>
      <c r="G18" s="3" t="str">
        <f>IFERROR(__xludf.DUMMYFUNCTION("""COMPUTED_VALUE"""),"團體保險")</f>
        <v>團體保險</v>
      </c>
      <c r="H18" s="3" t="str">
        <f>IFERROR(__xludf.DUMMYFUNCTION("""COMPUTED_VALUE"""),"團體保險")</f>
        <v>團體保險</v>
      </c>
      <c r="I18" s="133">
        <f>IFERROR(__xludf.DUMMYFUNCTION("""COMPUTED_VALUE"""),135.0)</f>
        <v>135</v>
      </c>
      <c r="J18" s="133">
        <f>IFERROR(__xludf.DUMMYFUNCTION("""COMPUTED_VALUE"""),1625.0)</f>
        <v>1625</v>
      </c>
      <c r="K18" s="3" t="str">
        <f>IFERROR(__xludf.DUMMYFUNCTION("""COMPUTED_VALUE"""),"各專業中心")</f>
        <v>各專業中心</v>
      </c>
      <c r="L18" s="3" t="str">
        <f>IFERROR(__xludf.DUMMYFUNCTION("""COMPUTED_VALUE"""),"各專業中心")</f>
        <v>各專業中心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B19" s="3">
        <f>IFERROR(__xludf.DUMMYFUNCTION("""COMPUTED_VALUE"""),18.0)</f>
        <v>18</v>
      </c>
      <c r="C19" s="3" t="str">
        <f>IFERROR(__xludf.DUMMYFUNCTION("""COMPUTED_VALUE"""),"非人事費用")</f>
        <v>非人事費用</v>
      </c>
      <c r="D19" s="3" t="str">
        <f>IFERROR(__xludf.DUMMYFUNCTION("""COMPUTED_VALUE"""),"iCHEF")</f>
        <v>iCHEF</v>
      </c>
      <c r="E19" s="132" t="str">
        <f>IFERROR(__xludf.DUMMYFUNCTION("""COMPUTED_VALUE"""),"6x20")</f>
        <v>6x20</v>
      </c>
      <c r="F19" s="3" t="str">
        <f>IFERROR(__xludf.DUMMYFUNCTION("""COMPUTED_VALUE"""),"交際費")</f>
        <v>交際費</v>
      </c>
      <c r="G19" s="3" t="str">
        <f>IFERROR(__xludf.DUMMYFUNCTION("""COMPUTED_VALUE"""),"交際費")</f>
        <v>交際費</v>
      </c>
      <c r="H19" s="3" t="str">
        <f>IFERROR(__xludf.DUMMYFUNCTION("""COMPUTED_VALUE"""),"交際費 (CEO)")</f>
        <v>交際費 (CEO)</v>
      </c>
      <c r="I19" s="133">
        <f>IFERROR(__xludf.DUMMYFUNCTION("""COMPUTED_VALUE"""),10000.0)</f>
        <v>10000</v>
      </c>
      <c r="J19" s="133">
        <f>IFERROR(__xludf.DUMMYFUNCTION("""COMPUTED_VALUE"""),120000.0)</f>
        <v>120000</v>
      </c>
      <c r="K19" s="3" t="str">
        <f>IFERROR(__xludf.DUMMYFUNCTION("""COMPUTED_VALUE"""),"各專業中心")</f>
        <v>各專業中心</v>
      </c>
      <c r="L19" s="3" t="str">
        <f>IFERROR(__xludf.DUMMYFUNCTION("""COMPUTED_VALUE"""),"各專業中心")</f>
        <v>各專業中心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B20" s="3">
        <f>IFERROR(__xludf.DUMMYFUNCTION("""COMPUTED_VALUE"""),19.0)</f>
        <v>19</v>
      </c>
      <c r="C20" s="3" t="str">
        <f>IFERROR(__xludf.DUMMYFUNCTION("""COMPUTED_VALUE"""),"非人事費用")</f>
        <v>非人事費用</v>
      </c>
      <c r="D20" s="3" t="str">
        <f>IFERROR(__xludf.DUMMYFUNCTION("""COMPUTED_VALUE"""),"iCHEF+QLR")</f>
        <v>iCHEF+QLR</v>
      </c>
      <c r="E20" s="132" t="str">
        <f>IFERROR(__xludf.DUMMYFUNCTION("""COMPUTED_VALUE"""),"6x20")</f>
        <v>6x20</v>
      </c>
      <c r="F20" s="3" t="str">
        <f>IFERROR(__xludf.DUMMYFUNCTION("""COMPUTED_VALUE"""),"交際費")</f>
        <v>交際費</v>
      </c>
      <c r="G20" s="3" t="str">
        <f>IFERROR(__xludf.DUMMYFUNCTION("""COMPUTED_VALUE"""),"交際費")</f>
        <v>交際費</v>
      </c>
      <c r="H20" s="3" t="str">
        <f>IFERROR(__xludf.DUMMYFUNCTION("""COMPUTED_VALUE"""),"交際費 (一級主管)")</f>
        <v>交際費 (一級主管)</v>
      </c>
      <c r="I20" s="133">
        <f>IFERROR(__xludf.DUMMYFUNCTION("""COMPUTED_VALUE"""),8000.0)</f>
        <v>8000</v>
      </c>
      <c r="J20" s="133">
        <f>IFERROR(__xludf.DUMMYFUNCTION("""COMPUTED_VALUE"""),96000.0)</f>
        <v>96000</v>
      </c>
      <c r="K20" s="3" t="str">
        <f>IFERROR(__xludf.DUMMYFUNCTION("""COMPUTED_VALUE"""),"各專業中心")</f>
        <v>各專業中心</v>
      </c>
      <c r="L20" s="3" t="str">
        <f>IFERROR(__xludf.DUMMYFUNCTION("""COMPUTED_VALUE"""),"各專業中心")</f>
        <v>各專業中心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B21" s="3">
        <f>IFERROR(__xludf.DUMMYFUNCTION("""COMPUTED_VALUE"""),20.0)</f>
        <v>20</v>
      </c>
      <c r="C21" s="3" t="str">
        <f>IFERROR(__xludf.DUMMYFUNCTION("""COMPUTED_VALUE"""),"非人事費用")</f>
        <v>非人事費用</v>
      </c>
      <c r="D21" s="3" t="str">
        <f>IFERROR(__xludf.DUMMYFUNCTION("""COMPUTED_VALUE"""),"iCHEF+QLR")</f>
        <v>iCHEF+QLR</v>
      </c>
      <c r="E21" s="132" t="str">
        <f>IFERROR(__xludf.DUMMYFUNCTION("""COMPUTED_VALUE"""),"6x20")</f>
        <v>6x20</v>
      </c>
      <c r="F21" s="3" t="str">
        <f>IFERROR(__xludf.DUMMYFUNCTION("""COMPUTED_VALUE"""),"交際費")</f>
        <v>交際費</v>
      </c>
      <c r="G21" s="3" t="str">
        <f>IFERROR(__xludf.DUMMYFUNCTION("""COMPUTED_VALUE"""),"交際費")</f>
        <v>交際費</v>
      </c>
      <c r="H21" s="3" t="str">
        <f>IFERROR(__xludf.DUMMYFUNCTION("""COMPUTED_VALUE"""),"交際費 (二級主管)")</f>
        <v>交際費 (二級主管)</v>
      </c>
      <c r="I21" s="133">
        <f>IFERROR(__xludf.DUMMYFUNCTION("""COMPUTED_VALUE"""),3000.0)</f>
        <v>3000</v>
      </c>
      <c r="J21" s="133">
        <f>IFERROR(__xludf.DUMMYFUNCTION("""COMPUTED_VALUE"""),36000.0)</f>
        <v>36000</v>
      </c>
      <c r="K21" s="3" t="str">
        <f>IFERROR(__xludf.DUMMYFUNCTION("""COMPUTED_VALUE"""),"各專業中心")</f>
        <v>各專業中心</v>
      </c>
      <c r="L21" s="3" t="str">
        <f>IFERROR(__xludf.DUMMYFUNCTION("""COMPUTED_VALUE"""),"各專業中心")</f>
        <v>各專業中心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B22" s="3">
        <f>IFERROR(__xludf.DUMMYFUNCTION("""COMPUTED_VALUE"""),21.0)</f>
        <v>21</v>
      </c>
      <c r="C22" s="3" t="str">
        <f>IFERROR(__xludf.DUMMYFUNCTION("""COMPUTED_VALUE"""),"非人事費用")</f>
        <v>非人事費用</v>
      </c>
      <c r="D22" s="3" t="str">
        <f>IFERROR(__xludf.DUMMYFUNCTION("""COMPUTED_VALUE"""),"iCHEF+QLR")</f>
        <v>iCHEF+QLR</v>
      </c>
      <c r="E22" s="132" t="str">
        <f>IFERROR(__xludf.DUMMYFUNCTION("""COMPUTED_VALUE"""),"6x1302
6x1303")</f>
        <v>6x1302
6x1303</v>
      </c>
      <c r="F22" s="3" t="str">
        <f>IFERROR(__xludf.DUMMYFUNCTION("""COMPUTED_VALUE"""),"旅費
旅費")</f>
        <v>旅費
旅費</v>
      </c>
      <c r="G22" s="3" t="str">
        <f>IFERROR(__xludf.DUMMYFUNCTION("""COMPUTED_VALUE"""),"國內差旅費
國外差旅費")</f>
        <v>國內差旅費
國外差旅費</v>
      </c>
      <c r="H22" s="3" t="str">
        <f>IFERROR(__xludf.DUMMYFUNCTION("""COMPUTED_VALUE"""),"差旅費")</f>
        <v>差旅費</v>
      </c>
      <c r="I22" s="3"/>
      <c r="J22" s="3"/>
      <c r="K22" s="3" t="str">
        <f>IFERROR(__xludf.DUMMYFUNCTION("""COMPUTED_VALUE"""),"各專業中心")</f>
        <v>各專業中心</v>
      </c>
      <c r="L22" s="3" t="str">
        <f>IFERROR(__xludf.DUMMYFUNCTION("""COMPUTED_VALUE"""),"各專業中心")</f>
        <v>各專業中心</v>
      </c>
      <c r="M22" s="3" t="str">
        <f>IFERROR(__xludf.DUMMYFUNCTION("""COMPUTED_VALUE"""),"金額由各中心自行評估")</f>
        <v>金額由各中心自行評估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B23" s="3">
        <f>IFERROR(__xludf.DUMMYFUNCTION("""COMPUTED_VALUE"""),22.0)</f>
        <v>22</v>
      </c>
      <c r="C23" s="3" t="str">
        <f>IFERROR(__xludf.DUMMYFUNCTION("""COMPUTED_VALUE"""),"非人事費用")</f>
        <v>非人事費用</v>
      </c>
      <c r="D23" s="3" t="str">
        <f>IFERROR(__xludf.DUMMYFUNCTION("""COMPUTED_VALUE"""),"iCHEF+QLR")</f>
        <v>iCHEF+QLR</v>
      </c>
      <c r="E23" s="132" t="str">
        <f>IFERROR(__xludf.DUMMYFUNCTION("""COMPUTED_VALUE"""),"6x1301")</f>
        <v>6x1301</v>
      </c>
      <c r="F23" s="3" t="str">
        <f>IFERROR(__xludf.DUMMYFUNCTION("""COMPUTED_VALUE"""),"旅費")</f>
        <v>旅費</v>
      </c>
      <c r="G23" s="3" t="str">
        <f>IFERROR(__xludf.DUMMYFUNCTION("""COMPUTED_VALUE"""),"交通費")</f>
        <v>交通費</v>
      </c>
      <c r="H23" s="3" t="str">
        <f>IFERROR(__xludf.DUMMYFUNCTION("""COMPUTED_VALUE"""),"交通費")</f>
        <v>交通費</v>
      </c>
      <c r="I23" s="3"/>
      <c r="J23" s="3"/>
      <c r="K23" s="3" t="str">
        <f>IFERROR(__xludf.DUMMYFUNCTION("""COMPUTED_VALUE"""),"各專業中心")</f>
        <v>各專業中心</v>
      </c>
      <c r="L23" s="3" t="str">
        <f>IFERROR(__xludf.DUMMYFUNCTION("""COMPUTED_VALUE"""),"各專業中心")</f>
        <v>各專業中心</v>
      </c>
      <c r="M23" s="3" t="str">
        <f>IFERROR(__xludf.DUMMYFUNCTION("""COMPUTED_VALUE"""),"金額由各中心自行評估")</f>
        <v>金額由各中心自行評估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B24" s="3">
        <f>IFERROR(__xludf.DUMMYFUNCTION("""COMPUTED_VALUE"""),23.0)</f>
        <v>23</v>
      </c>
      <c r="C24" s="3" t="str">
        <f>IFERROR(__xludf.DUMMYFUNCTION("""COMPUTED_VALUE"""),"非人事費用")</f>
        <v>非人事費用</v>
      </c>
      <c r="D24" s="3" t="str">
        <f>IFERROR(__xludf.DUMMYFUNCTION("""COMPUTED_VALUE"""),"iCHEF")</f>
        <v>iCHEF</v>
      </c>
      <c r="E24" s="132">
        <f>IFERROR(__xludf.DUMMYFUNCTION("""COMPUTED_VALUE"""),613299.0)</f>
        <v>613299</v>
      </c>
      <c r="F24" s="3" t="str">
        <f>IFERROR(__xludf.DUMMYFUNCTION("""COMPUTED_VALUE"""),"其他費用")</f>
        <v>其他費用</v>
      </c>
      <c r="G24" s="3" t="str">
        <f>IFERROR(__xludf.DUMMYFUNCTION("""COMPUTED_VALUE"""),"其他")</f>
        <v>其他</v>
      </c>
      <c r="H24" s="3" t="str">
        <f>IFERROR(__xludf.DUMMYFUNCTION("""COMPUTED_VALUE"""),"新人到職第一餐")</f>
        <v>新人到職第一餐</v>
      </c>
      <c r="I24" s="133">
        <f>IFERROR(__xludf.DUMMYFUNCTION("""COMPUTED_VALUE"""),1000.0)</f>
        <v>1000</v>
      </c>
      <c r="J24" s="133" t="str">
        <f>IFERROR(__xludf.DUMMYFUNCTION("""COMPUTED_VALUE"""),"人")</f>
        <v>人</v>
      </c>
      <c r="K24" s="3" t="str">
        <f>IFERROR(__xludf.DUMMYFUNCTION("""COMPUTED_VALUE"""),"各專業中心")</f>
        <v>各專業中心</v>
      </c>
      <c r="L24" s="3" t="str">
        <f>IFERROR(__xludf.DUMMYFUNCTION("""COMPUTED_VALUE"""),"各專業中心")</f>
        <v>各專業中心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B25" s="3">
        <f>IFERROR(__xludf.DUMMYFUNCTION("""COMPUTED_VALUE"""),24.0)</f>
        <v>24</v>
      </c>
      <c r="C25" s="3" t="str">
        <f>IFERROR(__xludf.DUMMYFUNCTION("""COMPUTED_VALUE"""),"非人事費用")</f>
        <v>非人事費用</v>
      </c>
      <c r="D25" s="3" t="str">
        <f>IFERROR(__xludf.DUMMYFUNCTION("""COMPUTED_VALUE"""),"iCHEF")</f>
        <v>iCHEF</v>
      </c>
      <c r="E25" s="132" t="str">
        <f>IFERROR(__xludf.DUMMYFUNCTION("""COMPUTED_VALUE"""),"6x31")</f>
        <v>6x31</v>
      </c>
      <c r="F25" s="3" t="str">
        <f>IFERROR(__xludf.DUMMYFUNCTION("""COMPUTED_VALUE"""),"訓練費")</f>
        <v>訓練費</v>
      </c>
      <c r="G25" s="3" t="str">
        <f>IFERROR(__xludf.DUMMYFUNCTION("""COMPUTED_VALUE"""),"訓練費")</f>
        <v>訓練費</v>
      </c>
      <c r="H25" s="3" t="str">
        <f>IFERROR(__xludf.DUMMYFUNCTION("""COMPUTED_VALUE"""),"教育訓練")</f>
        <v>教育訓練</v>
      </c>
      <c r="I25" s="3"/>
      <c r="J25" s="133" t="str">
        <f>IFERROR(__xludf.DUMMYFUNCTION("""COMPUTED_VALUE"""),"由 HR 統一管理")</f>
        <v>由 HR 統一管理</v>
      </c>
      <c r="K25" s="3" t="str">
        <f>IFERROR(__xludf.DUMMYFUNCTION("""COMPUTED_VALUE"""),"管理中心")</f>
        <v>管理中心</v>
      </c>
      <c r="L25" s="3" t="str">
        <f>IFERROR(__xludf.DUMMYFUNCTION("""COMPUTED_VALUE"""),"管理中心")</f>
        <v>管理中心</v>
      </c>
      <c r="M25" s="3" t="str">
        <f>IFERROR(__xludf.DUMMYFUNCTION("""COMPUTED_VALUE"""),"由 HR 統一管理、安排教育訓練課程")</f>
        <v>由 HR 統一管理、安排教育訓練課程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B26" s="3">
        <f>IFERROR(__xludf.DUMMYFUNCTION("""COMPUTED_VALUE"""),25.0)</f>
        <v>25</v>
      </c>
      <c r="C26" s="3" t="str">
        <f>IFERROR(__xludf.DUMMYFUNCTION("""COMPUTED_VALUE"""),"非人事費用")</f>
        <v>非人事費用</v>
      </c>
      <c r="D26" s="3" t="str">
        <f>IFERROR(__xludf.DUMMYFUNCTION("""COMPUTED_VALUE"""),"iCHEF")</f>
        <v>iCHEF</v>
      </c>
      <c r="E26" s="132" t="str">
        <f>IFERROR(__xludf.DUMMYFUNCTION("""COMPUTED_VALUE"""),"6x19")</f>
        <v>6x19</v>
      </c>
      <c r="F26" s="3" t="str">
        <f>IFERROR(__xludf.DUMMYFUNCTION("""COMPUTED_VALUE"""),"保險費")</f>
        <v>保險費</v>
      </c>
      <c r="G26" s="3" t="str">
        <f>IFERROR(__xludf.DUMMYFUNCTION("""COMPUTED_VALUE"""),"其他")</f>
        <v>其他</v>
      </c>
      <c r="H26" s="3" t="str">
        <f>IFERROR(__xludf.DUMMYFUNCTION("""COMPUTED_VALUE"""),"火災保險")</f>
        <v>火災保險</v>
      </c>
      <c r="I26" s="133">
        <f>IFERROR(__xludf.DUMMYFUNCTION("""COMPUTED_VALUE"""),6.0)</f>
        <v>6</v>
      </c>
      <c r="J26" s="133">
        <f>IFERROR(__xludf.DUMMYFUNCTION("""COMPUTED_VALUE"""),69.0)</f>
        <v>69</v>
      </c>
      <c r="K26" s="3" t="str">
        <f>IFERROR(__xludf.DUMMYFUNCTION("""COMPUTED_VALUE"""),"管理中心")</f>
        <v>管理中心</v>
      </c>
      <c r="L26" s="3" t="str">
        <f>IFERROR(__xludf.DUMMYFUNCTION("""COMPUTED_VALUE"""),"管理中心")</f>
        <v>管理中心</v>
      </c>
      <c r="M26" s="3" t="str">
        <f>IFERROR(__xludf.DUMMYFUNCTION("""COMPUTED_VALUE"""),"2026 台中辦公室也要保火險、要估列
火險包含裝修、設備、存貨
總金額估在管理中心即可")</f>
        <v>2026 台中辦公室也要保火險、要估列
火險包含裝修、設備、存貨
總金額估在管理中心即可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B27" s="3">
        <f>IFERROR(__xludf.DUMMYFUNCTION("""COMPUTED_VALUE"""),26.0)</f>
        <v>26</v>
      </c>
      <c r="C27" s="3" t="str">
        <f>IFERROR(__xludf.DUMMYFUNCTION("""COMPUTED_VALUE"""),"非人事費用")</f>
        <v>非人事費用</v>
      </c>
      <c r="D27" s="3" t="str">
        <f>IFERROR(__xludf.DUMMYFUNCTION("""COMPUTED_VALUE"""),"iCHEF+QLR")</f>
        <v>iCHEF+QLR</v>
      </c>
      <c r="E27" s="132">
        <f>IFERROR(__xludf.DUMMYFUNCTION("""COMPUTED_VALUE"""),613299.0)</f>
        <v>613299</v>
      </c>
      <c r="F27" s="3" t="str">
        <f>IFERROR(__xludf.DUMMYFUNCTION("""COMPUTED_VALUE"""),"其他費用")</f>
        <v>其他費用</v>
      </c>
      <c r="G27" s="3" t="str">
        <f>IFERROR(__xludf.DUMMYFUNCTION("""COMPUTED_VALUE"""),"其他")</f>
        <v>其他</v>
      </c>
      <c r="H27" s="3" t="str">
        <f>IFERROR(__xludf.DUMMYFUNCTION("""COMPUTED_VALUE"""),"三節禮品")</f>
        <v>三節禮品</v>
      </c>
      <c r="I27" s="133">
        <f>IFERROR(__xludf.DUMMYFUNCTION("""COMPUTED_VALUE"""),175.0)</f>
        <v>175</v>
      </c>
      <c r="J27" s="133">
        <f>IFERROR(__xludf.DUMMYFUNCTION("""COMPUTED_VALUE"""),2100.0)</f>
        <v>2100</v>
      </c>
      <c r="K27" s="3" t="str">
        <f>IFERROR(__xludf.DUMMYFUNCTION("""COMPUTED_VALUE"""),"管理中心")</f>
        <v>管理中心</v>
      </c>
      <c r="L27" s="3" t="str">
        <f>IFERROR(__xludf.DUMMYFUNCTION("""COMPUTED_VALUE"""),"管理中心")</f>
        <v>管理中心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3">
        <f>IFERROR(__xludf.DUMMYFUNCTION("""COMPUTED_VALUE"""),27.0)</f>
        <v>27</v>
      </c>
      <c r="C28" s="3" t="str">
        <f>IFERROR(__xludf.DUMMYFUNCTION("""COMPUTED_VALUE"""),"非人事費用")</f>
        <v>非人事費用</v>
      </c>
      <c r="D28" s="3" t="str">
        <f>IFERROR(__xludf.DUMMYFUNCTION("""COMPUTED_VALUE"""),"iCHEF+QLR")</f>
        <v>iCHEF+QLR</v>
      </c>
      <c r="E28" s="132">
        <f>IFERROR(__xludf.DUMMYFUNCTION("""COMPUTED_VALUE"""),613299.0)</f>
        <v>613299</v>
      </c>
      <c r="F28" s="3" t="str">
        <f>IFERROR(__xludf.DUMMYFUNCTION("""COMPUTED_VALUE"""),"其他費用")</f>
        <v>其他費用</v>
      </c>
      <c r="G28" s="3" t="str">
        <f>IFERROR(__xludf.DUMMYFUNCTION("""COMPUTED_VALUE"""),"其他")</f>
        <v>其他</v>
      </c>
      <c r="H28" s="3" t="str">
        <f>IFERROR(__xludf.DUMMYFUNCTION("""COMPUTED_VALUE"""),"尾牙/春酒")</f>
        <v>尾牙/春酒</v>
      </c>
      <c r="I28" s="133">
        <f>IFERROR(__xludf.DUMMYFUNCTION("""COMPUTED_VALUE"""),250.0)</f>
        <v>250</v>
      </c>
      <c r="J28" s="133">
        <f>IFERROR(__xludf.DUMMYFUNCTION("""COMPUTED_VALUE"""),3000.0)</f>
        <v>3000</v>
      </c>
      <c r="K28" s="3" t="str">
        <f>IFERROR(__xludf.DUMMYFUNCTION("""COMPUTED_VALUE"""),"管理中心")</f>
        <v>管理中心</v>
      </c>
      <c r="L28" s="3" t="str">
        <f>IFERROR(__xludf.DUMMYFUNCTION("""COMPUTED_VALUE"""),"管理中心")</f>
        <v>管理中心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3">
        <f>IFERROR(__xludf.DUMMYFUNCTION("""COMPUTED_VALUE"""),28.0)</f>
        <v>28</v>
      </c>
      <c r="C29" s="3" t="str">
        <f>IFERROR(__xludf.DUMMYFUNCTION("""COMPUTED_VALUE"""),"非人事費用")</f>
        <v>非人事費用</v>
      </c>
      <c r="D29" s="3" t="str">
        <f>IFERROR(__xludf.DUMMYFUNCTION("""COMPUTED_VALUE"""),"iCHEF+QLR")</f>
        <v>iCHEF+QLR</v>
      </c>
      <c r="E29" s="132">
        <f>IFERROR(__xludf.DUMMYFUNCTION("""COMPUTED_VALUE"""),613299.0)</f>
        <v>613299</v>
      </c>
      <c r="F29" s="3" t="str">
        <f>IFERROR(__xludf.DUMMYFUNCTION("""COMPUTED_VALUE"""),"其他費用")</f>
        <v>其他費用</v>
      </c>
      <c r="G29" s="3" t="str">
        <f>IFERROR(__xludf.DUMMYFUNCTION("""COMPUTED_VALUE"""),"其他")</f>
        <v>其他</v>
      </c>
      <c r="H29" s="3" t="str">
        <f>IFERROR(__xludf.DUMMYFUNCTION("""COMPUTED_VALUE"""),"Pizza Meeting 餐費 (每週 NT$ 170)")</f>
        <v>Pizza Meeting 餐費 (每週 NT$ 170)</v>
      </c>
      <c r="I29" s="133">
        <f>IFERROR(__xludf.DUMMYFUNCTION("""COMPUTED_VALUE"""),600.0)</f>
        <v>600</v>
      </c>
      <c r="J29" s="133">
        <f>IFERROR(__xludf.DUMMYFUNCTION("""COMPUTED_VALUE"""),7200.0)</f>
        <v>7200</v>
      </c>
      <c r="K29" s="3" t="str">
        <f>IFERROR(__xludf.DUMMYFUNCTION("""COMPUTED_VALUE"""),"管理中心")</f>
        <v>管理中心</v>
      </c>
      <c r="L29" s="3" t="str">
        <f>IFERROR(__xludf.DUMMYFUNCTION("""COMPUTED_VALUE"""),"管理中心")</f>
        <v>管理中心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B30" s="3">
        <f>IFERROR(__xludf.DUMMYFUNCTION("""COMPUTED_VALUE"""),29.0)</f>
        <v>29</v>
      </c>
      <c r="C30" s="3" t="str">
        <f>IFERROR(__xludf.DUMMYFUNCTION("""COMPUTED_VALUE"""),"非人事費用")</f>
        <v>非人事費用</v>
      </c>
      <c r="D30" s="3" t="str">
        <f>IFERROR(__xludf.DUMMYFUNCTION("""COMPUTED_VALUE"""),"iCHEF")</f>
        <v>iCHEF</v>
      </c>
      <c r="E30" s="132"/>
      <c r="F30" s="3"/>
      <c r="G30" s="3"/>
      <c r="H30" s="3" t="str">
        <f>IFERROR(__xludf.DUMMYFUNCTION("""COMPUTED_VALUE"""),"業務 公務機津貼")</f>
        <v>業務 公務機津貼</v>
      </c>
      <c r="I30" s="133">
        <f>IFERROR(__xludf.DUMMYFUNCTION("""COMPUTED_VALUE"""),1200.0)</f>
        <v>1200</v>
      </c>
      <c r="J30" s="133">
        <f>IFERROR(__xludf.DUMMYFUNCTION("""COMPUTED_VALUE"""),14400.0)</f>
        <v>14400</v>
      </c>
      <c r="K30" s="3" t="str">
        <f>IFERROR(__xludf.DUMMYFUNCTION("""COMPUTED_VALUE"""),"行銷營運中心")</f>
        <v>行銷營運中心</v>
      </c>
      <c r="L30" s="3" t="str">
        <f>IFERROR(__xludf.DUMMYFUNCTION("""COMPUTED_VALUE"""),"行銷營運中心")</f>
        <v>行銷營運中心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3">
        <f>IFERROR(__xludf.DUMMYFUNCTION("""COMPUTED_VALUE"""),30.0)</f>
        <v>30</v>
      </c>
      <c r="C31" s="3" t="str">
        <f>IFERROR(__xludf.DUMMYFUNCTION("""COMPUTED_VALUE"""),"非人事費用")</f>
        <v>非人事費用</v>
      </c>
      <c r="D31" s="3" t="str">
        <f>IFERROR(__xludf.DUMMYFUNCTION("""COMPUTED_VALUE"""),"iCHEF")</f>
        <v>iCHEF</v>
      </c>
      <c r="E31" s="132"/>
      <c r="F31" s="3"/>
      <c r="G31" s="3"/>
      <c r="H31" s="3" t="str">
        <f>IFERROR(__xludf.DUMMYFUNCTION("""COMPUTED_VALUE"""),"業務 多店顧問 交通費")</f>
        <v>業務 多店顧問 交通費</v>
      </c>
      <c r="I31" s="133">
        <f>IFERROR(__xludf.DUMMYFUNCTION("""COMPUTED_VALUE"""),15000.0)</f>
        <v>15000</v>
      </c>
      <c r="J31" s="133">
        <f>IFERROR(__xludf.DUMMYFUNCTION("""COMPUTED_VALUE"""),180000.0)</f>
        <v>180000</v>
      </c>
      <c r="K31" s="3" t="str">
        <f>IFERROR(__xludf.DUMMYFUNCTION("""COMPUTED_VALUE"""),"行銷營運中心")</f>
        <v>行銷營運中心</v>
      </c>
      <c r="L31" s="3" t="str">
        <f>IFERROR(__xludf.DUMMYFUNCTION("""COMPUTED_VALUE"""),"行銷營運中心")</f>
        <v>行銷營運中心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B32" s="3">
        <f>IFERROR(__xludf.DUMMYFUNCTION("""COMPUTED_VALUE"""),31.0)</f>
        <v>31</v>
      </c>
      <c r="C32" s="3" t="str">
        <f>IFERROR(__xludf.DUMMYFUNCTION("""COMPUTED_VALUE"""),"非人事費用")</f>
        <v>非人事費用</v>
      </c>
      <c r="D32" s="3" t="str">
        <f>IFERROR(__xludf.DUMMYFUNCTION("""COMPUTED_VALUE"""),"iCHEF")</f>
        <v>iCHEF</v>
      </c>
      <c r="E32" s="132"/>
      <c r="F32" s="3"/>
      <c r="G32" s="3"/>
      <c r="H32" s="3" t="str">
        <f>IFERROR(__xludf.DUMMYFUNCTION("""COMPUTED_VALUE"""),"業務 多店顧問 交際費")</f>
        <v>業務 多店顧問 交際費</v>
      </c>
      <c r="I32" s="133">
        <f>IFERROR(__xludf.DUMMYFUNCTION("""COMPUTED_VALUE"""),3000.0)</f>
        <v>3000</v>
      </c>
      <c r="J32" s="133">
        <f>IFERROR(__xludf.DUMMYFUNCTION("""COMPUTED_VALUE"""),36000.0)</f>
        <v>36000</v>
      </c>
      <c r="K32" s="3" t="str">
        <f>IFERROR(__xludf.DUMMYFUNCTION("""COMPUTED_VALUE"""),"行銷營運中心")</f>
        <v>行銷營運中心</v>
      </c>
      <c r="L32" s="3" t="str">
        <f>IFERROR(__xludf.DUMMYFUNCTION("""COMPUTED_VALUE"""),"行銷營運中心")</f>
        <v>行銷營運中心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B33" s="3">
        <f>IFERROR(__xludf.DUMMYFUNCTION("""COMPUTED_VALUE"""),32.0)</f>
        <v>32</v>
      </c>
      <c r="C33" s="3" t="str">
        <f>IFERROR(__xludf.DUMMYFUNCTION("""COMPUTED_VALUE"""),"人事費用")</f>
        <v>人事費用</v>
      </c>
      <c r="D33" s="3" t="str">
        <f>IFERROR(__xludf.DUMMYFUNCTION("""COMPUTED_VALUE"""),"iCHEF")</f>
        <v>iCHEF</v>
      </c>
      <c r="E33" s="132"/>
      <c r="F33" s="3"/>
      <c r="G33" s="3"/>
      <c r="H33" s="3" t="str">
        <f>IFERROR(__xludf.DUMMYFUNCTION("""COMPUTED_VALUE"""),"業務 季度績效獎金 (一般業務)")</f>
        <v>業務 季度績效獎金 (一般業務)</v>
      </c>
      <c r="I33" s="133">
        <f>IFERROR(__xludf.DUMMYFUNCTION("""COMPUTED_VALUE"""),3334.0)</f>
        <v>3334</v>
      </c>
      <c r="J33" s="133">
        <f>IFERROR(__xludf.DUMMYFUNCTION("""COMPUTED_VALUE"""),40000.0)</f>
        <v>40000</v>
      </c>
      <c r="K33" s="3" t="str">
        <f>IFERROR(__xludf.DUMMYFUNCTION("""COMPUTED_VALUE"""),"行銷營運中心")</f>
        <v>行銷營運中心</v>
      </c>
      <c r="L33" s="3" t="str">
        <f>IFERROR(__xludf.DUMMYFUNCTION("""COMPUTED_VALUE"""),"行銷營運中心")</f>
        <v>行銷營運中心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B34" s="3">
        <f>IFERROR(__xludf.DUMMYFUNCTION("""COMPUTED_VALUE"""),33.0)</f>
        <v>33</v>
      </c>
      <c r="C34" s="3" t="str">
        <f>IFERROR(__xludf.DUMMYFUNCTION("""COMPUTED_VALUE"""),"人事費用")</f>
        <v>人事費用</v>
      </c>
      <c r="D34" s="3" t="str">
        <f>IFERROR(__xludf.DUMMYFUNCTION("""COMPUTED_VALUE"""),"iCHEF")</f>
        <v>iCHEF</v>
      </c>
      <c r="E34" s="132"/>
      <c r="F34" s="3"/>
      <c r="G34" s="3"/>
      <c r="H34" s="3" t="str">
        <f>IFERROR(__xludf.DUMMYFUNCTION("""COMPUTED_VALUE"""),"業務 季度績效獎金 (資深業務)")</f>
        <v>業務 季度績效獎金 (資深業務)</v>
      </c>
      <c r="I34" s="133">
        <f>IFERROR(__xludf.DUMMYFUNCTION("""COMPUTED_VALUE"""),5000.0)</f>
        <v>5000</v>
      </c>
      <c r="J34" s="133">
        <f>IFERROR(__xludf.DUMMYFUNCTION("""COMPUTED_VALUE"""),60000.0)</f>
        <v>60000</v>
      </c>
      <c r="K34" s="3" t="str">
        <f>IFERROR(__xludf.DUMMYFUNCTION("""COMPUTED_VALUE"""),"行銷營運中心")</f>
        <v>行銷營運中心</v>
      </c>
      <c r="L34" s="3" t="str">
        <f>IFERROR(__xludf.DUMMYFUNCTION("""COMPUTED_VALUE"""),"行銷營運中心")</f>
        <v>行銷營運中心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B35" s="3">
        <f>IFERROR(__xludf.DUMMYFUNCTION("""COMPUTED_VALUE"""),34.0)</f>
        <v>34</v>
      </c>
      <c r="C35" s="3" t="str">
        <f>IFERROR(__xludf.DUMMYFUNCTION("""COMPUTED_VALUE"""),"人事費用")</f>
        <v>人事費用</v>
      </c>
      <c r="D35" s="3" t="str">
        <f>IFERROR(__xludf.DUMMYFUNCTION("""COMPUTED_VALUE"""),"iCHEF")</f>
        <v>iCHEF</v>
      </c>
      <c r="E35" s="132"/>
      <c r="F35" s="3"/>
      <c r="G35" s="3"/>
      <c r="H35" s="3" t="str">
        <f>IFERROR(__xludf.DUMMYFUNCTION("""COMPUTED_VALUE"""),"業務 季度績效獎金 (業務團隊主管)")</f>
        <v>業務 季度績效獎金 (業務團隊主管)</v>
      </c>
      <c r="I35" s="133">
        <f>IFERROR(__xludf.DUMMYFUNCTION("""COMPUTED_VALUE"""),15000.0)</f>
        <v>15000</v>
      </c>
      <c r="J35" s="133">
        <f>IFERROR(__xludf.DUMMYFUNCTION("""COMPUTED_VALUE"""),180000.0)</f>
        <v>180000</v>
      </c>
      <c r="K35" s="3" t="str">
        <f>IFERROR(__xludf.DUMMYFUNCTION("""COMPUTED_VALUE"""),"行銷營運中心")</f>
        <v>行銷營運中心</v>
      </c>
      <c r="L35" s="3" t="str">
        <f>IFERROR(__xludf.DUMMYFUNCTION("""COMPUTED_VALUE"""),"行銷營運中心")</f>
        <v>行銷營運中心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B36" s="3">
        <f>IFERROR(__xludf.DUMMYFUNCTION("""COMPUTED_VALUE"""),35.0)</f>
        <v>35</v>
      </c>
      <c r="C36" s="3" t="str">
        <f>IFERROR(__xludf.DUMMYFUNCTION("""COMPUTED_VALUE"""),"人事費用")</f>
        <v>人事費用</v>
      </c>
      <c r="D36" s="3" t="str">
        <f>IFERROR(__xludf.DUMMYFUNCTION("""COMPUTED_VALUE"""),"iCHEF")</f>
        <v>iCHEF</v>
      </c>
      <c r="E36" s="132"/>
      <c r="F36" s="3"/>
      <c r="G36" s="3"/>
      <c r="H36" s="3" t="str">
        <f>IFERROR(__xludf.DUMMYFUNCTION("""COMPUTED_VALUE"""),"業務 帳號啟用費獎金 (開發/混編)")</f>
        <v>業務 帳號啟用費獎金 (開發/混編)</v>
      </c>
      <c r="I36" s="133">
        <f>IFERROR(__xludf.DUMMYFUNCTION("""COMPUTED_VALUE"""),510.0)</f>
        <v>510</v>
      </c>
      <c r="J36" s="133" t="str">
        <f>IFERROR(__xludf.DUMMYFUNCTION("""COMPUTED_VALUE"""),"間")</f>
        <v>間</v>
      </c>
      <c r="K36" s="3" t="str">
        <f>IFERROR(__xludf.DUMMYFUNCTION("""COMPUTED_VALUE"""),"行銷營運中心")</f>
        <v>行銷營運中心</v>
      </c>
      <c r="L36" s="3" t="str">
        <f>IFERROR(__xludf.DUMMYFUNCTION("""COMPUTED_VALUE"""),"行銷營運中心")</f>
        <v>行銷營運中心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B37" s="3">
        <f>IFERROR(__xludf.DUMMYFUNCTION("""COMPUTED_VALUE"""),36.0)</f>
        <v>36</v>
      </c>
      <c r="C37" s="3" t="str">
        <f>IFERROR(__xludf.DUMMYFUNCTION("""COMPUTED_VALUE"""),"人事費用")</f>
        <v>人事費用</v>
      </c>
      <c r="D37" s="3" t="str">
        <f>IFERROR(__xludf.DUMMYFUNCTION("""COMPUTED_VALUE"""),"iCHEF")</f>
        <v>iCHEF</v>
      </c>
      <c r="E37" s="132"/>
      <c r="F37" s="3"/>
      <c r="G37" s="3"/>
      <c r="H37" s="3" t="str">
        <f>IFERROR(__xludf.DUMMYFUNCTION("""COMPUTED_VALUE"""),"業務 標準方案啟用獎金 (開發/混編)")</f>
        <v>業務 標準方案啟用獎金 (開發/混編)</v>
      </c>
      <c r="I37" s="133">
        <f>IFERROR(__xludf.DUMMYFUNCTION("""COMPUTED_VALUE"""),1500.0)</f>
        <v>1500</v>
      </c>
      <c r="J37" s="133" t="str">
        <f>IFERROR(__xludf.DUMMYFUNCTION("""COMPUTED_VALUE"""),"間")</f>
        <v>間</v>
      </c>
      <c r="K37" s="3" t="str">
        <f>IFERROR(__xludf.DUMMYFUNCTION("""COMPUTED_VALUE"""),"行銷營運中心")</f>
        <v>行銷營運中心</v>
      </c>
      <c r="L37" s="3" t="str">
        <f>IFERROR(__xludf.DUMMYFUNCTION("""COMPUTED_VALUE"""),"行銷營運中心")</f>
        <v>行銷營運中心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B38" s="3">
        <f>IFERROR(__xludf.DUMMYFUNCTION("""COMPUTED_VALUE"""),37.0)</f>
        <v>37</v>
      </c>
      <c r="C38" s="3" t="str">
        <f>IFERROR(__xludf.DUMMYFUNCTION("""COMPUTED_VALUE"""),"人事費用")</f>
        <v>人事費用</v>
      </c>
      <c r="D38" s="3" t="str">
        <f>IFERROR(__xludf.DUMMYFUNCTION("""COMPUTED_VALUE"""),"iCHEF")</f>
        <v>iCHEF</v>
      </c>
      <c r="E38" s="132"/>
      <c r="F38" s="3"/>
      <c r="G38" s="3"/>
      <c r="H38" s="3" t="str">
        <f>IFERROR(__xludf.DUMMYFUNCTION("""COMPUTED_VALUE"""),"業務 進階方案啟用獎金 (開發/混編)")</f>
        <v>業務 進階方案啟用獎金 (開發/混編)</v>
      </c>
      <c r="I38" s="133">
        <f>IFERROR(__xludf.DUMMYFUNCTION("""COMPUTED_VALUE"""),3500.0)</f>
        <v>3500</v>
      </c>
      <c r="J38" s="133" t="str">
        <f>IFERROR(__xludf.DUMMYFUNCTION("""COMPUTED_VALUE"""),"間")</f>
        <v>間</v>
      </c>
      <c r="K38" s="3" t="str">
        <f>IFERROR(__xludf.DUMMYFUNCTION("""COMPUTED_VALUE"""),"行銷營運中心")</f>
        <v>行銷營運中心</v>
      </c>
      <c r="L38" s="3" t="str">
        <f>IFERROR(__xludf.DUMMYFUNCTION("""COMPUTED_VALUE"""),"行銷營運中心")</f>
        <v>行銷營運中心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B39" s="3">
        <f>IFERROR(__xludf.DUMMYFUNCTION("""COMPUTED_VALUE"""),38.0)</f>
        <v>38</v>
      </c>
      <c r="C39" s="3" t="str">
        <f>IFERROR(__xludf.DUMMYFUNCTION("""COMPUTED_VALUE"""),"人事費用")</f>
        <v>人事費用</v>
      </c>
      <c r="D39" s="3" t="str">
        <f>IFERROR(__xludf.DUMMYFUNCTION("""COMPUTED_VALUE"""),"iCHEF")</f>
        <v>iCHEF</v>
      </c>
      <c r="E39" s="132"/>
      <c r="F39" s="3"/>
      <c r="G39" s="3"/>
      <c r="H39" s="3" t="str">
        <f>IFERROR(__xludf.DUMMYFUNCTION("""COMPUTED_VALUE"""),"業務 頂級方案啟用獎金 (開發/混編)")</f>
        <v>業務 頂級方案啟用獎金 (開發/混編)</v>
      </c>
      <c r="I39" s="133">
        <f>IFERROR(__xludf.DUMMYFUNCTION("""COMPUTED_VALUE"""),5500.0)</f>
        <v>5500</v>
      </c>
      <c r="J39" s="133" t="str">
        <f>IFERROR(__xludf.DUMMYFUNCTION("""COMPUTED_VALUE"""),"間")</f>
        <v>間</v>
      </c>
      <c r="K39" s="3" t="str">
        <f>IFERROR(__xludf.DUMMYFUNCTION("""COMPUTED_VALUE"""),"行銷營運中心")</f>
        <v>行銷營運中心</v>
      </c>
      <c r="L39" s="3" t="str">
        <f>IFERROR(__xludf.DUMMYFUNCTION("""COMPUTED_VALUE"""),"行銷營運中心")</f>
        <v>行銷營運中心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B40" s="3">
        <f>IFERROR(__xludf.DUMMYFUNCTION("""COMPUTED_VALUE"""),39.0)</f>
        <v>39</v>
      </c>
      <c r="C40" s="3" t="str">
        <f>IFERROR(__xludf.DUMMYFUNCTION("""COMPUTED_VALUE"""),"人事費用")</f>
        <v>人事費用</v>
      </c>
      <c r="D40" s="3" t="str">
        <f>IFERROR(__xludf.DUMMYFUNCTION("""COMPUTED_VALUE"""),"iCHEF")</f>
        <v>iCHEF</v>
      </c>
      <c r="E40" s="132"/>
      <c r="F40" s="3"/>
      <c r="G40" s="3"/>
      <c r="H40" s="3" t="str">
        <f>IFERROR(__xludf.DUMMYFUNCTION("""COMPUTED_VALUE"""),"業務 轉介通路獎金 (業務)")</f>
        <v>業務 轉介通路獎金 (業務)</v>
      </c>
      <c r="I40" s="133">
        <f>IFERROR(__xludf.DUMMYFUNCTION("""COMPUTED_VALUE"""),1500.0)</f>
        <v>1500</v>
      </c>
      <c r="J40" s="133" t="str">
        <f>IFERROR(__xludf.DUMMYFUNCTION("""COMPUTED_VALUE"""),"間")</f>
        <v>間</v>
      </c>
      <c r="K40" s="3" t="str">
        <f>IFERROR(__xludf.DUMMYFUNCTION("""COMPUTED_VALUE"""),"行銷營運中心")</f>
        <v>行銷營運中心</v>
      </c>
      <c r="L40" s="3" t="str">
        <f>IFERROR(__xludf.DUMMYFUNCTION("""COMPUTED_VALUE"""),"行銷營運中心")</f>
        <v>行銷營運中心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B41" s="3">
        <f>IFERROR(__xludf.DUMMYFUNCTION("""COMPUTED_VALUE"""),40.0)</f>
        <v>40</v>
      </c>
      <c r="C41" s="3" t="str">
        <f>IFERROR(__xludf.DUMMYFUNCTION("""COMPUTED_VALUE"""),"人事費用")</f>
        <v>人事費用</v>
      </c>
      <c r="D41" s="3" t="str">
        <f>IFERROR(__xludf.DUMMYFUNCTION("""COMPUTED_VALUE"""),"iCHEF")</f>
        <v>iCHEF</v>
      </c>
      <c r="E41" s="132"/>
      <c r="F41" s="3"/>
      <c r="G41" s="3"/>
      <c r="H41" s="3" t="str">
        <f>IFERROR(__xludf.DUMMYFUNCTION("""COMPUTED_VALUE"""),"業務 激勵獎金 (開發顧問)")</f>
        <v>業務 激勵獎金 (開發顧問)</v>
      </c>
      <c r="I41" s="133">
        <f>IFERROR(__xludf.DUMMYFUNCTION("""COMPUTED_VALUE"""),5000.0)</f>
        <v>5000</v>
      </c>
      <c r="J41" s="133" t="str">
        <f>IFERROR(__xludf.DUMMYFUNCTION("""COMPUTED_VALUE"""),"北區、非北區開發顧問各一名")</f>
        <v>北區、非北區開發顧問各一名</v>
      </c>
      <c r="K41" s="3" t="str">
        <f>IFERROR(__xludf.DUMMYFUNCTION("""COMPUTED_VALUE"""),"行銷營運中心")</f>
        <v>行銷營運中心</v>
      </c>
      <c r="L41" s="3" t="str">
        <f>IFERROR(__xludf.DUMMYFUNCTION("""COMPUTED_VALUE"""),"行銷營運中心")</f>
        <v>行銷營運中心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B42" s="3">
        <f>IFERROR(__xludf.DUMMYFUNCTION("""COMPUTED_VALUE"""),41.0)</f>
        <v>41</v>
      </c>
      <c r="C42" s="3" t="str">
        <f>IFERROR(__xludf.DUMMYFUNCTION("""COMPUTED_VALUE"""),"人事費用")</f>
        <v>人事費用</v>
      </c>
      <c r="D42" s="3" t="str">
        <f>IFERROR(__xludf.DUMMYFUNCTION("""COMPUTED_VALUE"""),"iCHEF")</f>
        <v>iCHEF</v>
      </c>
      <c r="E42" s="132"/>
      <c r="F42" s="3"/>
      <c r="G42" s="3"/>
      <c r="H42" s="3" t="str">
        <f>IFERROR(__xludf.DUMMYFUNCTION("""COMPUTED_VALUE"""),"業務 導入津貼 (混編顧問)")</f>
        <v>業務 導入津貼 (混編顧問)</v>
      </c>
      <c r="I42" s="133">
        <f>IFERROR(__xludf.DUMMYFUNCTION("""COMPUTED_VALUE"""),1500.0)</f>
        <v>1500</v>
      </c>
      <c r="J42" s="133" t="str">
        <f>IFERROR(__xludf.DUMMYFUNCTION("""COMPUTED_VALUE"""),"間")</f>
        <v>間</v>
      </c>
      <c r="K42" s="3" t="str">
        <f>IFERROR(__xludf.DUMMYFUNCTION("""COMPUTED_VALUE"""),"行銷營運中心")</f>
        <v>行銷營運中心</v>
      </c>
      <c r="L42" s="3" t="str">
        <f>IFERROR(__xludf.DUMMYFUNCTION("""COMPUTED_VALUE"""),"行銷營運中心")</f>
        <v>行銷營運中心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B43" s="3">
        <f>IFERROR(__xludf.DUMMYFUNCTION("""COMPUTED_VALUE"""),42.0)</f>
        <v>42</v>
      </c>
      <c r="C43" s="3" t="str">
        <f>IFERROR(__xludf.DUMMYFUNCTION("""COMPUTED_VALUE"""),"人事費用")</f>
        <v>人事費用</v>
      </c>
      <c r="D43" s="3" t="str">
        <f>IFERROR(__xludf.DUMMYFUNCTION("""COMPUTED_VALUE"""),"iCHEF")</f>
        <v>iCHEF</v>
      </c>
      <c r="E43" s="132"/>
      <c r="F43" s="3"/>
      <c r="G43" s="3"/>
      <c r="H43" s="3" t="str">
        <f>IFERROR(__xludf.DUMMYFUNCTION("""COMPUTED_VALUE"""),"業務 超額導入津貼 (導入教練)")</f>
        <v>業務 超額導入津貼 (導入教練)</v>
      </c>
      <c r="I43" s="133">
        <f>IFERROR(__xludf.DUMMYFUNCTION("""COMPUTED_VALUE"""),1500.0)</f>
        <v>1500</v>
      </c>
      <c r="J43" s="133" t="str">
        <f>IFERROR(__xludf.DUMMYFUNCTION("""COMPUTED_VALUE"""),"間")</f>
        <v>間</v>
      </c>
      <c r="K43" s="3" t="str">
        <f>IFERROR(__xludf.DUMMYFUNCTION("""COMPUTED_VALUE"""),"行銷營運中心")</f>
        <v>行銷營運中心</v>
      </c>
      <c r="L43" s="3" t="str">
        <f>IFERROR(__xludf.DUMMYFUNCTION("""COMPUTED_VALUE"""),"行銷營運中心")</f>
        <v>行銷營運中心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B44" s="3">
        <f>IFERROR(__xludf.DUMMYFUNCTION("""COMPUTED_VALUE"""),43.0)</f>
        <v>43</v>
      </c>
      <c r="C44" s="3" t="str">
        <f>IFERROR(__xludf.DUMMYFUNCTION("""COMPUTED_VALUE"""),"人事費用")</f>
        <v>人事費用</v>
      </c>
      <c r="D44" s="3" t="str">
        <f>IFERROR(__xludf.DUMMYFUNCTION("""COMPUTED_VALUE"""),"iCHEF")</f>
        <v>iCHEF</v>
      </c>
      <c r="E44" s="132"/>
      <c r="F44" s="3"/>
      <c r="G44" s="3"/>
      <c r="H44" s="3" t="str">
        <f>IFERROR(__xludf.DUMMYFUNCTION("""COMPUTED_VALUE"""),"業務 總店系統啟用獎金")</f>
        <v>業務 總店系統啟用獎金</v>
      </c>
      <c r="I44" s="133">
        <f>IFERROR(__xludf.DUMMYFUNCTION("""COMPUTED_VALUE"""),3000.0)</f>
        <v>3000</v>
      </c>
      <c r="J44" s="133" t="str">
        <f>IFERROR(__xludf.DUMMYFUNCTION("""COMPUTED_VALUE"""),"間")</f>
        <v>間</v>
      </c>
      <c r="K44" s="3" t="str">
        <f>IFERROR(__xludf.DUMMYFUNCTION("""COMPUTED_VALUE"""),"行銷營運中心")</f>
        <v>行銷營運中心</v>
      </c>
      <c r="L44" s="3" t="str">
        <f>IFERROR(__xludf.DUMMYFUNCTION("""COMPUTED_VALUE"""),"行銷營運中心")</f>
        <v>行銷營運中心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B45" s="3">
        <f>IFERROR(__xludf.DUMMYFUNCTION("""COMPUTED_VALUE"""),44.0)</f>
        <v>44</v>
      </c>
      <c r="C45" s="3" t="str">
        <f>IFERROR(__xludf.DUMMYFUNCTION("""COMPUTED_VALUE"""),"人事費用")</f>
        <v>人事費用</v>
      </c>
      <c r="D45" s="3" t="str">
        <f>IFERROR(__xludf.DUMMYFUNCTION("""COMPUTED_VALUE"""),"iCHEF")</f>
        <v>iCHEF</v>
      </c>
      <c r="E45" s="132"/>
      <c r="F45" s="3"/>
      <c r="G45" s="3"/>
      <c r="H45" s="3" t="str">
        <f>IFERROR(__xludf.DUMMYFUNCTION("""COMPUTED_VALUE"""),"業務 總店系統導入獎金")</f>
        <v>業務 總店系統導入獎金</v>
      </c>
      <c r="I45" s="133">
        <f>IFERROR(__xludf.DUMMYFUNCTION("""COMPUTED_VALUE"""),2000.0)</f>
        <v>2000</v>
      </c>
      <c r="J45" s="133" t="str">
        <f>IFERROR(__xludf.DUMMYFUNCTION("""COMPUTED_VALUE"""),"品牌")</f>
        <v>品牌</v>
      </c>
      <c r="K45" s="3" t="str">
        <f>IFERROR(__xludf.DUMMYFUNCTION("""COMPUTED_VALUE"""),"行銷營運中心")</f>
        <v>行銷營運中心</v>
      </c>
      <c r="L45" s="3" t="str">
        <f>IFERROR(__xludf.DUMMYFUNCTION("""COMPUTED_VALUE"""),"行銷營運中心")</f>
        <v>行銷營運中心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B46" s="3">
        <f>IFERROR(__xludf.DUMMYFUNCTION("""COMPUTED_VALUE"""),45.0)</f>
        <v>45</v>
      </c>
      <c r="C46" s="3" t="str">
        <f>IFERROR(__xludf.DUMMYFUNCTION("""COMPUTED_VALUE"""),"人事費用")</f>
        <v>人事費用</v>
      </c>
      <c r="D46" s="3" t="str">
        <f>IFERROR(__xludf.DUMMYFUNCTION("""COMPUTED_VALUE"""),"iCHEF")</f>
        <v>iCHEF</v>
      </c>
      <c r="E46" s="132"/>
      <c r="F46" s="3"/>
      <c r="G46" s="3"/>
      <c r="H46" s="3" t="str">
        <f>IFERROR(__xludf.DUMMYFUNCTION("""COMPUTED_VALUE"""),"業務 總店系統轉介獎金")</f>
        <v>業務 總店系統轉介獎金</v>
      </c>
      <c r="I46" s="133">
        <f>IFERROR(__xludf.DUMMYFUNCTION("""COMPUTED_VALUE"""),1500.0)</f>
        <v>1500</v>
      </c>
      <c r="J46" s="133" t="str">
        <f>IFERROR(__xludf.DUMMYFUNCTION("""COMPUTED_VALUE"""),"品牌")</f>
        <v>品牌</v>
      </c>
      <c r="K46" s="3" t="str">
        <f>IFERROR(__xludf.DUMMYFUNCTION("""COMPUTED_VALUE"""),"行銷營運中心")</f>
        <v>行銷營運中心</v>
      </c>
      <c r="L46" s="3" t="str">
        <f>IFERROR(__xludf.DUMMYFUNCTION("""COMPUTED_VALUE"""),"行銷營運中心")</f>
        <v>行銷營運中心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B47" s="3">
        <f>IFERROR(__xludf.DUMMYFUNCTION("""COMPUTED_VALUE"""),46.0)</f>
        <v>46</v>
      </c>
      <c r="C47" s="3" t="str">
        <f>IFERROR(__xludf.DUMMYFUNCTION("""COMPUTED_VALUE"""),"人事費用")</f>
        <v>人事費用</v>
      </c>
      <c r="D47" s="3" t="str">
        <f>IFERROR(__xludf.DUMMYFUNCTION("""COMPUTED_VALUE"""),"iCHEF")</f>
        <v>iCHEF</v>
      </c>
      <c r="E47" s="132"/>
      <c r="F47" s="3"/>
      <c r="G47" s="3"/>
      <c r="H47" s="3" t="str">
        <f>IFERROR(__xludf.DUMMYFUNCTION("""COMPUTED_VALUE"""),"業務 總店系統首批軟體獎金")</f>
        <v>業務 總店系統首批軟體獎金</v>
      </c>
      <c r="I47" s="133">
        <f>IFERROR(__xludf.DUMMYFUNCTION("""COMPUTED_VALUE"""),3200.0)</f>
        <v>3200</v>
      </c>
      <c r="J47" s="133" t="str">
        <f>IFERROR(__xludf.DUMMYFUNCTION("""COMPUTED_VALUE"""),"席")</f>
        <v>席</v>
      </c>
      <c r="K47" s="3" t="str">
        <f>IFERROR(__xludf.DUMMYFUNCTION("""COMPUTED_VALUE"""),"行銷營運中心")</f>
        <v>行銷營運中心</v>
      </c>
      <c r="L47" s="3" t="str">
        <f>IFERROR(__xludf.DUMMYFUNCTION("""COMPUTED_VALUE"""),"行銷營運中心")</f>
        <v>行銷營運中心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B48" s="3">
        <f>IFERROR(__xludf.DUMMYFUNCTION("""COMPUTED_VALUE"""),47.0)</f>
        <v>47</v>
      </c>
      <c r="C48" s="3" t="str">
        <f>IFERROR(__xludf.DUMMYFUNCTION("""COMPUTED_VALUE"""),"人事費用")</f>
        <v>人事費用</v>
      </c>
      <c r="D48" s="3" t="str">
        <f>IFERROR(__xludf.DUMMYFUNCTION("""COMPUTED_VALUE"""),"iCHEF")</f>
        <v>iCHEF</v>
      </c>
      <c r="E48" s="132"/>
      <c r="F48" s="3"/>
      <c r="G48" s="3"/>
      <c r="H48" s="3" t="str">
        <f>IFERROR(__xludf.DUMMYFUNCTION("""COMPUTED_VALUE"""),"業務 總店系統加購軟體獎金")</f>
        <v>業務 總店系統加購軟體獎金</v>
      </c>
      <c r="I48" s="133">
        <f>IFERROR(__xludf.DUMMYFUNCTION("""COMPUTED_VALUE"""),400.0)</f>
        <v>400</v>
      </c>
      <c r="J48" s="133" t="str">
        <f>IFERROR(__xludf.DUMMYFUNCTION("""COMPUTED_VALUE"""),"席")</f>
        <v>席</v>
      </c>
      <c r="K48" s="3" t="str">
        <f>IFERROR(__xludf.DUMMYFUNCTION("""COMPUTED_VALUE"""),"行銷營運中心")</f>
        <v>行銷營運中心</v>
      </c>
      <c r="L48" s="3" t="str">
        <f>IFERROR(__xludf.DUMMYFUNCTION("""COMPUTED_VALUE"""),"行銷營運中心")</f>
        <v>行銷營運中心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B49" s="3">
        <f>IFERROR(__xludf.DUMMYFUNCTION("""COMPUTED_VALUE"""),48.0)</f>
        <v>48</v>
      </c>
      <c r="C49" s="3" t="str">
        <f>IFERROR(__xludf.DUMMYFUNCTION("""COMPUTED_VALUE"""),"人事費用")</f>
        <v>人事費用</v>
      </c>
      <c r="D49" s="3" t="str">
        <f>IFERROR(__xludf.DUMMYFUNCTION("""COMPUTED_VALUE"""),"iCHEF")</f>
        <v>iCHEF</v>
      </c>
      <c r="E49" s="132"/>
      <c r="F49" s="3"/>
      <c r="G49" s="3"/>
      <c r="H49" s="3" t="str">
        <f>IFERROR(__xludf.DUMMYFUNCTION("""COMPUTED_VALUE"""),"業務 iDIS 軟體軟體獎金")</f>
        <v>業務 iDIS 軟體軟體獎金</v>
      </c>
      <c r="I49" s="133">
        <f>IFERROR(__xludf.DUMMYFUNCTION("""COMPUTED_VALUE"""),3000.0)</f>
        <v>3000</v>
      </c>
      <c r="J49" s="133" t="str">
        <f>IFERROR(__xludf.DUMMYFUNCTION("""COMPUTED_VALUE"""),"席")</f>
        <v>席</v>
      </c>
      <c r="K49" s="3" t="str">
        <f>IFERROR(__xludf.DUMMYFUNCTION("""COMPUTED_VALUE"""),"行銷營運中心")</f>
        <v>行銷營運中心</v>
      </c>
      <c r="L49" s="3" t="str">
        <f>IFERROR(__xludf.DUMMYFUNCTION("""COMPUTED_VALUE"""),"行銷營運中心")</f>
        <v>行銷營運中心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B50" s="3">
        <f>IFERROR(__xludf.DUMMYFUNCTION("""COMPUTED_VALUE"""),49.0)</f>
        <v>49</v>
      </c>
      <c r="C50" s="3" t="str">
        <f>IFERROR(__xludf.DUMMYFUNCTION("""COMPUTED_VALUE"""),"人事費用")</f>
        <v>人事費用</v>
      </c>
      <c r="D50" s="3" t="str">
        <f>IFERROR(__xludf.DUMMYFUNCTION("""COMPUTED_VALUE"""),"iCHEF")</f>
        <v>iCHEF</v>
      </c>
      <c r="E50" s="132"/>
      <c r="F50" s="3"/>
      <c r="G50" s="3"/>
      <c r="H50" s="3" t="str">
        <f>IFERROR(__xludf.DUMMYFUNCTION("""COMPUTED_VALUE"""),"業務 離職業務的二次教學")</f>
        <v>業務 離職業務的二次教學</v>
      </c>
      <c r="I50" s="133">
        <f>IFERROR(__xludf.DUMMYFUNCTION("""COMPUTED_VALUE"""),750.0)</f>
        <v>750</v>
      </c>
      <c r="J50" s="133" t="str">
        <f>IFERROR(__xludf.DUMMYFUNCTION("""COMPUTED_VALUE"""),"次")</f>
        <v>次</v>
      </c>
      <c r="K50" s="3" t="str">
        <f>IFERROR(__xludf.DUMMYFUNCTION("""COMPUTED_VALUE"""),"行銷營運中心")</f>
        <v>行銷營運中心</v>
      </c>
      <c r="L50" s="3" t="str">
        <f>IFERROR(__xludf.DUMMYFUNCTION("""COMPUTED_VALUE"""),"行銷營運中心")</f>
        <v>行銷營運中心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B51" s="3">
        <f>IFERROR(__xludf.DUMMYFUNCTION("""COMPUTED_VALUE"""),50.0)</f>
        <v>50</v>
      </c>
      <c r="C51" s="3" t="str">
        <f>IFERROR(__xludf.DUMMYFUNCTION("""COMPUTED_VALUE"""),"人事費用")</f>
        <v>人事費用</v>
      </c>
      <c r="D51" s="3" t="str">
        <f>IFERROR(__xludf.DUMMYFUNCTION("""COMPUTED_VALUE"""),"iCHEF")</f>
        <v>iCHEF</v>
      </c>
      <c r="E51" s="132"/>
      <c r="F51" s="3"/>
      <c r="G51" s="3"/>
      <c r="H51" s="3" t="str">
        <f>IFERROR(__xludf.DUMMYFUNCTION("""COMPUTED_VALUE"""),"業務 店家付費 2000 元移機安裝")</f>
        <v>業務 店家付費 2000 元移機安裝</v>
      </c>
      <c r="I51" s="133">
        <f>IFERROR(__xludf.DUMMYFUNCTION("""COMPUTED_VALUE"""),1500.0)</f>
        <v>1500</v>
      </c>
      <c r="J51" s="133" t="str">
        <f>IFERROR(__xludf.DUMMYFUNCTION("""COMPUTED_VALUE"""),"次")</f>
        <v>次</v>
      </c>
      <c r="K51" s="3" t="str">
        <f>IFERROR(__xludf.DUMMYFUNCTION("""COMPUTED_VALUE"""),"行銷營運中心")</f>
        <v>行銷營運中心</v>
      </c>
      <c r="L51" s="3" t="str">
        <f>IFERROR(__xludf.DUMMYFUNCTION("""COMPUTED_VALUE"""),"行銷營運中心")</f>
        <v>行銷營運中心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B52" s="3">
        <f>IFERROR(__xludf.DUMMYFUNCTION("""COMPUTED_VALUE"""),51.0)</f>
        <v>51</v>
      </c>
      <c r="C52" s="3" t="str">
        <f>IFERROR(__xludf.DUMMYFUNCTION("""COMPUTED_VALUE"""),"人事費用")</f>
        <v>人事費用</v>
      </c>
      <c r="D52" s="3" t="str">
        <f>IFERROR(__xludf.DUMMYFUNCTION("""COMPUTED_VALUE"""),"iCHEF")</f>
        <v>iCHEF</v>
      </c>
      <c r="E52" s="132"/>
      <c r="F52" s="3"/>
      <c r="G52" s="3"/>
      <c r="H52" s="3" t="str">
        <f>IFERROR(__xludf.DUMMYFUNCTION("""COMPUTED_VALUE"""),"業務 奶媽工單")</f>
        <v>業務 奶媽工單</v>
      </c>
      <c r="I52" s="133">
        <f>IFERROR(__xludf.DUMMYFUNCTION("""COMPUTED_VALUE"""),750.0)</f>
        <v>750</v>
      </c>
      <c r="J52" s="133" t="str">
        <f>IFERROR(__xludf.DUMMYFUNCTION("""COMPUTED_VALUE"""),"次")</f>
        <v>次</v>
      </c>
      <c r="K52" s="3" t="str">
        <f>IFERROR(__xludf.DUMMYFUNCTION("""COMPUTED_VALUE"""),"行銷營運中心")</f>
        <v>行銷營運中心</v>
      </c>
      <c r="L52" s="3" t="str">
        <f>IFERROR(__xludf.DUMMYFUNCTION("""COMPUTED_VALUE"""),"行銷營運中心")</f>
        <v>行銷營運中心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B53" s="3">
        <f>IFERROR(__xludf.DUMMYFUNCTION("""COMPUTED_VALUE"""),52.0)</f>
        <v>52</v>
      </c>
      <c r="C53" s="3" t="str">
        <f>IFERROR(__xludf.DUMMYFUNCTION("""COMPUTED_VALUE"""),"人事費用")</f>
        <v>人事費用</v>
      </c>
      <c r="D53" s="3" t="str">
        <f>IFERROR(__xludf.DUMMYFUNCTION("""COMPUTED_VALUE"""),"iCHEF")</f>
        <v>iCHEF</v>
      </c>
      <c r="E53" s="132"/>
      <c r="F53" s="3"/>
      <c r="G53" s="3"/>
      <c r="H53" s="3" t="str">
        <f>IFERROR(__xludf.DUMMYFUNCTION("""COMPUTED_VALUE"""),"業務 硬體設備到店安裝")</f>
        <v>業務 硬體設備到店安裝</v>
      </c>
      <c r="I53" s="133">
        <f>IFERROR(__xludf.DUMMYFUNCTION("""COMPUTED_VALUE"""),750.0)</f>
        <v>750</v>
      </c>
      <c r="J53" s="133" t="str">
        <f>IFERROR(__xludf.DUMMYFUNCTION("""COMPUTED_VALUE"""),"次")</f>
        <v>次</v>
      </c>
      <c r="K53" s="3" t="str">
        <f>IFERROR(__xludf.DUMMYFUNCTION("""COMPUTED_VALUE"""),"行銷營運中心")</f>
        <v>行銷營運中心</v>
      </c>
      <c r="L53" s="3" t="str">
        <f>IFERROR(__xludf.DUMMYFUNCTION("""COMPUTED_VALUE"""),"行銷營運中心")</f>
        <v>行銷營運中心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B54" s="3">
        <f>IFERROR(__xludf.DUMMYFUNCTION("""COMPUTED_VALUE"""),53.0)</f>
        <v>53</v>
      </c>
      <c r="C54" s="3" t="str">
        <f>IFERROR(__xludf.DUMMYFUNCTION("""COMPUTED_VALUE"""),"人事費用")</f>
        <v>人事費用</v>
      </c>
      <c r="D54" s="3" t="str">
        <f>IFERROR(__xludf.DUMMYFUNCTION("""COMPUTED_VALUE"""),"iCHEF")</f>
        <v>iCHEF</v>
      </c>
      <c r="E54" s="132"/>
      <c r="F54" s="3"/>
      <c r="G54" s="3"/>
      <c r="H54" s="3" t="str">
        <f>IFERROR(__xludf.DUMMYFUNCTION("""COMPUTED_VALUE"""),"業務 加值服務：系統教學")</f>
        <v>業務 加值服務：系統教學</v>
      </c>
      <c r="I54" s="133">
        <f>IFERROR(__xludf.DUMMYFUNCTION("""COMPUTED_VALUE"""),1500.0)</f>
        <v>1500</v>
      </c>
      <c r="J54" s="133" t="str">
        <f>IFERROR(__xludf.DUMMYFUNCTION("""COMPUTED_VALUE"""),"次")</f>
        <v>次</v>
      </c>
      <c r="K54" s="3" t="str">
        <f>IFERROR(__xludf.DUMMYFUNCTION("""COMPUTED_VALUE"""),"行銷營運中心")</f>
        <v>行銷營運中心</v>
      </c>
      <c r="L54" s="3" t="str">
        <f>IFERROR(__xludf.DUMMYFUNCTION("""COMPUTED_VALUE"""),"行銷營運中心")</f>
        <v>行銷營運中心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B55" s="3">
        <f>IFERROR(__xludf.DUMMYFUNCTION("""COMPUTED_VALUE"""),54.0)</f>
        <v>54</v>
      </c>
      <c r="C55" s="3" t="str">
        <f>IFERROR(__xludf.DUMMYFUNCTION("""COMPUTED_VALUE"""),"人事費用")</f>
        <v>人事費用</v>
      </c>
      <c r="D55" s="3" t="str">
        <f>IFERROR(__xludf.DUMMYFUNCTION("""COMPUTED_VALUE"""),"iCHEF")</f>
        <v>iCHEF</v>
      </c>
      <c r="E55" s="132"/>
      <c r="F55" s="3"/>
      <c r="G55" s="3"/>
      <c r="H55" s="3" t="str">
        <f>IFERROR(__xludf.DUMMYFUNCTION("""COMPUTED_VALUE"""),"業務 加值服務：硬體安裝")</f>
        <v>業務 加值服務：硬體安裝</v>
      </c>
      <c r="I55" s="133">
        <f>IFERROR(__xludf.DUMMYFUNCTION("""COMPUTED_VALUE"""),1500.0)</f>
        <v>1500</v>
      </c>
      <c r="J55" s="133" t="str">
        <f>IFERROR(__xludf.DUMMYFUNCTION("""COMPUTED_VALUE"""),"次")</f>
        <v>次</v>
      </c>
      <c r="K55" s="3" t="str">
        <f>IFERROR(__xludf.DUMMYFUNCTION("""COMPUTED_VALUE"""),"行銷營運中心")</f>
        <v>行銷營運中心</v>
      </c>
      <c r="L55" s="3" t="str">
        <f>IFERROR(__xludf.DUMMYFUNCTION("""COMPUTED_VALUE"""),"行銷營運中心")</f>
        <v>行銷營運中心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B56" s="3">
        <f>IFERROR(__xludf.DUMMYFUNCTION("""COMPUTED_VALUE"""),55.0)</f>
        <v>55</v>
      </c>
      <c r="C56" s="3" t="str">
        <f>IFERROR(__xludf.DUMMYFUNCTION("""COMPUTED_VALUE"""),"人事費用")</f>
        <v>人事費用</v>
      </c>
      <c r="D56" s="3" t="str">
        <f>IFERROR(__xludf.DUMMYFUNCTION("""COMPUTED_VALUE"""),"iCHEF")</f>
        <v>iCHEF</v>
      </c>
      <c r="E56" s="132"/>
      <c r="F56" s="3"/>
      <c r="G56" s="3"/>
      <c r="H56" s="3" t="str">
        <f>IFERROR(__xludf.DUMMYFUNCTION("""COMPUTED_VALUE"""),"業務 加值服務：UberEats 菜單設定")</f>
        <v>業務 加值服務：UberEats 菜單設定</v>
      </c>
      <c r="I56" s="133">
        <f>IFERROR(__xludf.DUMMYFUNCTION("""COMPUTED_VALUE"""),1500.0)</f>
        <v>1500</v>
      </c>
      <c r="J56" s="133" t="str">
        <f>IFERROR(__xludf.DUMMYFUNCTION("""COMPUTED_VALUE"""),"次")</f>
        <v>次</v>
      </c>
      <c r="K56" s="3" t="str">
        <f>IFERROR(__xludf.DUMMYFUNCTION("""COMPUTED_VALUE"""),"行銷營運中心")</f>
        <v>行銷營運中心</v>
      </c>
      <c r="L56" s="3" t="str">
        <f>IFERROR(__xludf.DUMMYFUNCTION("""COMPUTED_VALUE"""),"行銷營運中心")</f>
        <v>行銷營運中心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B57" s="3">
        <f>IFERROR(__xludf.DUMMYFUNCTION("""COMPUTED_VALUE"""),56.0)</f>
        <v>56</v>
      </c>
      <c r="C57" s="3" t="str">
        <f>IFERROR(__xludf.DUMMYFUNCTION("""COMPUTED_VALUE"""),"人事費用")</f>
        <v>人事費用</v>
      </c>
      <c r="D57" s="3" t="str">
        <f>IFERROR(__xludf.DUMMYFUNCTION("""COMPUTED_VALUE"""),"iCHEF")</f>
        <v>iCHEF</v>
      </c>
      <c r="E57" s="132"/>
      <c r="F57" s="3"/>
      <c r="G57" s="3"/>
      <c r="H57" s="3" t="str">
        <f>IFERROR(__xludf.DUMMYFUNCTION("""COMPUTED_VALUE"""),"業務 加值服務：foodpanda 菜單設定")</f>
        <v>業務 加值服務：foodpanda 菜單設定</v>
      </c>
      <c r="I57" s="133">
        <f>IFERROR(__xludf.DUMMYFUNCTION("""COMPUTED_VALUE"""),1500.0)</f>
        <v>1500</v>
      </c>
      <c r="J57" s="133" t="str">
        <f>IFERROR(__xludf.DUMMYFUNCTION("""COMPUTED_VALUE"""),"次")</f>
        <v>次</v>
      </c>
      <c r="K57" s="3" t="str">
        <f>IFERROR(__xludf.DUMMYFUNCTION("""COMPUTED_VALUE"""),"行銷營運中心")</f>
        <v>行銷營運中心</v>
      </c>
      <c r="L57" s="3" t="str">
        <f>IFERROR(__xludf.DUMMYFUNCTION("""COMPUTED_VALUE"""),"行銷營運中心")</f>
        <v>行銷營運中心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B58" s="3">
        <f>IFERROR(__xludf.DUMMYFUNCTION("""COMPUTED_VALUE"""),57.0)</f>
        <v>57</v>
      </c>
      <c r="C58" s="3" t="str">
        <f>IFERROR(__xludf.DUMMYFUNCTION("""COMPUTED_VALUE"""),"人事費用")</f>
        <v>人事費用</v>
      </c>
      <c r="D58" s="3" t="str">
        <f>IFERROR(__xludf.DUMMYFUNCTION("""COMPUTED_VALUE"""),"iCHEF")</f>
        <v>iCHEF</v>
      </c>
      <c r="E58" s="132"/>
      <c r="F58" s="3"/>
      <c r="G58" s="3"/>
      <c r="H58" s="3" t="str">
        <f>IFERROR(__xludf.DUMMYFUNCTION("""COMPUTED_VALUE"""),"社群工單 課程講師費 (授課）")</f>
        <v>社群工單 課程講師費 (授課）</v>
      </c>
      <c r="I58" s="133">
        <f>IFERROR(__xludf.DUMMYFUNCTION("""COMPUTED_VALUE"""),2000.0)</f>
        <v>2000</v>
      </c>
      <c r="J58" s="133" t="str">
        <f>IFERROR(__xludf.DUMMYFUNCTION("""COMPUTED_VALUE"""),"次")</f>
        <v>次</v>
      </c>
      <c r="K58" s="3" t="str">
        <f>IFERROR(__xludf.DUMMYFUNCTION("""COMPUTED_VALUE"""),"行銷營運中心")</f>
        <v>行銷營運中心</v>
      </c>
      <c r="L58" s="3" t="str">
        <f>IFERROR(__xludf.DUMMYFUNCTION("""COMPUTED_VALUE"""),"行銷營運中心")</f>
        <v>行銷營運中心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B59" s="3">
        <f>IFERROR(__xludf.DUMMYFUNCTION("""COMPUTED_VALUE"""),58.0)</f>
        <v>58</v>
      </c>
      <c r="C59" s="3" t="str">
        <f>IFERROR(__xludf.DUMMYFUNCTION("""COMPUTED_VALUE"""),"人事費用")</f>
        <v>人事費用</v>
      </c>
      <c r="D59" s="3" t="str">
        <f>IFERROR(__xludf.DUMMYFUNCTION("""COMPUTED_VALUE"""),"iCHEF")</f>
        <v>iCHEF</v>
      </c>
      <c r="E59" s="132"/>
      <c r="F59" s="3"/>
      <c r="G59" s="3"/>
      <c r="H59" s="3" t="str">
        <f>IFERROR(__xludf.DUMMYFUNCTION("""COMPUTED_VALUE"""),"社群工單 課程講師費 (錄影）")</f>
        <v>社群工單 課程講師費 (錄影）</v>
      </c>
      <c r="I59" s="133">
        <f>IFERROR(__xludf.DUMMYFUNCTION("""COMPUTED_VALUE"""),3000.0)</f>
        <v>3000</v>
      </c>
      <c r="J59" s="133" t="str">
        <f>IFERROR(__xludf.DUMMYFUNCTION("""COMPUTED_VALUE"""),"次")</f>
        <v>次</v>
      </c>
      <c r="K59" s="3" t="str">
        <f>IFERROR(__xludf.DUMMYFUNCTION("""COMPUTED_VALUE"""),"行銷營運中心")</f>
        <v>行銷營運中心</v>
      </c>
      <c r="L59" s="3" t="str">
        <f>IFERROR(__xludf.DUMMYFUNCTION("""COMPUTED_VALUE"""),"行銷營運中心")</f>
        <v>行銷營運中心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B60" s="3">
        <f>IFERROR(__xludf.DUMMYFUNCTION("""COMPUTED_VALUE"""),59.0)</f>
        <v>59</v>
      </c>
      <c r="C60" s="3" t="str">
        <f>IFERROR(__xludf.DUMMYFUNCTION("""COMPUTED_VALUE"""),"人事費用")</f>
        <v>人事費用</v>
      </c>
      <c r="D60" s="3" t="str">
        <f>IFERROR(__xludf.DUMMYFUNCTION("""COMPUTED_VALUE"""),"iCHEF")</f>
        <v>iCHEF</v>
      </c>
      <c r="E60" s="132"/>
      <c r="F60" s="3"/>
      <c r="G60" s="3"/>
      <c r="H60" s="3" t="str">
        <f>IFERROR(__xludf.DUMMYFUNCTION("""COMPUTED_VALUE"""),"社群工單 課程講師費 (授課＋簡報）")</f>
        <v>社群工單 課程講師費 (授課＋簡報）</v>
      </c>
      <c r="I60" s="133">
        <f>IFERROR(__xludf.DUMMYFUNCTION("""COMPUTED_VALUE"""),4000.0)</f>
        <v>4000</v>
      </c>
      <c r="J60" s="133" t="str">
        <f>IFERROR(__xludf.DUMMYFUNCTION("""COMPUTED_VALUE"""),"次")</f>
        <v>次</v>
      </c>
      <c r="K60" s="3" t="str">
        <f>IFERROR(__xludf.DUMMYFUNCTION("""COMPUTED_VALUE"""),"行銷營運中心")</f>
        <v>行銷營運中心</v>
      </c>
      <c r="L60" s="3" t="str">
        <f>IFERROR(__xludf.DUMMYFUNCTION("""COMPUTED_VALUE"""),"行銷營運中心")</f>
        <v>行銷營運中心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B61" s="3">
        <f>IFERROR(__xludf.DUMMYFUNCTION("""COMPUTED_VALUE"""),60.0)</f>
        <v>60</v>
      </c>
      <c r="C61" s="3" t="str">
        <f>IFERROR(__xludf.DUMMYFUNCTION("""COMPUTED_VALUE"""),"人事費用")</f>
        <v>人事費用</v>
      </c>
      <c r="D61" s="3" t="str">
        <f>IFERROR(__xludf.DUMMYFUNCTION("""COMPUTED_VALUE"""),"iCHEF")</f>
        <v>iCHEF</v>
      </c>
      <c r="E61" s="132"/>
      <c r="F61" s="3"/>
      <c r="G61" s="3"/>
      <c r="H61" s="3" t="str">
        <f>IFERROR(__xludf.DUMMYFUNCTION("""COMPUTED_VALUE"""),"社群工單 課程講師費 (授課＋簡報＋錄影）")</f>
        <v>社群工單 課程講師費 (授課＋簡報＋錄影）</v>
      </c>
      <c r="I61" s="133">
        <f>IFERROR(__xludf.DUMMYFUNCTION("""COMPUTED_VALUE"""),5000.0)</f>
        <v>5000</v>
      </c>
      <c r="J61" s="133" t="str">
        <f>IFERROR(__xludf.DUMMYFUNCTION("""COMPUTED_VALUE"""),"次")</f>
        <v>次</v>
      </c>
      <c r="K61" s="3" t="str">
        <f>IFERROR(__xludf.DUMMYFUNCTION("""COMPUTED_VALUE"""),"行銷營運中心")</f>
        <v>行銷營運中心</v>
      </c>
      <c r="L61" s="3" t="str">
        <f>IFERROR(__xludf.DUMMYFUNCTION("""COMPUTED_VALUE"""),"行銷營運中心")</f>
        <v>行銷營運中心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B62" s="3">
        <f>IFERROR(__xludf.DUMMYFUNCTION("""COMPUTED_VALUE"""),61.0)</f>
        <v>61</v>
      </c>
      <c r="C62" s="3" t="str">
        <f>IFERROR(__xludf.DUMMYFUNCTION("""COMPUTED_VALUE"""),"人事費用")</f>
        <v>人事費用</v>
      </c>
      <c r="D62" s="3" t="str">
        <f>IFERROR(__xludf.DUMMYFUNCTION("""COMPUTED_VALUE"""),"iCHEF")</f>
        <v>iCHEF</v>
      </c>
      <c r="E62" s="132"/>
      <c r="F62" s="3"/>
      <c r="G62" s="3"/>
      <c r="H62" s="3" t="str">
        <f>IFERROR(__xludf.DUMMYFUNCTION("""COMPUTED_VALUE"""),"社群工單 小聚活動")</f>
        <v>社群工單 小聚活動</v>
      </c>
      <c r="I62" s="133">
        <f>IFERROR(__xludf.DUMMYFUNCTION("""COMPUTED_VALUE"""),1500.0)</f>
        <v>1500</v>
      </c>
      <c r="J62" s="133" t="str">
        <f>IFERROR(__xludf.DUMMYFUNCTION("""COMPUTED_VALUE"""),"次")</f>
        <v>次</v>
      </c>
      <c r="K62" s="3" t="str">
        <f>IFERROR(__xludf.DUMMYFUNCTION("""COMPUTED_VALUE"""),"行銷營運中心")</f>
        <v>行銷營運中心</v>
      </c>
      <c r="L62" s="3" t="str">
        <f>IFERROR(__xludf.DUMMYFUNCTION("""COMPUTED_VALUE"""),"行銷營運中心")</f>
        <v>行銷營運中心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B63" s="3">
        <f>IFERROR(__xludf.DUMMYFUNCTION("""COMPUTED_VALUE"""),62.0)</f>
        <v>62</v>
      </c>
      <c r="C63" s="3" t="str">
        <f>IFERROR(__xludf.DUMMYFUNCTION("""COMPUTED_VALUE"""),"人事費用")</f>
        <v>人事費用</v>
      </c>
      <c r="D63" s="3" t="str">
        <f>IFERROR(__xludf.DUMMYFUNCTION("""COMPUTED_VALUE"""),"iCHEF")</f>
        <v>iCHEF</v>
      </c>
      <c r="E63" s="132"/>
      <c r="F63" s="3"/>
      <c r="G63" s="3"/>
      <c r="H63" s="3" t="str">
        <f>IFERROR(__xludf.DUMMYFUNCTION("""COMPUTED_VALUE"""),"社群工單 複雜專案")</f>
        <v>社群工單 複雜專案</v>
      </c>
      <c r="I63" s="133">
        <f>IFERROR(__xludf.DUMMYFUNCTION("""COMPUTED_VALUE"""),2250.0)</f>
        <v>2250</v>
      </c>
      <c r="J63" s="133" t="str">
        <f>IFERROR(__xludf.DUMMYFUNCTION("""COMPUTED_VALUE"""),"次")</f>
        <v>次</v>
      </c>
      <c r="K63" s="3" t="str">
        <f>IFERROR(__xludf.DUMMYFUNCTION("""COMPUTED_VALUE"""),"行銷營運中心")</f>
        <v>行銷營運中心</v>
      </c>
      <c r="L63" s="3" t="str">
        <f>IFERROR(__xludf.DUMMYFUNCTION("""COMPUTED_VALUE"""),"行銷營運中心")</f>
        <v>行銷營運中心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B64" s="3">
        <f>IFERROR(__xludf.DUMMYFUNCTION("""COMPUTED_VALUE"""),63.0)</f>
        <v>63</v>
      </c>
      <c r="C64" s="3" t="str">
        <f>IFERROR(__xludf.DUMMYFUNCTION("""COMPUTED_VALUE"""),"人事費用")</f>
        <v>人事費用</v>
      </c>
      <c r="D64" s="3" t="str">
        <f>IFERROR(__xludf.DUMMYFUNCTION("""COMPUTED_VALUE"""),"iCHEF")</f>
        <v>iCHEF</v>
      </c>
      <c r="E64" s="132"/>
      <c r="F64" s="3"/>
      <c r="G64" s="3"/>
      <c r="H64" s="3" t="str">
        <f>IFERROR(__xludf.DUMMYFUNCTION("""COMPUTED_VALUE"""),"社群工單 複雜專案 超時費")</f>
        <v>社群工單 複雜專案 超時費</v>
      </c>
      <c r="I64" s="133">
        <f>IFERROR(__xludf.DUMMYFUNCTION("""COMPUTED_VALUE"""),750.0)</f>
        <v>750</v>
      </c>
      <c r="J64" s="133" t="str">
        <f>IFERROR(__xludf.DUMMYFUNCTION("""COMPUTED_VALUE"""),"小時")</f>
        <v>小時</v>
      </c>
      <c r="K64" s="3" t="str">
        <f>IFERROR(__xludf.DUMMYFUNCTION("""COMPUTED_VALUE"""),"行銷營運中心")</f>
        <v>行銷營運中心</v>
      </c>
      <c r="L64" s="3" t="str">
        <f>IFERROR(__xludf.DUMMYFUNCTION("""COMPUTED_VALUE"""),"行銷營運中心")</f>
        <v>行銷營運中心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B65" s="3">
        <f>IFERROR(__xludf.DUMMYFUNCTION("""COMPUTED_VALUE"""),64.0)</f>
        <v>64</v>
      </c>
      <c r="C65" s="3" t="str">
        <f>IFERROR(__xludf.DUMMYFUNCTION("""COMPUTED_VALUE"""),"人事費用")</f>
        <v>人事費用</v>
      </c>
      <c r="D65" s="3" t="str">
        <f>IFERROR(__xludf.DUMMYFUNCTION("""COMPUTED_VALUE"""),"iCHEF")</f>
        <v>iCHEF</v>
      </c>
      <c r="E65" s="132"/>
      <c r="F65" s="3"/>
      <c r="G65" s="3"/>
      <c r="H65" s="3" t="str">
        <f>IFERROR(__xludf.DUMMYFUNCTION("""COMPUTED_VALUE"""),"社群工單 一般專案")</f>
        <v>社群工單 一般專案</v>
      </c>
      <c r="I65" s="133">
        <f>IFERROR(__xludf.DUMMYFUNCTION("""COMPUTED_VALUE"""),1000.0)</f>
        <v>1000</v>
      </c>
      <c r="J65" s="133" t="str">
        <f>IFERROR(__xludf.DUMMYFUNCTION("""COMPUTED_VALUE"""),"次")</f>
        <v>次</v>
      </c>
      <c r="K65" s="3" t="str">
        <f>IFERROR(__xludf.DUMMYFUNCTION("""COMPUTED_VALUE"""),"行銷營運中心")</f>
        <v>行銷營運中心</v>
      </c>
      <c r="L65" s="3" t="str">
        <f>IFERROR(__xludf.DUMMYFUNCTION("""COMPUTED_VALUE"""),"行銷營運中心")</f>
        <v>行銷營運中心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B66" s="3">
        <f>IFERROR(__xludf.DUMMYFUNCTION("""COMPUTED_VALUE"""),65.0)</f>
        <v>65</v>
      </c>
      <c r="C66" s="3" t="str">
        <f>IFERROR(__xludf.DUMMYFUNCTION("""COMPUTED_VALUE"""),"人事費用")</f>
        <v>人事費用</v>
      </c>
      <c r="D66" s="3" t="str">
        <f>IFERROR(__xludf.DUMMYFUNCTION("""COMPUTED_VALUE"""),"iCHEF")</f>
        <v>iCHEF</v>
      </c>
      <c r="E66" s="132"/>
      <c r="F66" s="3"/>
      <c r="G66" s="3"/>
      <c r="H66" s="3" t="str">
        <f>IFERROR(__xludf.DUMMYFUNCTION("""COMPUTED_VALUE"""),"社群工單 一般專案 超時費")</f>
        <v>社群工單 一般專案 超時費</v>
      </c>
      <c r="I66" s="133">
        <f>IFERROR(__xludf.DUMMYFUNCTION("""COMPUTED_VALUE"""),400.0)</f>
        <v>400</v>
      </c>
      <c r="J66" s="133" t="str">
        <f>IFERROR(__xludf.DUMMYFUNCTION("""COMPUTED_VALUE"""),"小時")</f>
        <v>小時</v>
      </c>
      <c r="K66" s="3" t="str">
        <f>IFERROR(__xludf.DUMMYFUNCTION("""COMPUTED_VALUE"""),"行銷營運中心")</f>
        <v>行銷營運中心</v>
      </c>
      <c r="L66" s="3" t="str">
        <f>IFERROR(__xludf.DUMMYFUNCTION("""COMPUTED_VALUE"""),"行銷營運中心")</f>
        <v>行銷營運中心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B67" s="3">
        <f>IFERROR(__xludf.DUMMYFUNCTION("""COMPUTED_VALUE"""),66.0)</f>
        <v>66</v>
      </c>
      <c r="C67" s="3" t="str">
        <f>IFERROR(__xludf.DUMMYFUNCTION("""COMPUTED_VALUE"""),"人事費用")</f>
        <v>人事費用</v>
      </c>
      <c r="D67" s="3" t="str">
        <f>IFERROR(__xludf.DUMMYFUNCTION("""COMPUTED_VALUE"""),"iCHEF")</f>
        <v>iCHEF</v>
      </c>
      <c r="E67" s="132"/>
      <c r="F67" s="3"/>
      <c r="G67" s="3"/>
      <c r="H67" s="3" t="str">
        <f>IFERROR(__xludf.DUMMYFUNCTION("""COMPUTED_VALUE"""),"客服 一般工單")</f>
        <v>客服 一般工單</v>
      </c>
      <c r="I67" s="133">
        <f>IFERROR(__xludf.DUMMYFUNCTION("""COMPUTED_VALUE"""),750.0)</f>
        <v>750</v>
      </c>
      <c r="J67" s="133" t="str">
        <f>IFERROR(__xludf.DUMMYFUNCTION("""COMPUTED_VALUE"""),"次")</f>
        <v>次</v>
      </c>
      <c r="K67" s="3" t="str">
        <f>IFERROR(__xludf.DUMMYFUNCTION("""COMPUTED_VALUE"""),"研發中心")</f>
        <v>研發中心</v>
      </c>
      <c r="L67" s="3" t="str">
        <f>IFERROR(__xludf.DUMMYFUNCTION("""COMPUTED_VALUE"""),"研發中心")</f>
        <v>研發中心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B68" s="3">
        <f>IFERROR(__xludf.DUMMYFUNCTION("""COMPUTED_VALUE"""),67.0)</f>
        <v>67</v>
      </c>
      <c r="C68" s="3" t="str">
        <f>IFERROR(__xludf.DUMMYFUNCTION("""COMPUTED_VALUE"""),"人事費用")</f>
        <v>人事費用</v>
      </c>
      <c r="D68" s="3" t="str">
        <f>IFERROR(__xludf.DUMMYFUNCTION("""COMPUTED_VALUE"""),"iCHEF")</f>
        <v>iCHEF</v>
      </c>
      <c r="E68" s="132"/>
      <c r="F68" s="3"/>
      <c r="G68" s="3"/>
      <c r="H68" s="3" t="str">
        <f>IFERROR(__xludf.DUMMYFUNCTION("""COMPUTED_VALUE"""),"RD 值班費 ")</f>
        <v>RD 值班費 </v>
      </c>
      <c r="I68" s="133" t="str">
        <f>IFERROR(__xludf.DUMMYFUNCTION("""COMPUTED_VALUE"""),"不定")</f>
        <v>不定</v>
      </c>
      <c r="J68" s="133" t="str">
        <f>IFERROR(__xludf.DUMMYFUNCTION("""COMPUTED_VALUE"""),"每月 $1,667 (BE, iOS)")</f>
        <v>每月 $1,667 (BE, iOS)</v>
      </c>
      <c r="K68" s="3" t="str">
        <f>IFERROR(__xludf.DUMMYFUNCTION("""COMPUTED_VALUE"""),"研發中心")</f>
        <v>研發中心</v>
      </c>
      <c r="L68" s="3" t="str">
        <f>IFERROR(__xludf.DUMMYFUNCTION("""COMPUTED_VALUE"""),"研發中心")</f>
        <v>研發中心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B69" s="3">
        <f>IFERROR(__xludf.DUMMYFUNCTION("""COMPUTED_VALUE"""),68.0)</f>
        <v>68</v>
      </c>
      <c r="C69" s="3" t="str">
        <f>IFERROR(__xludf.DUMMYFUNCTION("""COMPUTED_VALUE"""),"人事費用")</f>
        <v>人事費用</v>
      </c>
      <c r="D69" s="3" t="str">
        <f>IFERROR(__xludf.DUMMYFUNCTION("""COMPUTED_VALUE"""),"iCHEF")</f>
        <v>iCHEF</v>
      </c>
      <c r="E69" s="132"/>
      <c r="F69" s="3"/>
      <c r="G69" s="3"/>
      <c r="H69" s="3" t="str">
        <f>IFERROR(__xludf.DUMMYFUNCTION("""COMPUTED_VALUE"""),"RD 加班費")</f>
        <v>RD 加班費</v>
      </c>
      <c r="I69" s="133" t="str">
        <f>IFERROR(__xludf.DUMMYFUNCTION("""COMPUTED_VALUE"""),"不定")</f>
        <v>不定</v>
      </c>
      <c r="J69" s="133" t="str">
        <f>IFERROR(__xludf.DUMMYFUNCTION("""COMPUTED_VALUE"""),"每月 $2,354 (SE, PM, DSN,QA,PE)")</f>
        <v>每月 $2,354 (SE, PM, DSN,QA,PE)</v>
      </c>
      <c r="K69" s="3" t="str">
        <f>IFERROR(__xludf.DUMMYFUNCTION("""COMPUTED_VALUE"""),"研發中心")</f>
        <v>研發中心</v>
      </c>
      <c r="L69" s="3" t="str">
        <f>IFERROR(__xludf.DUMMYFUNCTION("""COMPUTED_VALUE"""),"研發中心")</f>
        <v>研發中心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B70" s="3">
        <f>IFERROR(__xludf.DUMMYFUNCTION("""COMPUTED_VALUE"""),69.0)</f>
        <v>69</v>
      </c>
      <c r="C70" s="3" t="str">
        <f>IFERROR(__xludf.DUMMYFUNCTION("""COMPUTED_VALUE"""),"非人事費用")</f>
        <v>非人事費用</v>
      </c>
      <c r="D70" s="3" t="str">
        <f>IFERROR(__xludf.DUMMYFUNCTION("""COMPUTED_VALUE"""),"iCHEF")</f>
        <v>iCHEF</v>
      </c>
      <c r="E70" s="132"/>
      <c r="F70" s="3"/>
      <c r="G70" s="3"/>
      <c r="H70" s="3" t="str">
        <f>IFERROR(__xludf.DUMMYFUNCTION("""COMPUTED_VALUE"""),"資訊裝置")</f>
        <v>資訊裝置</v>
      </c>
      <c r="I70" s="133" t="str">
        <f>IFERROR(__xludf.DUMMYFUNCTION("""COMPUTED_VALUE"""),"計算參照：中心設備明細（滿三年、新人）")</f>
        <v>計算參照：中心設備明細（滿三年、新人）</v>
      </c>
      <c r="J70" s="133" t="str">
        <f>IFERROR(__xludf.DUMMYFUNCTION("""COMPUTED_VALUE"""),"4年/人")</f>
        <v>4年/人</v>
      </c>
      <c r="K70" s="3" t="str">
        <f>IFERROR(__xludf.DUMMYFUNCTION("""COMPUTED_VALUE"""),"各專業中心")</f>
        <v>各專業中心</v>
      </c>
      <c r="L70" s="3" t="str">
        <f>IFERROR(__xludf.DUMMYFUNCTION("""COMPUTED_VALUE"""),"各專業中心")</f>
        <v>各專業中心</v>
      </c>
      <c r="M70" s="3" t="str">
        <f>IFERROR(__xludf.DUMMYFUNCTION("""COMPUTED_VALUE"""),"金額請參考中心設備明細（滿三年、新人）")</f>
        <v>金額請參考中心設備明細（滿三年、新人）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B71" s="3">
        <f>IFERROR(__xludf.DUMMYFUNCTION("""COMPUTED_VALUE"""),70.0)</f>
        <v>70</v>
      </c>
      <c r="C71" s="3" t="str">
        <f>IFERROR(__xludf.DUMMYFUNCTION("""COMPUTED_VALUE"""),"非人事費用")</f>
        <v>非人事費用</v>
      </c>
      <c r="D71" s="3" t="str">
        <f>IFERROR(__xludf.DUMMYFUNCTION("""COMPUTED_VALUE"""),"iCHEF")</f>
        <v>iCHEF</v>
      </c>
      <c r="E71" s="132" t="str">
        <f>IFERROR(__xludf.DUMMYFUNCTION("""COMPUTED_VALUE"""),"6x3201")</f>
        <v>6x3201</v>
      </c>
      <c r="F71" s="3" t="str">
        <f>IFERROR(__xludf.DUMMYFUNCTION("""COMPUTED_VALUE"""),"其他費用")</f>
        <v>其他費用</v>
      </c>
      <c r="G71" s="3" t="str">
        <f>IFERROR(__xludf.DUMMYFUNCTION("""COMPUTED_VALUE"""),"辦公軟體")</f>
        <v>辦公軟體</v>
      </c>
      <c r="H71" s="3" t="str">
        <f>IFERROR(__xludf.DUMMYFUNCTION("""COMPUTED_VALUE"""),"通用軟體 GWS")</f>
        <v>通用軟體 GWS</v>
      </c>
      <c r="I71" s="133">
        <f>IFERROR(__xludf.DUMMYFUNCTION("""COMPUTED_VALUE"""),412.0)</f>
        <v>412</v>
      </c>
      <c r="J71" s="133">
        <f>IFERROR(__xludf.DUMMYFUNCTION("""COMPUTED_VALUE"""),4944.0)</f>
        <v>4944</v>
      </c>
      <c r="K71" s="3" t="str">
        <f>IFERROR(__xludf.DUMMYFUNCTION("""COMPUTED_VALUE"""),"各專業中心")</f>
        <v>各專業中心</v>
      </c>
      <c r="L71" s="3" t="str">
        <f>IFERROR(__xludf.DUMMYFUNCTION("""COMPUTED_VALUE"""),"各專業中心")</f>
        <v>各專業中心</v>
      </c>
      <c r="M71" s="3" t="str">
        <f>IFERROR(__xludf.DUMMYFUNCTION("""COMPUTED_VALUE"""),"牌價上漲USD 12/月 -&gt; USD 14/月")</f>
        <v>牌價上漲USD 12/月 -&gt; USD 14/月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B72" s="3">
        <f>IFERROR(__xludf.DUMMYFUNCTION("""COMPUTED_VALUE"""),71.0)</f>
        <v>71</v>
      </c>
      <c r="C72" s="3" t="str">
        <f>IFERROR(__xludf.DUMMYFUNCTION("""COMPUTED_VALUE"""),"非人事費用")</f>
        <v>非人事費用</v>
      </c>
      <c r="D72" s="3" t="str">
        <f>IFERROR(__xludf.DUMMYFUNCTION("""COMPUTED_VALUE"""),"iCHEF")</f>
        <v>iCHEF</v>
      </c>
      <c r="E72" s="132" t="str">
        <f>IFERROR(__xludf.DUMMYFUNCTION("""COMPUTED_VALUE"""),"6x3201")</f>
        <v>6x3201</v>
      </c>
      <c r="F72" s="3" t="str">
        <f>IFERROR(__xludf.DUMMYFUNCTION("""COMPUTED_VALUE"""),"其他費用")</f>
        <v>其他費用</v>
      </c>
      <c r="G72" s="3" t="str">
        <f>IFERROR(__xludf.DUMMYFUNCTION("""COMPUTED_VALUE"""),"辦公軟體")</f>
        <v>辦公軟體</v>
      </c>
      <c r="H72" s="3" t="str">
        <f>IFERROR(__xludf.DUMMYFUNCTION("""COMPUTED_VALUE"""),"專用軟體 MAC (JAMF) 裝置控管")</f>
        <v>專用軟體 MAC (JAMF) 裝置控管</v>
      </c>
      <c r="I72" s="133">
        <f>IFERROR(__xludf.DUMMYFUNCTION("""COMPUTED_VALUE"""),300.0)</f>
        <v>300</v>
      </c>
      <c r="J72" s="133">
        <f>IFERROR(__xludf.DUMMYFUNCTION("""COMPUTED_VALUE"""),3600.0)</f>
        <v>3600</v>
      </c>
      <c r="K72" s="3" t="str">
        <f>IFERROR(__xludf.DUMMYFUNCTION("""COMPUTED_VALUE"""),"各專業中心")</f>
        <v>各專業中心</v>
      </c>
      <c r="L72" s="3" t="str">
        <f>IFERROR(__xludf.DUMMYFUNCTION("""COMPUTED_VALUE"""),"各專業中心")</f>
        <v>各專業中心</v>
      </c>
      <c r="M72" s="3" t="str">
        <f>IFERROR(__xludf.DUMMYFUNCTION("""COMPUTED_VALUE"""),"2025 新方案, 單價下降 NT 4548 -&gt; NT 3600")</f>
        <v>2025 新方案, 單價下降 NT 4548 -&gt; NT 3600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B73" s="3">
        <f>IFERROR(__xludf.DUMMYFUNCTION("""COMPUTED_VALUE"""),72.0)</f>
        <v>72</v>
      </c>
      <c r="C73" s="3" t="str">
        <f>IFERROR(__xludf.DUMMYFUNCTION("""COMPUTED_VALUE"""),"非人事費用")</f>
        <v>非人事費用</v>
      </c>
      <c r="D73" s="3" t="str">
        <f>IFERROR(__xludf.DUMMYFUNCTION("""COMPUTED_VALUE"""),"iCHEF")</f>
        <v>iCHEF</v>
      </c>
      <c r="E73" s="132" t="str">
        <f>IFERROR(__xludf.DUMMYFUNCTION("""COMPUTED_VALUE"""),"6x3201")</f>
        <v>6x3201</v>
      </c>
      <c r="F73" s="3" t="str">
        <f>IFERROR(__xludf.DUMMYFUNCTION("""COMPUTED_VALUE"""),"其他費用")</f>
        <v>其他費用</v>
      </c>
      <c r="G73" s="3" t="str">
        <f>IFERROR(__xludf.DUMMYFUNCTION("""COMPUTED_VALUE"""),"辦公軟體")</f>
        <v>辦公軟體</v>
      </c>
      <c r="H73" s="3" t="str">
        <f>IFERROR(__xludf.DUMMYFUNCTION("""COMPUTED_VALUE"""),"通用軟體 Apollo")</f>
        <v>通用軟體 Apollo</v>
      </c>
      <c r="I73" s="133">
        <f>IFERROR(__xludf.DUMMYFUNCTION("""COMPUTED_VALUE"""),124.0)</f>
        <v>124</v>
      </c>
      <c r="J73" s="133">
        <f>IFERROR(__xludf.DUMMYFUNCTION("""COMPUTED_VALUE"""),1482.0)</f>
        <v>1482</v>
      </c>
      <c r="K73" s="3" t="str">
        <f>IFERROR(__xludf.DUMMYFUNCTION("""COMPUTED_VALUE"""),"各專業中心")</f>
        <v>各專業中心</v>
      </c>
      <c r="L73" s="3" t="str">
        <f>IFERROR(__xludf.DUMMYFUNCTION("""COMPUTED_VALUE"""),"各專業中心")</f>
        <v>各專業中心</v>
      </c>
      <c r="M73" s="3" t="str">
        <f>IFERROR(__xludf.DUMMYFUNCTION("""COMPUTED_VALUE"""),"2026/1/1 改成 通用軟體 104人資系統")</f>
        <v>2026/1/1 改成 通用軟體 104人資系統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B74" s="3">
        <f>IFERROR(__xludf.DUMMYFUNCTION("""COMPUTED_VALUE"""),73.0)</f>
        <v>73</v>
      </c>
      <c r="C74" s="3" t="str">
        <f>IFERROR(__xludf.DUMMYFUNCTION("""COMPUTED_VALUE"""),"非人事費用")</f>
        <v>非人事費用</v>
      </c>
      <c r="D74" s="3" t="str">
        <f>IFERROR(__xludf.DUMMYFUNCTION("""COMPUTED_VALUE"""),"iCHEF")</f>
        <v>iCHEF</v>
      </c>
      <c r="E74" s="132" t="str">
        <f>IFERROR(__xludf.DUMMYFUNCTION("""COMPUTED_VALUE"""),"6x3201")</f>
        <v>6x3201</v>
      </c>
      <c r="F74" s="3" t="str">
        <f>IFERROR(__xludf.DUMMYFUNCTION("""COMPUTED_VALUE"""),"其他費用")</f>
        <v>其他費用</v>
      </c>
      <c r="G74" s="3" t="str">
        <f>IFERROR(__xludf.DUMMYFUNCTION("""COMPUTED_VALUE"""),"辦公軟體")</f>
        <v>辦公軟體</v>
      </c>
      <c r="H74" s="3" t="str">
        <f>IFERROR(__xludf.DUMMYFUNCTION("""COMPUTED_VALUE"""),"專用軟體 Netsuite 主管/看管報帳號")</f>
        <v>專用軟體 Netsuite 主管/看管報帳號</v>
      </c>
      <c r="I74" s="134">
        <f>IFERROR(__xludf.DUMMYFUNCTION("""COMPUTED_VALUE"""),1384.0)</f>
        <v>1384</v>
      </c>
      <c r="J74" s="134">
        <f>IFERROR(__xludf.DUMMYFUNCTION("""COMPUTED_VALUE"""),16608.0)</f>
        <v>16608</v>
      </c>
      <c r="K74" s="3" t="str">
        <f>IFERROR(__xludf.DUMMYFUNCTION("""COMPUTED_VALUE"""),"各專業中心")</f>
        <v>各專業中心</v>
      </c>
      <c r="L74" s="3" t="str">
        <f>IFERROR(__xludf.DUMMYFUNCTION("""COMPUTED_VALUE"""),"各專業中心")</f>
        <v>各專業中心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B75" s="3">
        <f>IFERROR(__xludf.DUMMYFUNCTION("""COMPUTED_VALUE"""),74.0)</f>
        <v>74</v>
      </c>
      <c r="C75" s="3" t="str">
        <f>IFERROR(__xludf.DUMMYFUNCTION("""COMPUTED_VALUE"""),"非人事費用")</f>
        <v>非人事費用</v>
      </c>
      <c r="D75" s="3" t="str">
        <f>IFERROR(__xludf.DUMMYFUNCTION("""COMPUTED_VALUE"""),"iCHEF")</f>
        <v>iCHEF</v>
      </c>
      <c r="E75" s="132" t="str">
        <f>IFERROR(__xludf.DUMMYFUNCTION("""COMPUTED_VALUE"""),"6x3201")</f>
        <v>6x3201</v>
      </c>
      <c r="F75" s="3" t="str">
        <f>IFERROR(__xludf.DUMMYFUNCTION("""COMPUTED_VALUE"""),"其他費用")</f>
        <v>其他費用</v>
      </c>
      <c r="G75" s="3" t="str">
        <f>IFERROR(__xludf.DUMMYFUNCTION("""COMPUTED_VALUE"""),"辦公軟體")</f>
        <v>辦公軟體</v>
      </c>
      <c r="H75" s="3" t="str">
        <f>IFERROR(__xludf.DUMMYFUNCTION("""COMPUTED_VALUE"""),"專用軟體 Netsuite 員工帳號")</f>
        <v>專用軟體 Netsuite 員工帳號</v>
      </c>
      <c r="I75" s="134">
        <f>IFERROR(__xludf.DUMMYFUNCTION("""COMPUTED_VALUE"""),229.0)</f>
        <v>229</v>
      </c>
      <c r="J75" s="134">
        <f>IFERROR(__xludf.DUMMYFUNCTION("""COMPUTED_VALUE"""),2748.0)</f>
        <v>2748</v>
      </c>
      <c r="K75" s="3" t="str">
        <f>IFERROR(__xludf.DUMMYFUNCTION("""COMPUTED_VALUE"""),"各專業中心")</f>
        <v>各專業中心</v>
      </c>
      <c r="L75" s="3" t="str">
        <f>IFERROR(__xludf.DUMMYFUNCTION("""COMPUTED_VALUE"""),"各專業中心")</f>
        <v>各專業中心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B76" s="3">
        <f>IFERROR(__xludf.DUMMYFUNCTION("""COMPUTED_VALUE"""),75.0)</f>
        <v>75</v>
      </c>
      <c r="C76" s="3" t="str">
        <f>IFERROR(__xludf.DUMMYFUNCTION("""COMPUTED_VALUE"""),"非人事費用")</f>
        <v>非人事費用</v>
      </c>
      <c r="D76" s="3" t="str">
        <f>IFERROR(__xludf.DUMMYFUNCTION("""COMPUTED_VALUE"""),"iCHEF")</f>
        <v>iCHEF</v>
      </c>
      <c r="E76" s="132" t="str">
        <f>IFERROR(__xludf.DUMMYFUNCTION("""COMPUTED_VALUE"""),"6x3201")</f>
        <v>6x3201</v>
      </c>
      <c r="F76" s="3" t="str">
        <f>IFERROR(__xludf.DUMMYFUNCTION("""COMPUTED_VALUE"""),"其他費用")</f>
        <v>其他費用</v>
      </c>
      <c r="G76" s="3" t="str">
        <f>IFERROR(__xludf.DUMMYFUNCTION("""COMPUTED_VALUE"""),"辦公軟體")</f>
        <v>辦公軟體</v>
      </c>
      <c r="H76" s="3" t="str">
        <f>IFERROR(__xludf.DUMMYFUNCTION("""COMPUTED_VALUE"""),"專用軟體 Office")</f>
        <v>專用軟體 Office</v>
      </c>
      <c r="I76" s="133">
        <f>IFERROR(__xludf.DUMMYFUNCTION("""COMPUTED_VALUE"""),282.0)</f>
        <v>282</v>
      </c>
      <c r="J76" s="133">
        <f>IFERROR(__xludf.DUMMYFUNCTION("""COMPUTED_VALUE"""),3381.0)</f>
        <v>3381</v>
      </c>
      <c r="K76" s="3" t="str">
        <f>IFERROR(__xludf.DUMMYFUNCTION("""COMPUTED_VALUE"""),"各專業中心")</f>
        <v>各專業中心</v>
      </c>
      <c r="L76" s="3" t="str">
        <f>IFERROR(__xludf.DUMMYFUNCTION("""COMPUTED_VALUE"""),"各專業中心")</f>
        <v>各專業中心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B77" s="3">
        <f>IFERROR(__xludf.DUMMYFUNCTION("""COMPUTED_VALUE"""),76.0)</f>
        <v>76</v>
      </c>
      <c r="C77" s="3" t="str">
        <f>IFERROR(__xludf.DUMMYFUNCTION("""COMPUTED_VALUE"""),"非人事費用")</f>
        <v>非人事費用</v>
      </c>
      <c r="D77" s="3" t="str">
        <f>IFERROR(__xludf.DUMMYFUNCTION("""COMPUTED_VALUE"""),"iCHEF")</f>
        <v>iCHEF</v>
      </c>
      <c r="E77" s="132" t="str">
        <f>IFERROR(__xludf.DUMMYFUNCTION("""COMPUTED_VALUE"""),"6x3201")</f>
        <v>6x3201</v>
      </c>
      <c r="F77" s="3" t="str">
        <f>IFERROR(__xludf.DUMMYFUNCTION("""COMPUTED_VALUE"""),"其他費用")</f>
        <v>其他費用</v>
      </c>
      <c r="G77" s="3" t="str">
        <f>IFERROR(__xludf.DUMMYFUNCTION("""COMPUTED_VALUE"""),"辦公軟體")</f>
        <v>辦公軟體</v>
      </c>
      <c r="H77" s="3" t="str">
        <f>IFERROR(__xludf.DUMMYFUNCTION("""COMPUTED_VALUE"""),"專用軟體 Tableau Viewer")</f>
        <v>專用軟體 Tableau Viewer</v>
      </c>
      <c r="I77" s="134">
        <f>IFERROR(__xludf.DUMMYFUNCTION("""COMPUTED_VALUE"""),352.0)</f>
        <v>352</v>
      </c>
      <c r="J77" s="134">
        <f>IFERROR(__xludf.DUMMYFUNCTION("""COMPUTED_VALUE"""),4224.0)</f>
        <v>4224</v>
      </c>
      <c r="K77" s="3" t="str">
        <f>IFERROR(__xludf.DUMMYFUNCTION("""COMPUTED_VALUE"""),"各專業中心")</f>
        <v>各專業中心</v>
      </c>
      <c r="L77" s="3" t="str">
        <f>IFERROR(__xludf.DUMMYFUNCTION("""COMPUTED_VALUE"""),"各專業中心")</f>
        <v>各專業中心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B78" s="3">
        <f>IFERROR(__xludf.DUMMYFUNCTION("""COMPUTED_VALUE"""),77.0)</f>
        <v>77</v>
      </c>
      <c r="C78" s="3" t="str">
        <f>IFERROR(__xludf.DUMMYFUNCTION("""COMPUTED_VALUE"""),"非人事費用")</f>
        <v>非人事費用</v>
      </c>
      <c r="D78" s="3" t="str">
        <f>IFERROR(__xludf.DUMMYFUNCTION("""COMPUTED_VALUE"""),"iCHEF")</f>
        <v>iCHEF</v>
      </c>
      <c r="E78" s="132" t="str">
        <f>IFERROR(__xludf.DUMMYFUNCTION("""COMPUTED_VALUE"""),"6x3201")</f>
        <v>6x3201</v>
      </c>
      <c r="F78" s="3" t="str">
        <f>IFERROR(__xludf.DUMMYFUNCTION("""COMPUTED_VALUE"""),"其他費用")</f>
        <v>其他費用</v>
      </c>
      <c r="G78" s="3" t="str">
        <f>IFERROR(__xludf.DUMMYFUNCTION("""COMPUTED_VALUE"""),"辦公軟體")</f>
        <v>辦公軟體</v>
      </c>
      <c r="H78" s="3" t="str">
        <f>IFERROR(__xludf.DUMMYFUNCTION("""COMPUTED_VALUE"""),"專用軟體 Tableau Creator")</f>
        <v>專用軟體 Tableau Creator</v>
      </c>
      <c r="I78" s="134">
        <f>IFERROR(__xludf.DUMMYFUNCTION("""COMPUTED_VALUE"""),2354.0)</f>
        <v>2354</v>
      </c>
      <c r="J78" s="134">
        <f>IFERROR(__xludf.DUMMYFUNCTION("""COMPUTED_VALUE"""),28248.0)</f>
        <v>28248</v>
      </c>
      <c r="K78" s="3" t="str">
        <f>IFERROR(__xludf.DUMMYFUNCTION("""COMPUTED_VALUE"""),"各專業中心")</f>
        <v>各專業中心</v>
      </c>
      <c r="L78" s="3" t="str">
        <f>IFERROR(__xludf.DUMMYFUNCTION("""COMPUTED_VALUE"""),"各專業中心")</f>
        <v>各專業中心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B79" s="3">
        <f>IFERROR(__xludf.DUMMYFUNCTION("""COMPUTED_VALUE"""),78.0)</f>
        <v>78</v>
      </c>
      <c r="C79" s="3" t="str">
        <f>IFERROR(__xludf.DUMMYFUNCTION("""COMPUTED_VALUE"""),"非人事費用")</f>
        <v>非人事費用</v>
      </c>
      <c r="D79" s="3" t="str">
        <f>IFERROR(__xludf.DUMMYFUNCTION("""COMPUTED_VALUE"""),"iCHEF")</f>
        <v>iCHEF</v>
      </c>
      <c r="E79" s="132" t="str">
        <f>IFERROR(__xludf.DUMMYFUNCTION("""COMPUTED_VALUE"""),"6x3201")</f>
        <v>6x3201</v>
      </c>
      <c r="F79" s="3" t="str">
        <f>IFERROR(__xludf.DUMMYFUNCTION("""COMPUTED_VALUE"""),"其他費用")</f>
        <v>其他費用</v>
      </c>
      <c r="G79" s="3" t="str">
        <f>IFERROR(__xludf.DUMMYFUNCTION("""COMPUTED_VALUE"""),"辦公軟體")</f>
        <v>辦公軟體</v>
      </c>
      <c r="H79" s="3" t="str">
        <f>IFERROR(__xludf.DUMMYFUNCTION("""COMPUTED_VALUE"""),"專用軟體 Adobe Std")</f>
        <v>專用軟體 Adobe Std</v>
      </c>
      <c r="I79" s="133">
        <f>IFERROR(__xludf.DUMMYFUNCTION("""COMPUTED_VALUE"""),510.0)</f>
        <v>510</v>
      </c>
      <c r="J79" s="133">
        <f>IFERROR(__xludf.DUMMYFUNCTION("""COMPUTED_VALUE"""),6120.0)</f>
        <v>6120</v>
      </c>
      <c r="K79" s="3" t="str">
        <f>IFERROR(__xludf.DUMMYFUNCTION("""COMPUTED_VALUE"""),"各專業中心")</f>
        <v>各專業中心</v>
      </c>
      <c r="L79" s="3" t="str">
        <f>IFERROR(__xludf.DUMMYFUNCTION("""COMPUTED_VALUE"""),"各專業中心")</f>
        <v>各專業中心</v>
      </c>
      <c r="M79" s="3" t="str">
        <f>IFERROR(__xludf.DUMMYFUNCTION("""COMPUTED_VALUE"""),"匯差")</f>
        <v>匯差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B80" s="3">
        <f>IFERROR(__xludf.DUMMYFUNCTION("""COMPUTED_VALUE"""),79.0)</f>
        <v>79</v>
      </c>
      <c r="C80" s="3" t="str">
        <f>IFERROR(__xludf.DUMMYFUNCTION("""COMPUTED_VALUE"""),"非人事費用")</f>
        <v>非人事費用</v>
      </c>
      <c r="D80" s="3" t="str">
        <f>IFERROR(__xludf.DUMMYFUNCTION("""COMPUTED_VALUE"""),"iCHEF")</f>
        <v>iCHEF</v>
      </c>
      <c r="E80" s="132" t="str">
        <f>IFERROR(__xludf.DUMMYFUNCTION("""COMPUTED_VALUE"""),"6x3201")</f>
        <v>6x3201</v>
      </c>
      <c r="F80" s="3" t="str">
        <f>IFERROR(__xludf.DUMMYFUNCTION("""COMPUTED_VALUE"""),"其他費用")</f>
        <v>其他費用</v>
      </c>
      <c r="G80" s="3" t="str">
        <f>IFERROR(__xludf.DUMMYFUNCTION("""COMPUTED_VALUE"""),"辦公軟體")</f>
        <v>辦公軟體</v>
      </c>
      <c r="H80" s="3" t="str">
        <f>IFERROR(__xludf.DUMMYFUNCTION("""COMPUTED_VALUE"""),"專用軟體 Adobe Creative Cloud")</f>
        <v>專用軟體 Adobe Creative Cloud</v>
      </c>
      <c r="I80" s="133">
        <f>IFERROR(__xludf.DUMMYFUNCTION("""COMPUTED_VALUE"""),3000.0)</f>
        <v>3000</v>
      </c>
      <c r="J80" s="133">
        <f>IFERROR(__xludf.DUMMYFUNCTION("""COMPUTED_VALUE"""),36000.0)</f>
        <v>36000</v>
      </c>
      <c r="K80" s="3" t="str">
        <f>IFERROR(__xludf.DUMMYFUNCTION("""COMPUTED_VALUE"""),"各專業中心")</f>
        <v>各專業中心</v>
      </c>
      <c r="L80" s="3" t="str">
        <f>IFERROR(__xludf.DUMMYFUNCTION("""COMPUTED_VALUE"""),"各專業中心")</f>
        <v>各專業中心</v>
      </c>
      <c r="M80" s="3" t="str">
        <f>IFERROR(__xludf.DUMMYFUNCTION("""COMPUTED_VALUE"""),"匯差")</f>
        <v>匯差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B81" s="3">
        <f>IFERROR(__xludf.DUMMYFUNCTION("""COMPUTED_VALUE"""),80.0)</f>
        <v>80</v>
      </c>
      <c r="C81" s="3" t="str">
        <f>IFERROR(__xludf.DUMMYFUNCTION("""COMPUTED_VALUE"""),"非人事費用")</f>
        <v>非人事費用</v>
      </c>
      <c r="D81" s="3" t="str">
        <f>IFERROR(__xludf.DUMMYFUNCTION("""COMPUTED_VALUE"""),"iCHEF")</f>
        <v>iCHEF</v>
      </c>
      <c r="E81" s="132" t="str">
        <f>IFERROR(__xludf.DUMMYFUNCTION("""COMPUTED_VALUE"""),"6x3201")</f>
        <v>6x3201</v>
      </c>
      <c r="F81" s="3" t="str">
        <f>IFERROR(__xludf.DUMMYFUNCTION("""COMPUTED_VALUE"""),"其他費用")</f>
        <v>其他費用</v>
      </c>
      <c r="G81" s="3" t="str">
        <f>IFERROR(__xludf.DUMMYFUNCTION("""COMPUTED_VALUE"""),"辦公軟體")</f>
        <v>辦公軟體</v>
      </c>
      <c r="H81" s="3" t="str">
        <f>IFERROR(__xludf.DUMMYFUNCTION("""COMPUTED_VALUE"""),"專用軟體 Salesforce Sales Cloud")</f>
        <v>專用軟體 Salesforce Sales Cloud</v>
      </c>
      <c r="I81" s="133">
        <f>IFERROR(__xludf.DUMMYFUNCTION("""COMPUTED_VALUE"""),3728.0)</f>
        <v>3728</v>
      </c>
      <c r="J81" s="133">
        <f>IFERROR(__xludf.DUMMYFUNCTION("""COMPUTED_VALUE"""),44730.0)</f>
        <v>44730</v>
      </c>
      <c r="K81" s="3" t="str">
        <f>IFERROR(__xludf.DUMMYFUNCTION("""COMPUTED_VALUE"""),"各專業中心")</f>
        <v>各專業中心</v>
      </c>
      <c r="L81" s="3" t="str">
        <f>IFERROR(__xludf.DUMMYFUNCTION("""COMPUTED_VALUE"""),"各專業中心")</f>
        <v>各專業中心</v>
      </c>
      <c r="M81" s="3" t="str">
        <f>IFERROR(__xludf.DUMMYFUNCTION("""COMPUTED_VALUE"""),"續約單價上漲 USD 115.5 -&gt; USD 124.25, 匯率下降")</f>
        <v>續約單價上漲 USD 115.5 -&gt; USD 124.25, 匯率下降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B82" s="3">
        <f>IFERROR(__xludf.DUMMYFUNCTION("""COMPUTED_VALUE"""),81.0)</f>
        <v>81</v>
      </c>
      <c r="C82" s="3" t="str">
        <f>IFERROR(__xludf.DUMMYFUNCTION("""COMPUTED_VALUE"""),"非人事費用")</f>
        <v>非人事費用</v>
      </c>
      <c r="D82" s="3" t="str">
        <f>IFERROR(__xludf.DUMMYFUNCTION("""COMPUTED_VALUE"""),"iCHEF")</f>
        <v>iCHEF</v>
      </c>
      <c r="E82" s="132" t="str">
        <f>IFERROR(__xludf.DUMMYFUNCTION("""COMPUTED_VALUE"""),"6x3201")</f>
        <v>6x3201</v>
      </c>
      <c r="F82" s="3" t="str">
        <f>IFERROR(__xludf.DUMMYFUNCTION("""COMPUTED_VALUE"""),"其他費用")</f>
        <v>其他費用</v>
      </c>
      <c r="G82" s="3" t="str">
        <f>IFERROR(__xludf.DUMMYFUNCTION("""COMPUTED_VALUE"""),"辦公軟體")</f>
        <v>辦公軟體</v>
      </c>
      <c r="H82" s="3" t="str">
        <f>IFERROR(__xludf.DUMMYFUNCTION("""COMPUTED_VALUE"""),"專用軟體 Salesforce Service Cloud")</f>
        <v>專用軟體 Salesforce Service Cloud</v>
      </c>
      <c r="I82" s="133">
        <f>IFERROR(__xludf.DUMMYFUNCTION("""COMPUTED_VALUE"""),3728.0)</f>
        <v>3728</v>
      </c>
      <c r="J82" s="133">
        <f>IFERROR(__xludf.DUMMYFUNCTION("""COMPUTED_VALUE"""),44730.0)</f>
        <v>44730</v>
      </c>
      <c r="K82" s="3" t="str">
        <f>IFERROR(__xludf.DUMMYFUNCTION("""COMPUTED_VALUE"""),"各專業中心")</f>
        <v>各專業中心</v>
      </c>
      <c r="L82" s="3" t="str">
        <f>IFERROR(__xludf.DUMMYFUNCTION("""COMPUTED_VALUE"""),"各專業中心")</f>
        <v>各專業中心</v>
      </c>
      <c r="M82" s="3" t="str">
        <f>IFERROR(__xludf.DUMMYFUNCTION("""COMPUTED_VALUE"""),"續約單價上漲 USD 115.5 -&gt; USD 124.25, 匯率下降")</f>
        <v>續約單價上漲 USD 115.5 -&gt; USD 124.25, 匯率下降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B83" s="3">
        <f>IFERROR(__xludf.DUMMYFUNCTION("""COMPUTED_VALUE"""),82.0)</f>
        <v>82</v>
      </c>
      <c r="C83" s="3" t="str">
        <f>IFERROR(__xludf.DUMMYFUNCTION("""COMPUTED_VALUE"""),"非人事費用")</f>
        <v>非人事費用</v>
      </c>
      <c r="D83" s="3" t="str">
        <f>IFERROR(__xludf.DUMMYFUNCTION("""COMPUTED_VALUE"""),"iCHEF")</f>
        <v>iCHEF</v>
      </c>
      <c r="E83" s="132" t="str">
        <f>IFERROR(__xludf.DUMMYFUNCTION("""COMPUTED_VALUE"""),"6x3201")</f>
        <v>6x3201</v>
      </c>
      <c r="F83" s="3" t="str">
        <f>IFERROR(__xludf.DUMMYFUNCTION("""COMPUTED_VALUE"""),"其他費用")</f>
        <v>其他費用</v>
      </c>
      <c r="G83" s="3" t="str">
        <f>IFERROR(__xludf.DUMMYFUNCTION("""COMPUTED_VALUE"""),"辦公軟體")</f>
        <v>辦公軟體</v>
      </c>
      <c r="H83" s="3" t="str">
        <f>IFERROR(__xludf.DUMMYFUNCTION("""COMPUTED_VALUE"""),"專用軟體 Salesforce Sales+Service Cloud")</f>
        <v>專用軟體 Salesforce Sales+Service Cloud</v>
      </c>
      <c r="I83" s="133">
        <f>IFERROR(__xludf.DUMMYFUNCTION("""COMPUTED_VALUE"""),4680.0)</f>
        <v>4680</v>
      </c>
      <c r="J83" s="133">
        <f>IFERROR(__xludf.DUMMYFUNCTION("""COMPUTED_VALUE"""),56160.0)</f>
        <v>56160</v>
      </c>
      <c r="K83" s="3" t="str">
        <f>IFERROR(__xludf.DUMMYFUNCTION("""COMPUTED_VALUE"""),"各專業中心")</f>
        <v>各專業中心</v>
      </c>
      <c r="L83" s="3" t="str">
        <f>IFERROR(__xludf.DUMMYFUNCTION("""COMPUTED_VALUE"""),"各專業中心")</f>
        <v>各專業中心</v>
      </c>
      <c r="M83" s="3" t="str">
        <f>IFERROR(__xludf.DUMMYFUNCTION("""COMPUTED_VALUE"""),"續約單價上漲 USD 147-&gt; USD 156, 匯率下降")</f>
        <v>續約單價上漲 USD 147-&gt; USD 156, 匯率下降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B84" s="3">
        <f>IFERROR(__xludf.DUMMYFUNCTION("""COMPUTED_VALUE"""),83.0)</f>
        <v>83</v>
      </c>
      <c r="C84" s="3" t="str">
        <f>IFERROR(__xludf.DUMMYFUNCTION("""COMPUTED_VALUE"""),"非人事費用")</f>
        <v>非人事費用</v>
      </c>
      <c r="D84" s="3" t="str">
        <f>IFERROR(__xludf.DUMMYFUNCTION("""COMPUTED_VALUE"""),"iCHEF")</f>
        <v>iCHEF</v>
      </c>
      <c r="E84" s="132" t="str">
        <f>IFERROR(__xludf.DUMMYFUNCTION("""COMPUTED_VALUE"""),"6x3201")</f>
        <v>6x3201</v>
      </c>
      <c r="F84" s="3" t="str">
        <f>IFERROR(__xludf.DUMMYFUNCTION("""COMPUTED_VALUE"""),"其他費用")</f>
        <v>其他費用</v>
      </c>
      <c r="G84" s="3" t="str">
        <f>IFERROR(__xludf.DUMMYFUNCTION("""COMPUTED_VALUE"""),"辦公軟體")</f>
        <v>辦公軟體</v>
      </c>
      <c r="H84" s="3" t="str">
        <f>IFERROR(__xludf.DUMMYFUNCTION("""COMPUTED_VALUE"""),"通用軟體 Asana")</f>
        <v>通用軟體 Asana</v>
      </c>
      <c r="I84" s="133">
        <f>IFERROR(__xludf.DUMMYFUNCTION("""COMPUTED_VALUE"""),830.0)</f>
        <v>830</v>
      </c>
      <c r="J84" s="133">
        <f>IFERROR(__xludf.DUMMYFUNCTION("""COMPUTED_VALUE"""),9960.0)</f>
        <v>9960</v>
      </c>
      <c r="K84" s="3" t="str">
        <f>IFERROR(__xludf.DUMMYFUNCTION("""COMPUTED_VALUE"""),"各專業中心")</f>
        <v>各專業中心</v>
      </c>
      <c r="L84" s="3" t="str">
        <f>IFERROR(__xludf.DUMMYFUNCTION("""COMPUTED_VALUE"""),"各專業中心")</f>
        <v>各專業中心</v>
      </c>
      <c r="M84" s="3" t="str">
        <f>IFERROR(__xludf.DUMMYFUNCTION("""COMPUTED_VALUE"""),"新項目, 通用軟體單獨計算")</f>
        <v>新項目, 通用軟體單獨計算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B85" s="3">
        <f>IFERROR(__xludf.DUMMYFUNCTION("""COMPUTED_VALUE"""),84.0)</f>
        <v>84</v>
      </c>
      <c r="C85" s="3" t="str">
        <f>IFERROR(__xludf.DUMMYFUNCTION("""COMPUTED_VALUE"""),"非人事費用")</f>
        <v>非人事費用</v>
      </c>
      <c r="D85" s="3" t="str">
        <f>IFERROR(__xludf.DUMMYFUNCTION("""COMPUTED_VALUE"""),"iCHEF")</f>
        <v>iCHEF</v>
      </c>
      <c r="E85" s="132" t="str">
        <f>IFERROR(__xludf.DUMMYFUNCTION("""COMPUTED_VALUE"""),"6x3201")</f>
        <v>6x3201</v>
      </c>
      <c r="F85" s="3" t="str">
        <f>IFERROR(__xludf.DUMMYFUNCTION("""COMPUTED_VALUE"""),"其他費用")</f>
        <v>其他費用</v>
      </c>
      <c r="G85" s="3" t="str">
        <f>IFERROR(__xludf.DUMMYFUNCTION("""COMPUTED_VALUE"""),"辦公軟體")</f>
        <v>辦公軟體</v>
      </c>
      <c r="H85" s="3" t="str">
        <f>IFERROR(__xludf.DUMMYFUNCTION("""COMPUTED_VALUE"""),"通用軟體 Notion")</f>
        <v>通用軟體 Notion</v>
      </c>
      <c r="I85" s="133">
        <f>IFERROR(__xludf.DUMMYFUNCTION("""COMPUTED_VALUE"""),300.0)</f>
        <v>300</v>
      </c>
      <c r="J85" s="133">
        <f>IFERROR(__xludf.DUMMYFUNCTION("""COMPUTED_VALUE"""),3600.0)</f>
        <v>3600</v>
      </c>
      <c r="K85" s="3" t="str">
        <f>IFERROR(__xludf.DUMMYFUNCTION("""COMPUTED_VALUE"""),"各專業中心")</f>
        <v>各專業中心</v>
      </c>
      <c r="L85" s="3" t="str">
        <f>IFERROR(__xludf.DUMMYFUNCTION("""COMPUTED_VALUE"""),"各專業中心")</f>
        <v>各專業中心</v>
      </c>
      <c r="M85" s="3" t="str">
        <f>IFERROR(__xludf.DUMMYFUNCTION("""COMPUTED_VALUE"""),"新項目, 通用軟體單獨計算")</f>
        <v>新項目, 通用軟體單獨計算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B86" s="3">
        <f>IFERROR(__xludf.DUMMYFUNCTION("""COMPUTED_VALUE"""),85.0)</f>
        <v>85</v>
      </c>
      <c r="C86" s="3" t="str">
        <f>IFERROR(__xludf.DUMMYFUNCTION("""COMPUTED_VALUE"""),"非人事費用")</f>
        <v>非人事費用</v>
      </c>
      <c r="D86" s="3" t="str">
        <f>IFERROR(__xludf.DUMMYFUNCTION("""COMPUTED_VALUE"""),"iCHEF")</f>
        <v>iCHEF</v>
      </c>
      <c r="E86" s="132" t="str">
        <f>IFERROR(__xludf.DUMMYFUNCTION("""COMPUTED_VALUE"""),"6x3201")</f>
        <v>6x3201</v>
      </c>
      <c r="F86" s="3" t="str">
        <f>IFERROR(__xludf.DUMMYFUNCTION("""COMPUTED_VALUE"""),"其他費用")</f>
        <v>其他費用</v>
      </c>
      <c r="G86" s="3" t="str">
        <f>IFERROR(__xludf.DUMMYFUNCTION("""COMPUTED_VALUE"""),"辦公軟體")</f>
        <v>辦公軟體</v>
      </c>
      <c r="H86" s="3" t="str">
        <f>IFERROR(__xludf.DUMMYFUNCTION("""COMPUTED_VALUE"""),"通用軟體 Slack")</f>
        <v>通用軟體 Slack</v>
      </c>
      <c r="I86" s="133">
        <f>IFERROR(__xludf.DUMMYFUNCTION("""COMPUTED_VALUE"""),218.0)</f>
        <v>218</v>
      </c>
      <c r="J86" s="133">
        <f>IFERROR(__xludf.DUMMYFUNCTION("""COMPUTED_VALUE"""),2616.0)</f>
        <v>2616</v>
      </c>
      <c r="K86" s="3" t="str">
        <f>IFERROR(__xludf.DUMMYFUNCTION("""COMPUTED_VALUE"""),"各專業中心")</f>
        <v>各專業中心</v>
      </c>
      <c r="L86" s="3" t="str">
        <f>IFERROR(__xludf.DUMMYFUNCTION("""COMPUTED_VALUE"""),"各專業中心")</f>
        <v>各專業中心</v>
      </c>
      <c r="M86" s="3" t="str">
        <f>IFERROR(__xludf.DUMMYFUNCTION("""COMPUTED_VALUE"""),"新項目, 通用軟體單獨計算")</f>
        <v>新項目, 通用軟體單獨計算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B87" s="3">
        <f>IFERROR(__xludf.DUMMYFUNCTION("""COMPUTED_VALUE"""),86.0)</f>
        <v>86</v>
      </c>
      <c r="C87" s="3" t="str">
        <f>IFERROR(__xludf.DUMMYFUNCTION("""COMPUTED_VALUE"""),"非人事費用")</f>
        <v>非人事費用</v>
      </c>
      <c r="D87" s="3" t="str">
        <f>IFERROR(__xludf.DUMMYFUNCTION("""COMPUTED_VALUE"""),"iCHEF")</f>
        <v>iCHEF</v>
      </c>
      <c r="E87" s="132" t="str">
        <f>IFERROR(__xludf.DUMMYFUNCTION("""COMPUTED_VALUE"""),"6x3201")</f>
        <v>6x3201</v>
      </c>
      <c r="F87" s="3" t="str">
        <f>IFERROR(__xludf.DUMMYFUNCTION("""COMPUTED_VALUE"""),"其他費用")</f>
        <v>其他費用</v>
      </c>
      <c r="G87" s="3" t="str">
        <f>IFERROR(__xludf.DUMMYFUNCTION("""COMPUTED_VALUE"""),"辦公軟體")</f>
        <v>辦公軟體</v>
      </c>
      <c r="H87" s="3" t="str">
        <f>IFERROR(__xludf.DUMMYFUNCTION("""COMPUTED_VALUE"""),"辦公室VPN")</f>
        <v>辦公室VPN</v>
      </c>
      <c r="I87" s="133">
        <f>IFERROR(__xludf.DUMMYFUNCTION("""COMPUTED_VALUE"""),100.0)</f>
        <v>100</v>
      </c>
      <c r="J87" s="133">
        <f>IFERROR(__xludf.DUMMYFUNCTION("""COMPUTED_VALUE"""),1200.0)</f>
        <v>1200</v>
      </c>
      <c r="K87" s="3" t="str">
        <f>IFERROR(__xludf.DUMMYFUNCTION("""COMPUTED_VALUE"""),"各專業中心")</f>
        <v>各專業中心</v>
      </c>
      <c r="L87" s="3" t="str">
        <f>IFERROR(__xludf.DUMMYFUNCTION("""COMPUTED_VALUE"""),"各專業中心")</f>
        <v>各專業中心</v>
      </c>
      <c r="M87" s="3" t="str">
        <f>IFERROR(__xludf.DUMMYFUNCTION("""COMPUTED_VALUE"""),"新項目, 2025 沒攤給各中心, 2026 攤給各中心")</f>
        <v>新項目, 2025 沒攤給各中心, 2026 攤給各中心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B88" s="3">
        <f>IFERROR(__xludf.DUMMYFUNCTION("""COMPUTED_VALUE"""),87.0)</f>
        <v>87</v>
      </c>
      <c r="C88" s="3" t="str">
        <f>IFERROR(__xludf.DUMMYFUNCTION("""COMPUTED_VALUE"""),"非人事費用")</f>
        <v>非人事費用</v>
      </c>
      <c r="D88" s="3" t="str">
        <f>IFERROR(__xludf.DUMMYFUNCTION("""COMPUTED_VALUE"""),"iCHEF")</f>
        <v>iCHEF</v>
      </c>
      <c r="E88" s="132" t="str">
        <f>IFERROR(__xludf.DUMMYFUNCTION("""COMPUTED_VALUE"""),"6x3201")</f>
        <v>6x3201</v>
      </c>
      <c r="F88" s="3" t="str">
        <f>IFERROR(__xludf.DUMMYFUNCTION("""COMPUTED_VALUE"""),"其他費用")</f>
        <v>其他費用</v>
      </c>
      <c r="G88" s="3" t="str">
        <f>IFERROR(__xludf.DUMMYFUNCTION("""COMPUTED_VALUE"""),"辦公軟體")</f>
        <v>辦公軟體</v>
      </c>
      <c r="H88" s="3" t="str">
        <f>IFERROR(__xludf.DUMMYFUNCTION("""COMPUTED_VALUE"""),"點點簽")</f>
        <v>點點簽</v>
      </c>
      <c r="I88" s="133">
        <f>IFERROR(__xludf.DUMMYFUNCTION("""COMPUTED_VALUE"""),450.0)</f>
        <v>450</v>
      </c>
      <c r="J88" s="133">
        <f>IFERROR(__xludf.DUMMYFUNCTION("""COMPUTED_VALUE"""),5400.0)</f>
        <v>5400</v>
      </c>
      <c r="K88" s="3" t="str">
        <f>IFERROR(__xludf.DUMMYFUNCTION("""COMPUTED_VALUE"""),"各專業中心")</f>
        <v>各專業中心</v>
      </c>
      <c r="L88" s="3" t="str">
        <f>IFERROR(__xludf.DUMMYFUNCTION("""COMPUTED_VALUE"""),"各專業中心")</f>
        <v>各專業中心</v>
      </c>
      <c r="M88" s="3" t="str">
        <f>IFERROR(__xludf.DUMMYFUNCTION("""COMPUTED_VALUE"""),"新項目, 2025 轉給資訊管理")</f>
        <v>新項目, 2025 轉給資訊管理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B89" s="3">
        <f>IFERROR(__xludf.DUMMYFUNCTION("""COMPUTED_VALUE"""),88.0)</f>
        <v>88</v>
      </c>
      <c r="C89" s="3" t="str">
        <f>IFERROR(__xludf.DUMMYFUNCTION("""COMPUTED_VALUE"""),"非人事費用")</f>
        <v>非人事費用</v>
      </c>
      <c r="D89" s="3" t="str">
        <f>IFERROR(__xludf.DUMMYFUNCTION("""COMPUTED_VALUE"""),"QLR")</f>
        <v>QLR</v>
      </c>
      <c r="E89" s="132" t="str">
        <f>IFERROR(__xludf.DUMMYFUNCTION("""COMPUTED_VALUE"""),"6x3201")</f>
        <v>6x3201</v>
      </c>
      <c r="F89" s="3" t="str">
        <f>IFERROR(__xludf.DUMMYFUNCTION("""COMPUTED_VALUE"""),"其他費用")</f>
        <v>其他費用</v>
      </c>
      <c r="G89" s="3" t="str">
        <f>IFERROR(__xludf.DUMMYFUNCTION("""COMPUTED_VALUE"""),"辦公軟體")</f>
        <v>辦公軟體</v>
      </c>
      <c r="H89" s="3" t="str">
        <f>IFERROR(__xludf.DUMMYFUNCTION("""COMPUTED_VALUE"""),"通用軟體 GWS")</f>
        <v>通用軟體 GWS</v>
      </c>
      <c r="I89" s="133">
        <f>IFERROR(__xludf.DUMMYFUNCTION("""COMPUTED_VALUE"""),180.0)</f>
        <v>180</v>
      </c>
      <c r="J89" s="133">
        <f>IFERROR(__xludf.DUMMYFUNCTION("""COMPUTED_VALUE"""),2160.0)</f>
        <v>2160</v>
      </c>
      <c r="K89" s="3" t="str">
        <f>IFERROR(__xludf.DUMMYFUNCTION("""COMPUTED_VALUE"""),"各專業中心")</f>
        <v>各專業中心</v>
      </c>
      <c r="L89" s="3" t="str">
        <f>IFERROR(__xludf.DUMMYFUNCTION("""COMPUTED_VALUE"""),"各專業中心")</f>
        <v>各專業中心</v>
      </c>
      <c r="M89" s="3" t="str">
        <f>IFERROR(__xludf.DUMMYFUNCTION("""COMPUTED_VALUE"""),"新項目, 通用軟體單獨計算")</f>
        <v>新項目, 通用軟體單獨計算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B90" s="3">
        <f>IFERROR(__xludf.DUMMYFUNCTION("""COMPUTED_VALUE"""),89.0)</f>
        <v>89</v>
      </c>
      <c r="C90" s="3" t="str">
        <f>IFERROR(__xludf.DUMMYFUNCTION("""COMPUTED_VALUE"""),"非人事費用")</f>
        <v>非人事費用</v>
      </c>
      <c r="D90" s="3" t="str">
        <f>IFERROR(__xludf.DUMMYFUNCTION("""COMPUTED_VALUE"""),"QLR")</f>
        <v>QLR</v>
      </c>
      <c r="E90" s="132" t="str">
        <f>IFERROR(__xludf.DUMMYFUNCTION("""COMPUTED_VALUE"""),"6x3201")</f>
        <v>6x3201</v>
      </c>
      <c r="F90" s="3" t="str">
        <f>IFERROR(__xludf.DUMMYFUNCTION("""COMPUTED_VALUE"""),"其他費用")</f>
        <v>其他費用</v>
      </c>
      <c r="G90" s="3" t="str">
        <f>IFERROR(__xludf.DUMMYFUNCTION("""COMPUTED_VALUE"""),"辦公軟體")</f>
        <v>辦公軟體</v>
      </c>
      <c r="H90" s="3" t="str">
        <f>IFERROR(__xludf.DUMMYFUNCTION("""COMPUTED_VALUE"""),"專用軟體 Netsuite 主管/看管報帳號")</f>
        <v>專用軟體 Netsuite 主管/看管報帳號</v>
      </c>
      <c r="I90" s="134">
        <f>IFERROR(__xludf.DUMMYFUNCTION("""COMPUTED_VALUE"""),1384.0)</f>
        <v>1384</v>
      </c>
      <c r="J90" s="134">
        <f>IFERROR(__xludf.DUMMYFUNCTION("""COMPUTED_VALUE"""),16608.0)</f>
        <v>16608</v>
      </c>
      <c r="K90" s="3" t="str">
        <f>IFERROR(__xludf.DUMMYFUNCTION("""COMPUTED_VALUE"""),"各專業中心")</f>
        <v>各專業中心</v>
      </c>
      <c r="L90" s="3" t="str">
        <f>IFERROR(__xludf.DUMMYFUNCTION("""COMPUTED_VALUE"""),"各專業中心")</f>
        <v>各專業中心</v>
      </c>
      <c r="M90" s="3" t="str">
        <f>IFERROR(__xludf.DUMMYFUNCTION("""COMPUTED_VALUE"""),"新項目, 通用軟體單獨計算")</f>
        <v>新項目, 通用軟體單獨計算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B91" s="3">
        <f>IFERROR(__xludf.DUMMYFUNCTION("""COMPUTED_VALUE"""),90.0)</f>
        <v>90</v>
      </c>
      <c r="C91" s="3" t="str">
        <f>IFERROR(__xludf.DUMMYFUNCTION("""COMPUTED_VALUE"""),"非人事費用")</f>
        <v>非人事費用</v>
      </c>
      <c r="D91" s="3" t="str">
        <f>IFERROR(__xludf.DUMMYFUNCTION("""COMPUTED_VALUE"""),"QLR")</f>
        <v>QLR</v>
      </c>
      <c r="E91" s="132" t="str">
        <f>IFERROR(__xludf.DUMMYFUNCTION("""COMPUTED_VALUE"""),"6x3201")</f>
        <v>6x3201</v>
      </c>
      <c r="F91" s="3" t="str">
        <f>IFERROR(__xludf.DUMMYFUNCTION("""COMPUTED_VALUE"""),"其他費用")</f>
        <v>其他費用</v>
      </c>
      <c r="G91" s="3" t="str">
        <f>IFERROR(__xludf.DUMMYFUNCTION("""COMPUTED_VALUE"""),"辦公軟體")</f>
        <v>辦公軟體</v>
      </c>
      <c r="H91" s="3" t="str">
        <f>IFERROR(__xludf.DUMMYFUNCTION("""COMPUTED_VALUE"""),"專用軟體 Netsuite 員工帳號")</f>
        <v>專用軟體 Netsuite 員工帳號</v>
      </c>
      <c r="I91" s="134">
        <f>IFERROR(__xludf.DUMMYFUNCTION("""COMPUTED_VALUE"""),229.0)</f>
        <v>229</v>
      </c>
      <c r="J91" s="134">
        <f>IFERROR(__xludf.DUMMYFUNCTION("""COMPUTED_VALUE"""),2748.0)</f>
        <v>2748</v>
      </c>
      <c r="K91" s="3" t="str">
        <f>IFERROR(__xludf.DUMMYFUNCTION("""COMPUTED_VALUE"""),"各專業中心")</f>
        <v>各專業中心</v>
      </c>
      <c r="L91" s="3" t="str">
        <f>IFERROR(__xludf.DUMMYFUNCTION("""COMPUTED_VALUE"""),"各專業中心")</f>
        <v>各專業中心</v>
      </c>
      <c r="M91" s="3" t="str">
        <f>IFERROR(__xludf.DUMMYFUNCTION("""COMPUTED_VALUE"""),"新項目, 通用軟體單獨計算")</f>
        <v>新項目, 通用軟體單獨計算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B92" s="3">
        <f>IFERROR(__xludf.DUMMYFUNCTION("""COMPUTED_VALUE"""),91.0)</f>
        <v>91</v>
      </c>
      <c r="C92" s="3" t="str">
        <f>IFERROR(__xludf.DUMMYFUNCTION("""COMPUTED_VALUE"""),"非人事費用")</f>
        <v>非人事費用</v>
      </c>
      <c r="D92" s="3" t="str">
        <f>IFERROR(__xludf.DUMMYFUNCTION("""COMPUTED_VALUE"""),"QLR")</f>
        <v>QLR</v>
      </c>
      <c r="E92" s="132" t="str">
        <f>IFERROR(__xludf.DUMMYFUNCTION("""COMPUTED_VALUE"""),"6x3201")</f>
        <v>6x3201</v>
      </c>
      <c r="F92" s="3" t="str">
        <f>IFERROR(__xludf.DUMMYFUNCTION("""COMPUTED_VALUE"""),"其他費用")</f>
        <v>其他費用</v>
      </c>
      <c r="G92" s="3" t="str">
        <f>IFERROR(__xludf.DUMMYFUNCTION("""COMPUTED_VALUE"""),"辦公軟體")</f>
        <v>辦公軟體</v>
      </c>
      <c r="H92" s="3" t="str">
        <f>IFERROR(__xludf.DUMMYFUNCTION("""COMPUTED_VALUE"""),"通用軟體 Asana")</f>
        <v>通用軟體 Asana</v>
      </c>
      <c r="I92" s="133">
        <f>IFERROR(__xludf.DUMMYFUNCTION("""COMPUTED_VALUE"""),750.0)</f>
        <v>750</v>
      </c>
      <c r="J92" s="133">
        <f>IFERROR(__xludf.DUMMYFUNCTION("""COMPUTED_VALUE"""),9000.0)</f>
        <v>9000</v>
      </c>
      <c r="K92" s="3" t="str">
        <f>IFERROR(__xludf.DUMMYFUNCTION("""COMPUTED_VALUE"""),"各專業中心")</f>
        <v>各專業中心</v>
      </c>
      <c r="L92" s="3" t="str">
        <f>IFERROR(__xludf.DUMMYFUNCTION("""COMPUTED_VALUE"""),"各專業中心")</f>
        <v>各專業中心</v>
      </c>
      <c r="M92" s="3" t="str">
        <f>IFERROR(__xludf.DUMMYFUNCTION("""COMPUTED_VALUE"""),"新項目, 通用軟體單獨計算")</f>
        <v>新項目, 通用軟體單獨計算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B93" s="3">
        <f>IFERROR(__xludf.DUMMYFUNCTION("""COMPUTED_VALUE"""),92.0)</f>
        <v>92</v>
      </c>
      <c r="C93" s="3" t="str">
        <f>IFERROR(__xludf.DUMMYFUNCTION("""COMPUTED_VALUE"""),"非人事費用")</f>
        <v>非人事費用</v>
      </c>
      <c r="D93" s="3" t="str">
        <f>IFERROR(__xludf.DUMMYFUNCTION("""COMPUTED_VALUE"""),"QLR")</f>
        <v>QLR</v>
      </c>
      <c r="E93" s="132" t="str">
        <f>IFERROR(__xludf.DUMMYFUNCTION("""COMPUTED_VALUE"""),"6x3201")</f>
        <v>6x3201</v>
      </c>
      <c r="F93" s="3" t="str">
        <f>IFERROR(__xludf.DUMMYFUNCTION("""COMPUTED_VALUE"""),"其他費用")</f>
        <v>其他費用</v>
      </c>
      <c r="G93" s="3" t="str">
        <f>IFERROR(__xludf.DUMMYFUNCTION("""COMPUTED_VALUE"""),"辦公軟體")</f>
        <v>辦公軟體</v>
      </c>
      <c r="H93" s="3" t="str">
        <f>IFERROR(__xludf.DUMMYFUNCTION("""COMPUTED_VALUE"""),"通用軟體 Notion")</f>
        <v>通用軟體 Notion</v>
      </c>
      <c r="I93" s="133">
        <f>IFERROR(__xludf.DUMMYFUNCTION("""COMPUTED_VALUE"""),300.0)</f>
        <v>300</v>
      </c>
      <c r="J93" s="133">
        <f>IFERROR(__xludf.DUMMYFUNCTION("""COMPUTED_VALUE"""),3600.0)</f>
        <v>3600</v>
      </c>
      <c r="K93" s="3" t="str">
        <f>IFERROR(__xludf.DUMMYFUNCTION("""COMPUTED_VALUE"""),"各專業中心")</f>
        <v>各專業中心</v>
      </c>
      <c r="L93" s="3" t="str">
        <f>IFERROR(__xludf.DUMMYFUNCTION("""COMPUTED_VALUE"""),"各專業中心")</f>
        <v>各專業中心</v>
      </c>
      <c r="M93" s="3" t="str">
        <f>IFERROR(__xludf.DUMMYFUNCTION("""COMPUTED_VALUE"""),"新項目, 通用軟體單獨計算")</f>
        <v>新項目, 通用軟體單獨計算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B94" s="3">
        <f>IFERROR(__xludf.DUMMYFUNCTION("""COMPUTED_VALUE"""),93.0)</f>
        <v>93</v>
      </c>
      <c r="C94" s="3" t="str">
        <f>IFERROR(__xludf.DUMMYFUNCTION("""COMPUTED_VALUE"""),"非人事費用")</f>
        <v>非人事費用</v>
      </c>
      <c r="D94" s="3" t="str">
        <f>IFERROR(__xludf.DUMMYFUNCTION("""COMPUTED_VALUE"""),"QLR")</f>
        <v>QLR</v>
      </c>
      <c r="E94" s="132" t="str">
        <f>IFERROR(__xludf.DUMMYFUNCTION("""COMPUTED_VALUE"""),"6x3201")</f>
        <v>6x3201</v>
      </c>
      <c r="F94" s="3" t="str">
        <f>IFERROR(__xludf.DUMMYFUNCTION("""COMPUTED_VALUE"""),"其他費用")</f>
        <v>其他費用</v>
      </c>
      <c r="G94" s="3" t="str">
        <f>IFERROR(__xludf.DUMMYFUNCTION("""COMPUTED_VALUE"""),"辦公軟體")</f>
        <v>辦公軟體</v>
      </c>
      <c r="H94" s="3" t="str">
        <f>IFERROR(__xludf.DUMMYFUNCTION("""COMPUTED_VALUE"""),"通用軟體 Slack")</f>
        <v>通用軟體 Slack</v>
      </c>
      <c r="I94" s="133">
        <f>IFERROR(__xludf.DUMMYFUNCTION("""COMPUTED_VALUE"""),203.0)</f>
        <v>203</v>
      </c>
      <c r="J94" s="133">
        <f>IFERROR(__xludf.DUMMYFUNCTION("""COMPUTED_VALUE"""),2436.0)</f>
        <v>2436</v>
      </c>
      <c r="K94" s="3" t="str">
        <f>IFERROR(__xludf.DUMMYFUNCTION("""COMPUTED_VALUE"""),"各專業中心")</f>
        <v>各專業中心</v>
      </c>
      <c r="L94" s="3" t="str">
        <f>IFERROR(__xludf.DUMMYFUNCTION("""COMPUTED_VALUE"""),"各專業中心")</f>
        <v>各專業中心</v>
      </c>
      <c r="M94" s="3" t="str">
        <f>IFERROR(__xludf.DUMMYFUNCTION("""COMPUTED_VALUE"""),"新項目, 通用軟體單獨計算")</f>
        <v>新項目, 通用軟體單獨計算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B95" s="3"/>
      <c r="C95" s="3"/>
      <c r="D95" s="3"/>
      <c r="E95" s="13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B96" s="3"/>
      <c r="C96" s="3"/>
      <c r="D96" s="3"/>
      <c r="E96" s="13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B97" s="3"/>
      <c r="C97" s="3"/>
      <c r="D97" s="3"/>
      <c r="E97" s="13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B98" s="3"/>
      <c r="C98" s="3"/>
      <c r="D98" s="3"/>
      <c r="E98" s="13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B99" s="3"/>
      <c r="C99" s="3"/>
      <c r="D99" s="3"/>
      <c r="E99" s="13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B100" s="3"/>
      <c r="C100" s="3"/>
      <c r="D100" s="3"/>
      <c r="E100" s="13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B101" s="3"/>
      <c r="C101" s="3"/>
      <c r="D101" s="3"/>
      <c r="E101" s="13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B102" s="3"/>
      <c r="C102" s="3"/>
      <c r="D102" s="3"/>
      <c r="E102" s="13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B103" s="3"/>
      <c r="C103" s="3"/>
      <c r="D103" s="3"/>
      <c r="E103" s="13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B104" s="3"/>
      <c r="C104" s="3"/>
      <c r="D104" s="3"/>
      <c r="E104" s="13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B105" s="3"/>
      <c r="C105" s="3"/>
      <c r="D105" s="3"/>
      <c r="E105" s="13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B106" s="3"/>
      <c r="C106" s="3"/>
      <c r="D106" s="3"/>
      <c r="E106" s="13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B107" s="3"/>
      <c r="C107" s="3"/>
      <c r="D107" s="3"/>
      <c r="E107" s="13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B108" s="3"/>
      <c r="C108" s="3"/>
      <c r="D108" s="3"/>
      <c r="E108" s="13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B109" s="3"/>
      <c r="C109" s="3"/>
      <c r="D109" s="3"/>
      <c r="E109" s="13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B110" s="3"/>
      <c r="C110" s="3"/>
      <c r="D110" s="3"/>
      <c r="E110" s="13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B111" s="3"/>
      <c r="C111" s="3"/>
      <c r="D111" s="3"/>
      <c r="E111" s="13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B112" s="3"/>
      <c r="C112" s="3"/>
      <c r="D112" s="3"/>
      <c r="E112" s="13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B113" s="3"/>
      <c r="C113" s="3"/>
      <c r="D113" s="3"/>
      <c r="E113" s="13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B114" s="3"/>
      <c r="C114" s="3"/>
      <c r="D114" s="3"/>
      <c r="E114" s="13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B115" s="3"/>
      <c r="C115" s="3"/>
      <c r="D115" s="3"/>
      <c r="E115" s="13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E116" s="132"/>
    </row>
    <row r="117">
      <c r="E117" s="132"/>
    </row>
    <row r="118">
      <c r="E118" s="132"/>
    </row>
    <row r="119">
      <c r="E119" s="132"/>
    </row>
    <row r="120">
      <c r="E120" s="132"/>
    </row>
    <row r="121">
      <c r="E121" s="132"/>
    </row>
    <row r="122">
      <c r="E122" s="132"/>
    </row>
    <row r="123">
      <c r="E123" s="132"/>
    </row>
    <row r="124">
      <c r="E124" s="132"/>
    </row>
    <row r="125">
      <c r="E125" s="132"/>
    </row>
    <row r="126">
      <c r="E126" s="132"/>
    </row>
    <row r="127">
      <c r="E127" s="132"/>
    </row>
    <row r="128">
      <c r="E128" s="132"/>
    </row>
    <row r="129">
      <c r="E129" s="132"/>
    </row>
    <row r="130">
      <c r="E130" s="132"/>
    </row>
    <row r="131">
      <c r="E131" s="132"/>
    </row>
    <row r="132">
      <c r="E132" s="132"/>
    </row>
    <row r="133">
      <c r="E133" s="132"/>
    </row>
    <row r="134">
      <c r="E134" s="132"/>
    </row>
    <row r="135">
      <c r="E135" s="132"/>
    </row>
    <row r="136">
      <c r="E136" s="132"/>
    </row>
    <row r="137">
      <c r="E137" s="132"/>
    </row>
    <row r="138">
      <c r="E138" s="132"/>
    </row>
    <row r="139">
      <c r="E139" s="132"/>
    </row>
    <row r="140">
      <c r="E140" s="132"/>
    </row>
    <row r="141">
      <c r="E141" s="132"/>
    </row>
    <row r="142">
      <c r="E142" s="132"/>
    </row>
    <row r="143">
      <c r="E143" s="132"/>
    </row>
    <row r="144">
      <c r="E144" s="132"/>
    </row>
    <row r="145">
      <c r="E145" s="132"/>
    </row>
    <row r="146">
      <c r="E146" s="132"/>
    </row>
    <row r="147">
      <c r="E147" s="132"/>
    </row>
    <row r="148">
      <c r="E148" s="132"/>
    </row>
    <row r="149">
      <c r="E149" s="132"/>
    </row>
    <row r="150">
      <c r="E150" s="132"/>
    </row>
    <row r="151">
      <c r="E151" s="132"/>
    </row>
    <row r="152">
      <c r="E152" s="132"/>
    </row>
    <row r="153">
      <c r="E153" s="132"/>
    </row>
    <row r="154">
      <c r="E154" s="132"/>
    </row>
    <row r="155">
      <c r="E155" s="132"/>
    </row>
    <row r="156">
      <c r="E156" s="132"/>
    </row>
    <row r="157">
      <c r="E157" s="132"/>
    </row>
    <row r="158">
      <c r="E158" s="132"/>
    </row>
    <row r="159">
      <c r="E159" s="132"/>
    </row>
    <row r="160">
      <c r="E160" s="132"/>
    </row>
    <row r="161">
      <c r="E161" s="132"/>
    </row>
    <row r="162">
      <c r="E162" s="132"/>
    </row>
    <row r="163">
      <c r="E163" s="132"/>
    </row>
    <row r="164">
      <c r="E164" s="132"/>
    </row>
    <row r="165">
      <c r="E165" s="132"/>
    </row>
    <row r="166">
      <c r="E166" s="132"/>
    </row>
    <row r="167">
      <c r="E167" s="132"/>
    </row>
    <row r="168">
      <c r="E168" s="132"/>
    </row>
    <row r="169">
      <c r="E169" s="132"/>
    </row>
    <row r="170">
      <c r="E170" s="132"/>
    </row>
    <row r="171">
      <c r="E171" s="132"/>
    </row>
    <row r="172">
      <c r="E172" s="132"/>
    </row>
    <row r="173">
      <c r="E173" s="132"/>
    </row>
    <row r="174">
      <c r="E174" s="132"/>
    </row>
    <row r="175">
      <c r="E175" s="132"/>
    </row>
    <row r="176">
      <c r="E176" s="132"/>
    </row>
    <row r="177">
      <c r="E177" s="132"/>
    </row>
    <row r="178">
      <c r="E178" s="132"/>
    </row>
    <row r="179">
      <c r="E179" s="132"/>
    </row>
    <row r="180">
      <c r="E180" s="132"/>
    </row>
    <row r="181">
      <c r="E181" s="132"/>
    </row>
    <row r="182">
      <c r="E182" s="132"/>
    </row>
    <row r="183">
      <c r="E183" s="132"/>
    </row>
    <row r="184">
      <c r="E184" s="132"/>
    </row>
    <row r="185">
      <c r="E185" s="132"/>
    </row>
    <row r="186">
      <c r="E186" s="132"/>
    </row>
    <row r="187">
      <c r="E187" s="132"/>
    </row>
    <row r="188">
      <c r="E188" s="132"/>
    </row>
    <row r="189">
      <c r="E189" s="132"/>
    </row>
    <row r="190">
      <c r="E190" s="132"/>
    </row>
    <row r="191">
      <c r="E191" s="132"/>
    </row>
    <row r="192">
      <c r="E192" s="132"/>
    </row>
    <row r="193">
      <c r="E193" s="132"/>
    </row>
    <row r="194">
      <c r="E194" s="132"/>
    </row>
    <row r="195">
      <c r="E195" s="132"/>
    </row>
    <row r="196">
      <c r="E196" s="132"/>
    </row>
    <row r="197">
      <c r="E197" s="132"/>
    </row>
    <row r="198">
      <c r="E198" s="132"/>
    </row>
    <row r="199">
      <c r="E199" s="132"/>
    </row>
    <row r="200">
      <c r="E200" s="132"/>
    </row>
    <row r="201">
      <c r="E201" s="132"/>
    </row>
    <row r="202">
      <c r="E202" s="132"/>
    </row>
    <row r="203">
      <c r="E203" s="132"/>
    </row>
    <row r="204">
      <c r="E204" s="132"/>
    </row>
    <row r="205">
      <c r="E205" s="132"/>
    </row>
    <row r="206">
      <c r="E206" s="132"/>
    </row>
    <row r="207">
      <c r="E207" s="132"/>
    </row>
    <row r="208">
      <c r="E208" s="132"/>
    </row>
    <row r="209">
      <c r="E209" s="132"/>
    </row>
    <row r="210">
      <c r="E210" s="132"/>
    </row>
    <row r="211">
      <c r="E211" s="132"/>
    </row>
    <row r="212">
      <c r="E212" s="132"/>
    </row>
    <row r="213">
      <c r="E213" s="132"/>
    </row>
    <row r="214">
      <c r="E214" s="132"/>
    </row>
    <row r="215">
      <c r="E215" s="132"/>
    </row>
    <row r="216">
      <c r="E216" s="132"/>
    </row>
    <row r="217">
      <c r="E217" s="132"/>
    </row>
    <row r="218">
      <c r="E218" s="132"/>
    </row>
    <row r="219">
      <c r="E219" s="132"/>
    </row>
    <row r="220">
      <c r="E220" s="132"/>
    </row>
    <row r="221">
      <c r="E221" s="132"/>
    </row>
    <row r="222">
      <c r="E222" s="132"/>
    </row>
    <row r="223">
      <c r="E223" s="132"/>
    </row>
    <row r="224">
      <c r="E224" s="132"/>
    </row>
    <row r="225">
      <c r="E225" s="132"/>
    </row>
    <row r="226">
      <c r="E226" s="132"/>
    </row>
    <row r="227">
      <c r="E227" s="132"/>
    </row>
    <row r="228">
      <c r="E228" s="132"/>
    </row>
    <row r="229">
      <c r="E229" s="132"/>
    </row>
    <row r="230">
      <c r="E230" s="132"/>
    </row>
    <row r="231">
      <c r="E231" s="132"/>
    </row>
    <row r="232">
      <c r="E232" s="132"/>
    </row>
    <row r="233">
      <c r="E233" s="132"/>
    </row>
    <row r="234">
      <c r="E234" s="132"/>
    </row>
    <row r="235">
      <c r="E235" s="132"/>
    </row>
    <row r="236">
      <c r="E236" s="132"/>
    </row>
    <row r="237">
      <c r="E237" s="132"/>
    </row>
    <row r="238">
      <c r="E238" s="132"/>
    </row>
    <row r="239">
      <c r="E239" s="132"/>
    </row>
    <row r="240">
      <c r="E240" s="132"/>
    </row>
    <row r="241">
      <c r="E241" s="132"/>
    </row>
    <row r="242">
      <c r="E242" s="132"/>
    </row>
    <row r="243">
      <c r="E243" s="132"/>
    </row>
    <row r="244">
      <c r="E244" s="132"/>
    </row>
    <row r="245">
      <c r="E245" s="132"/>
    </row>
    <row r="246">
      <c r="E246" s="132"/>
    </row>
    <row r="247">
      <c r="E247" s="132"/>
    </row>
    <row r="248">
      <c r="E248" s="132"/>
    </row>
    <row r="249">
      <c r="E249" s="132"/>
    </row>
    <row r="250">
      <c r="E250" s="132"/>
    </row>
    <row r="251">
      <c r="E251" s="132"/>
    </row>
    <row r="252">
      <c r="E252" s="132"/>
    </row>
    <row r="253">
      <c r="E253" s="132"/>
    </row>
    <row r="254">
      <c r="E254" s="132"/>
    </row>
    <row r="255">
      <c r="E255" s="132"/>
    </row>
    <row r="256">
      <c r="E256" s="132"/>
    </row>
    <row r="257">
      <c r="E257" s="132"/>
    </row>
    <row r="258">
      <c r="E258" s="132"/>
    </row>
    <row r="259">
      <c r="E259" s="132"/>
    </row>
    <row r="260">
      <c r="E260" s="132"/>
    </row>
    <row r="261">
      <c r="E261" s="132"/>
    </row>
    <row r="262">
      <c r="E262" s="132"/>
    </row>
    <row r="263">
      <c r="E263" s="132"/>
    </row>
    <row r="264">
      <c r="E264" s="132"/>
    </row>
    <row r="265">
      <c r="E265" s="132"/>
    </row>
    <row r="266">
      <c r="E266" s="132"/>
    </row>
    <row r="267">
      <c r="E267" s="132"/>
    </row>
    <row r="268">
      <c r="E268" s="132"/>
    </row>
    <row r="269">
      <c r="E269" s="132"/>
    </row>
    <row r="270">
      <c r="E270" s="132"/>
    </row>
    <row r="271">
      <c r="E271" s="132"/>
    </row>
    <row r="272">
      <c r="E272" s="132"/>
    </row>
    <row r="273">
      <c r="E273" s="132"/>
    </row>
    <row r="274">
      <c r="E274" s="132"/>
    </row>
    <row r="275">
      <c r="E275" s="132"/>
    </row>
    <row r="276">
      <c r="E276" s="132"/>
    </row>
    <row r="277">
      <c r="E277" s="132"/>
    </row>
    <row r="278">
      <c r="E278" s="132"/>
    </row>
    <row r="279">
      <c r="E279" s="132"/>
    </row>
    <row r="280">
      <c r="E280" s="132"/>
    </row>
    <row r="281">
      <c r="E281" s="132"/>
    </row>
    <row r="282">
      <c r="E282" s="132"/>
    </row>
    <row r="283">
      <c r="E283" s="132"/>
    </row>
    <row r="284">
      <c r="E284" s="132"/>
    </row>
    <row r="285">
      <c r="E285" s="132"/>
    </row>
    <row r="286">
      <c r="E286" s="132"/>
    </row>
    <row r="287">
      <c r="E287" s="132"/>
    </row>
    <row r="288">
      <c r="E288" s="132"/>
    </row>
    <row r="289">
      <c r="E289" s="132"/>
    </row>
    <row r="290">
      <c r="E290" s="132"/>
    </row>
    <row r="291">
      <c r="E291" s="132"/>
    </row>
    <row r="292">
      <c r="E292" s="132"/>
    </row>
    <row r="293">
      <c r="E293" s="132"/>
    </row>
    <row r="294">
      <c r="E294" s="132"/>
    </row>
    <row r="295">
      <c r="E295" s="132"/>
    </row>
    <row r="296">
      <c r="E296" s="132"/>
    </row>
    <row r="297">
      <c r="E297" s="132"/>
    </row>
    <row r="298">
      <c r="E298" s="132"/>
    </row>
    <row r="299">
      <c r="E299" s="132"/>
    </row>
    <row r="300">
      <c r="E300" s="132"/>
    </row>
    <row r="301">
      <c r="E301" s="132"/>
    </row>
    <row r="302">
      <c r="E302" s="132"/>
    </row>
    <row r="303">
      <c r="E303" s="132"/>
    </row>
    <row r="304">
      <c r="E304" s="132"/>
    </row>
    <row r="305">
      <c r="E305" s="132"/>
    </row>
    <row r="306">
      <c r="E306" s="132"/>
    </row>
    <row r="307">
      <c r="E307" s="132"/>
    </row>
    <row r="308">
      <c r="E308" s="132"/>
    </row>
    <row r="309">
      <c r="E309" s="132"/>
    </row>
    <row r="310">
      <c r="E310" s="132"/>
    </row>
    <row r="311">
      <c r="E311" s="132"/>
    </row>
    <row r="312">
      <c r="E312" s="132"/>
    </row>
    <row r="313">
      <c r="E313" s="132"/>
    </row>
    <row r="314">
      <c r="E314" s="132"/>
    </row>
    <row r="315">
      <c r="E315" s="132"/>
    </row>
    <row r="316">
      <c r="E316" s="132"/>
    </row>
    <row r="317">
      <c r="E317" s="132"/>
    </row>
    <row r="318">
      <c r="E318" s="132"/>
    </row>
    <row r="319">
      <c r="E319" s="132"/>
    </row>
    <row r="320">
      <c r="E320" s="132"/>
    </row>
    <row r="321">
      <c r="E321" s="132"/>
    </row>
    <row r="322">
      <c r="E322" s="132"/>
    </row>
    <row r="323">
      <c r="E323" s="132"/>
    </row>
    <row r="324">
      <c r="E324" s="132"/>
    </row>
    <row r="325">
      <c r="E325" s="132"/>
    </row>
    <row r="326">
      <c r="E326" s="132"/>
    </row>
    <row r="327">
      <c r="E327" s="132"/>
    </row>
    <row r="328">
      <c r="E328" s="132"/>
    </row>
    <row r="329">
      <c r="E329" s="132"/>
    </row>
    <row r="330">
      <c r="E330" s="132"/>
    </row>
    <row r="331">
      <c r="E331" s="132"/>
    </row>
    <row r="332">
      <c r="E332" s="132"/>
    </row>
    <row r="333">
      <c r="E333" s="132"/>
    </row>
    <row r="334">
      <c r="E334" s="132"/>
    </row>
    <row r="335">
      <c r="E335" s="132"/>
    </row>
    <row r="336">
      <c r="E336" s="132"/>
    </row>
    <row r="337">
      <c r="E337" s="132"/>
    </row>
    <row r="338">
      <c r="E338" s="132"/>
    </row>
    <row r="339">
      <c r="E339" s="132"/>
    </row>
    <row r="340">
      <c r="E340" s="132"/>
    </row>
    <row r="341">
      <c r="E341" s="132"/>
    </row>
    <row r="342">
      <c r="E342" s="132"/>
    </row>
    <row r="343">
      <c r="E343" s="132"/>
    </row>
    <row r="344">
      <c r="E344" s="132"/>
    </row>
    <row r="345">
      <c r="E345" s="132"/>
    </row>
    <row r="346">
      <c r="E346" s="132"/>
    </row>
    <row r="347">
      <c r="E347" s="132"/>
    </row>
    <row r="348">
      <c r="E348" s="132"/>
    </row>
    <row r="349">
      <c r="E349" s="132"/>
    </row>
    <row r="350">
      <c r="E350" s="132"/>
    </row>
    <row r="351">
      <c r="E351" s="132"/>
    </row>
    <row r="352">
      <c r="E352" s="132"/>
    </row>
    <row r="353">
      <c r="E353" s="132"/>
    </row>
    <row r="354">
      <c r="E354" s="132"/>
    </row>
    <row r="355">
      <c r="E355" s="132"/>
    </row>
    <row r="356">
      <c r="E356" s="132"/>
    </row>
    <row r="357">
      <c r="E357" s="132"/>
    </row>
    <row r="358">
      <c r="E358" s="132"/>
    </row>
    <row r="359">
      <c r="E359" s="132"/>
    </row>
    <row r="360">
      <c r="E360" s="132"/>
    </row>
    <row r="361">
      <c r="E361" s="132"/>
    </row>
    <row r="362">
      <c r="E362" s="132"/>
    </row>
    <row r="363">
      <c r="E363" s="132"/>
    </row>
    <row r="364">
      <c r="E364" s="132"/>
    </row>
    <row r="365">
      <c r="E365" s="132"/>
    </row>
    <row r="366">
      <c r="E366" s="132"/>
    </row>
    <row r="367">
      <c r="E367" s="132"/>
    </row>
    <row r="368">
      <c r="E368" s="132"/>
    </row>
    <row r="369">
      <c r="E369" s="132"/>
    </row>
    <row r="370">
      <c r="E370" s="132"/>
    </row>
    <row r="371">
      <c r="E371" s="132"/>
    </row>
    <row r="372">
      <c r="E372" s="132"/>
    </row>
    <row r="373">
      <c r="E373" s="132"/>
    </row>
    <row r="374">
      <c r="E374" s="132"/>
    </row>
    <row r="375">
      <c r="E375" s="132"/>
    </row>
    <row r="376">
      <c r="E376" s="132"/>
    </row>
    <row r="377">
      <c r="E377" s="132"/>
    </row>
    <row r="378">
      <c r="E378" s="132"/>
    </row>
    <row r="379">
      <c r="E379" s="132"/>
    </row>
    <row r="380">
      <c r="E380" s="132"/>
    </row>
    <row r="381">
      <c r="E381" s="132"/>
    </row>
    <row r="382">
      <c r="E382" s="132"/>
    </row>
    <row r="383">
      <c r="E383" s="132"/>
    </row>
    <row r="384">
      <c r="E384" s="132"/>
    </row>
    <row r="385">
      <c r="E385" s="132"/>
    </row>
    <row r="386">
      <c r="E386" s="132"/>
    </row>
    <row r="387">
      <c r="E387" s="132"/>
    </row>
    <row r="388">
      <c r="E388" s="132"/>
    </row>
    <row r="389">
      <c r="E389" s="132"/>
    </row>
    <row r="390">
      <c r="E390" s="132"/>
    </row>
    <row r="391">
      <c r="E391" s="132"/>
    </row>
    <row r="392">
      <c r="E392" s="132"/>
    </row>
    <row r="393">
      <c r="E393" s="132"/>
    </row>
    <row r="394">
      <c r="E394" s="132"/>
    </row>
    <row r="395">
      <c r="E395" s="132"/>
    </row>
    <row r="396">
      <c r="E396" s="132"/>
    </row>
    <row r="397">
      <c r="E397" s="132"/>
    </row>
    <row r="398">
      <c r="E398" s="132"/>
    </row>
    <row r="399">
      <c r="E399" s="132"/>
    </row>
    <row r="400">
      <c r="E400" s="132"/>
    </row>
    <row r="401">
      <c r="E401" s="132"/>
    </row>
    <row r="402">
      <c r="E402" s="132"/>
    </row>
    <row r="403">
      <c r="E403" s="132"/>
    </row>
    <row r="404">
      <c r="E404" s="132"/>
    </row>
    <row r="405">
      <c r="E405" s="132"/>
    </row>
    <row r="406">
      <c r="E406" s="132"/>
    </row>
    <row r="407">
      <c r="E407" s="132"/>
    </row>
    <row r="408">
      <c r="E408" s="132"/>
    </row>
    <row r="409">
      <c r="E409" s="132"/>
    </row>
    <row r="410">
      <c r="E410" s="132"/>
    </row>
    <row r="411">
      <c r="E411" s="132"/>
    </row>
    <row r="412">
      <c r="E412" s="132"/>
    </row>
    <row r="413">
      <c r="E413" s="132"/>
    </row>
    <row r="414">
      <c r="E414" s="132"/>
    </row>
    <row r="415">
      <c r="E415" s="132"/>
    </row>
    <row r="416">
      <c r="E416" s="132"/>
    </row>
    <row r="417">
      <c r="E417" s="132"/>
    </row>
    <row r="418">
      <c r="E418" s="132"/>
    </row>
    <row r="419">
      <c r="E419" s="132"/>
    </row>
    <row r="420">
      <c r="E420" s="132"/>
    </row>
    <row r="421">
      <c r="E421" s="132"/>
    </row>
    <row r="422">
      <c r="E422" s="132"/>
    </row>
    <row r="423">
      <c r="E423" s="132"/>
    </row>
    <row r="424">
      <c r="E424" s="132"/>
    </row>
    <row r="425">
      <c r="E425" s="132"/>
    </row>
    <row r="426">
      <c r="E426" s="132"/>
    </row>
    <row r="427">
      <c r="E427" s="132"/>
    </row>
    <row r="428">
      <c r="E428" s="132"/>
    </row>
    <row r="429">
      <c r="E429" s="132"/>
    </row>
    <row r="430">
      <c r="E430" s="132"/>
    </row>
    <row r="431">
      <c r="E431" s="132"/>
    </row>
    <row r="432">
      <c r="E432" s="132"/>
    </row>
    <row r="433">
      <c r="E433" s="132"/>
    </row>
    <row r="434">
      <c r="E434" s="132"/>
    </row>
    <row r="435">
      <c r="E435" s="132"/>
    </row>
    <row r="436">
      <c r="E436" s="132"/>
    </row>
    <row r="437">
      <c r="E437" s="132"/>
    </row>
    <row r="438">
      <c r="E438" s="132"/>
    </row>
    <row r="439">
      <c r="E439" s="132"/>
    </row>
    <row r="440">
      <c r="E440" s="132"/>
    </row>
    <row r="441">
      <c r="E441" s="132"/>
    </row>
    <row r="442">
      <c r="E442" s="132"/>
    </row>
    <row r="443">
      <c r="E443" s="132"/>
    </row>
    <row r="444">
      <c r="E444" s="132"/>
    </row>
    <row r="445">
      <c r="E445" s="132"/>
    </row>
    <row r="446">
      <c r="E446" s="132"/>
    </row>
    <row r="447">
      <c r="E447" s="132"/>
    </row>
    <row r="448">
      <c r="E448" s="132"/>
    </row>
    <row r="449">
      <c r="E449" s="132"/>
    </row>
    <row r="450">
      <c r="E450" s="132"/>
    </row>
    <row r="451">
      <c r="E451" s="132"/>
    </row>
    <row r="452">
      <c r="E452" s="132"/>
    </row>
    <row r="453">
      <c r="E453" s="132"/>
    </row>
    <row r="454">
      <c r="E454" s="132"/>
    </row>
    <row r="455">
      <c r="E455" s="132"/>
    </row>
    <row r="456">
      <c r="E456" s="132"/>
    </row>
    <row r="457">
      <c r="E457" s="132"/>
    </row>
    <row r="458">
      <c r="E458" s="132"/>
    </row>
    <row r="459">
      <c r="E459" s="132"/>
    </row>
    <row r="460">
      <c r="E460" s="132"/>
    </row>
    <row r="461">
      <c r="E461" s="132"/>
    </row>
    <row r="462">
      <c r="E462" s="132"/>
    </row>
    <row r="463">
      <c r="E463" s="132"/>
    </row>
    <row r="464">
      <c r="E464" s="132"/>
    </row>
    <row r="465">
      <c r="E465" s="132"/>
    </row>
    <row r="466">
      <c r="E466" s="132"/>
    </row>
    <row r="467">
      <c r="E467" s="132"/>
    </row>
    <row r="468">
      <c r="E468" s="132"/>
    </row>
    <row r="469">
      <c r="E469" s="132"/>
    </row>
    <row r="470">
      <c r="E470" s="132"/>
    </row>
    <row r="471">
      <c r="E471" s="132"/>
    </row>
    <row r="472">
      <c r="E472" s="132"/>
    </row>
    <row r="473">
      <c r="E473" s="132"/>
    </row>
    <row r="474">
      <c r="E474" s="132"/>
    </row>
    <row r="475">
      <c r="E475" s="132"/>
    </row>
    <row r="476">
      <c r="E476" s="132"/>
    </row>
    <row r="477">
      <c r="E477" s="132"/>
    </row>
    <row r="478">
      <c r="E478" s="132"/>
    </row>
    <row r="479">
      <c r="E479" s="132"/>
    </row>
    <row r="480">
      <c r="E480" s="132"/>
    </row>
    <row r="481">
      <c r="E481" s="132"/>
    </row>
    <row r="482">
      <c r="E482" s="132"/>
    </row>
    <row r="483">
      <c r="E483" s="132"/>
    </row>
    <row r="484">
      <c r="E484" s="132"/>
    </row>
    <row r="485">
      <c r="E485" s="132"/>
    </row>
    <row r="486">
      <c r="E486" s="132"/>
    </row>
    <row r="487">
      <c r="E487" s="132"/>
    </row>
    <row r="488">
      <c r="E488" s="132"/>
    </row>
    <row r="489">
      <c r="E489" s="132"/>
    </row>
    <row r="490">
      <c r="E490" s="132"/>
    </row>
    <row r="491">
      <c r="E491" s="132"/>
    </row>
    <row r="492">
      <c r="E492" s="132"/>
    </row>
    <row r="493">
      <c r="E493" s="132"/>
    </row>
    <row r="494">
      <c r="E494" s="132"/>
    </row>
    <row r="495">
      <c r="E495" s="132"/>
    </row>
    <row r="496">
      <c r="E496" s="132"/>
    </row>
    <row r="497">
      <c r="E497" s="132"/>
    </row>
    <row r="498">
      <c r="E498" s="132"/>
    </row>
    <row r="499">
      <c r="E499" s="132"/>
    </row>
    <row r="500">
      <c r="E500" s="132"/>
    </row>
    <row r="501">
      <c r="E501" s="132"/>
    </row>
    <row r="502">
      <c r="E502" s="132"/>
    </row>
    <row r="503">
      <c r="E503" s="132"/>
    </row>
    <row r="504">
      <c r="E504" s="132"/>
    </row>
    <row r="505">
      <c r="E505" s="132"/>
    </row>
    <row r="506">
      <c r="E506" s="132"/>
    </row>
    <row r="507">
      <c r="E507" s="132"/>
    </row>
    <row r="508">
      <c r="E508" s="132"/>
    </row>
    <row r="509">
      <c r="E509" s="132"/>
    </row>
    <row r="510">
      <c r="E510" s="132"/>
    </row>
    <row r="511">
      <c r="E511" s="132"/>
    </row>
    <row r="512">
      <c r="E512" s="132"/>
    </row>
    <row r="513">
      <c r="E513" s="132"/>
    </row>
    <row r="514">
      <c r="E514" s="132"/>
    </row>
    <row r="515">
      <c r="E515" s="132"/>
    </row>
    <row r="516">
      <c r="E516" s="132"/>
    </row>
    <row r="517">
      <c r="E517" s="132"/>
    </row>
    <row r="518">
      <c r="E518" s="132"/>
    </row>
    <row r="519">
      <c r="E519" s="132"/>
    </row>
    <row r="520">
      <c r="E520" s="132"/>
    </row>
    <row r="521">
      <c r="E521" s="132"/>
    </row>
    <row r="522">
      <c r="E522" s="132"/>
    </row>
    <row r="523">
      <c r="E523" s="132"/>
    </row>
    <row r="524">
      <c r="E524" s="132"/>
    </row>
    <row r="525">
      <c r="E525" s="132"/>
    </row>
    <row r="526">
      <c r="E526" s="132"/>
    </row>
    <row r="527">
      <c r="E527" s="132"/>
    </row>
    <row r="528">
      <c r="E528" s="132"/>
    </row>
    <row r="529">
      <c r="E529" s="132"/>
    </row>
    <row r="530">
      <c r="E530" s="132"/>
    </row>
    <row r="531">
      <c r="E531" s="132"/>
    </row>
    <row r="532">
      <c r="E532" s="132"/>
    </row>
    <row r="533">
      <c r="E533" s="132"/>
    </row>
    <row r="534">
      <c r="E534" s="132"/>
    </row>
    <row r="535">
      <c r="E535" s="132"/>
    </row>
    <row r="536">
      <c r="E536" s="132"/>
    </row>
    <row r="537">
      <c r="E537" s="132"/>
    </row>
    <row r="538">
      <c r="E538" s="132"/>
    </row>
    <row r="539">
      <c r="E539" s="132"/>
    </row>
    <row r="540">
      <c r="E540" s="132"/>
    </row>
    <row r="541">
      <c r="E541" s="132"/>
    </row>
    <row r="542">
      <c r="E542" s="132"/>
    </row>
    <row r="543">
      <c r="E543" s="132"/>
    </row>
    <row r="544">
      <c r="E544" s="132"/>
    </row>
    <row r="545">
      <c r="E545" s="132"/>
    </row>
    <row r="546">
      <c r="E546" s="132"/>
    </row>
    <row r="547">
      <c r="E547" s="132"/>
    </row>
    <row r="548">
      <c r="E548" s="132"/>
    </row>
    <row r="549">
      <c r="E549" s="132"/>
    </row>
    <row r="550">
      <c r="E550" s="132"/>
    </row>
    <row r="551">
      <c r="E551" s="132"/>
    </row>
    <row r="552">
      <c r="E552" s="132"/>
    </row>
    <row r="553">
      <c r="E553" s="132"/>
    </row>
    <row r="554">
      <c r="E554" s="132"/>
    </row>
    <row r="555">
      <c r="E555" s="132"/>
    </row>
    <row r="556">
      <c r="E556" s="132"/>
    </row>
    <row r="557">
      <c r="E557" s="132"/>
    </row>
    <row r="558">
      <c r="E558" s="132"/>
    </row>
    <row r="559">
      <c r="E559" s="132"/>
    </row>
    <row r="560">
      <c r="E560" s="132"/>
    </row>
    <row r="561">
      <c r="E561" s="132"/>
    </row>
    <row r="562">
      <c r="E562" s="132"/>
    </row>
    <row r="563">
      <c r="E563" s="132"/>
    </row>
    <row r="564">
      <c r="E564" s="132"/>
    </row>
    <row r="565">
      <c r="E565" s="132"/>
    </row>
    <row r="566">
      <c r="E566" s="132"/>
    </row>
    <row r="567">
      <c r="E567" s="132"/>
    </row>
    <row r="568">
      <c r="E568" s="132"/>
    </row>
    <row r="569">
      <c r="E569" s="132"/>
    </row>
    <row r="570">
      <c r="E570" s="132"/>
    </row>
    <row r="571">
      <c r="E571" s="132"/>
    </row>
    <row r="572">
      <c r="E572" s="132"/>
    </row>
    <row r="573">
      <c r="E573" s="132"/>
    </row>
    <row r="574">
      <c r="E574" s="132"/>
    </row>
    <row r="575">
      <c r="E575" s="132"/>
    </row>
    <row r="576">
      <c r="E576" s="132"/>
    </row>
    <row r="577">
      <c r="E577" s="132"/>
    </row>
    <row r="578">
      <c r="E578" s="132"/>
    </row>
    <row r="579">
      <c r="E579" s="132"/>
    </row>
    <row r="580">
      <c r="E580" s="132"/>
    </row>
    <row r="581">
      <c r="E581" s="132"/>
    </row>
    <row r="582">
      <c r="E582" s="132"/>
    </row>
    <row r="583">
      <c r="E583" s="132"/>
    </row>
    <row r="584">
      <c r="E584" s="132"/>
    </row>
    <row r="585">
      <c r="E585" s="132"/>
    </row>
    <row r="586">
      <c r="E586" s="132"/>
    </row>
    <row r="587">
      <c r="E587" s="132"/>
    </row>
    <row r="588">
      <c r="E588" s="132"/>
    </row>
    <row r="589">
      <c r="E589" s="132"/>
    </row>
    <row r="590">
      <c r="E590" s="132"/>
    </row>
    <row r="591">
      <c r="E591" s="132"/>
    </row>
    <row r="592">
      <c r="E592" s="132"/>
    </row>
    <row r="593">
      <c r="E593" s="132"/>
    </row>
    <row r="594">
      <c r="E594" s="132"/>
    </row>
    <row r="595">
      <c r="E595" s="132"/>
    </row>
    <row r="596">
      <c r="E596" s="132"/>
    </row>
    <row r="597">
      <c r="E597" s="132"/>
    </row>
    <row r="598">
      <c r="E598" s="132"/>
    </row>
    <row r="599">
      <c r="E599" s="132"/>
    </row>
    <row r="600">
      <c r="E600" s="132"/>
    </row>
    <row r="601">
      <c r="E601" s="132"/>
    </row>
    <row r="602">
      <c r="E602" s="132"/>
    </row>
    <row r="603">
      <c r="E603" s="132"/>
    </row>
    <row r="604">
      <c r="E604" s="132"/>
    </row>
    <row r="605">
      <c r="E605" s="132"/>
    </row>
    <row r="606">
      <c r="E606" s="132"/>
    </row>
    <row r="607">
      <c r="E607" s="132"/>
    </row>
    <row r="608">
      <c r="E608" s="132"/>
    </row>
    <row r="609">
      <c r="E609" s="132"/>
    </row>
    <row r="610">
      <c r="E610" s="132"/>
    </row>
    <row r="611">
      <c r="E611" s="132"/>
    </row>
    <row r="612">
      <c r="E612" s="132"/>
    </row>
    <row r="613">
      <c r="E613" s="132"/>
    </row>
    <row r="614">
      <c r="E614" s="132"/>
    </row>
    <row r="615">
      <c r="E615" s="132"/>
    </row>
    <row r="616">
      <c r="E616" s="132"/>
    </row>
    <row r="617">
      <c r="E617" s="132"/>
    </row>
    <row r="618">
      <c r="E618" s="132"/>
    </row>
    <row r="619">
      <c r="E619" s="132"/>
    </row>
    <row r="620">
      <c r="E620" s="132"/>
    </row>
    <row r="621">
      <c r="E621" s="132"/>
    </row>
    <row r="622">
      <c r="E622" s="132"/>
    </row>
    <row r="623">
      <c r="E623" s="132"/>
    </row>
    <row r="624">
      <c r="E624" s="132"/>
    </row>
    <row r="625">
      <c r="E625" s="132"/>
    </row>
    <row r="626">
      <c r="E626" s="132"/>
    </row>
    <row r="627">
      <c r="E627" s="132"/>
    </row>
    <row r="628">
      <c r="E628" s="132"/>
    </row>
    <row r="629">
      <c r="E629" s="132"/>
    </row>
    <row r="630">
      <c r="E630" s="132"/>
    </row>
    <row r="631">
      <c r="E631" s="132"/>
    </row>
    <row r="632">
      <c r="E632" s="132"/>
    </row>
    <row r="633">
      <c r="E633" s="132"/>
    </row>
    <row r="634">
      <c r="E634" s="132"/>
    </row>
    <row r="635">
      <c r="E635" s="132"/>
    </row>
    <row r="636">
      <c r="E636" s="132"/>
    </row>
    <row r="637">
      <c r="E637" s="132"/>
    </row>
    <row r="638">
      <c r="E638" s="132"/>
    </row>
    <row r="639">
      <c r="E639" s="132"/>
    </row>
    <row r="640">
      <c r="E640" s="132"/>
    </row>
    <row r="641">
      <c r="E641" s="132"/>
    </row>
    <row r="642">
      <c r="E642" s="132"/>
    </row>
    <row r="643">
      <c r="E643" s="132"/>
    </row>
    <row r="644">
      <c r="E644" s="132"/>
    </row>
    <row r="645">
      <c r="E645" s="132"/>
    </row>
    <row r="646">
      <c r="E646" s="132"/>
    </row>
    <row r="647">
      <c r="E647" s="132"/>
    </row>
    <row r="648">
      <c r="E648" s="132"/>
    </row>
    <row r="649">
      <c r="E649" s="132"/>
    </row>
    <row r="650">
      <c r="E650" s="132"/>
    </row>
    <row r="651">
      <c r="E651" s="132"/>
    </row>
    <row r="652">
      <c r="E652" s="132"/>
    </row>
    <row r="653">
      <c r="E653" s="132"/>
    </row>
    <row r="654">
      <c r="E654" s="132"/>
    </row>
    <row r="655">
      <c r="E655" s="132"/>
    </row>
    <row r="656">
      <c r="E656" s="132"/>
    </row>
    <row r="657">
      <c r="E657" s="132"/>
    </row>
    <row r="658">
      <c r="E658" s="132"/>
    </row>
    <row r="659">
      <c r="E659" s="132"/>
    </row>
    <row r="660">
      <c r="E660" s="132"/>
    </row>
    <row r="661">
      <c r="E661" s="132"/>
    </row>
    <row r="662">
      <c r="E662" s="132"/>
    </row>
    <row r="663">
      <c r="E663" s="132"/>
    </row>
    <row r="664">
      <c r="E664" s="132"/>
    </row>
    <row r="665">
      <c r="E665" s="132"/>
    </row>
    <row r="666">
      <c r="E666" s="132"/>
    </row>
    <row r="667">
      <c r="E667" s="132"/>
    </row>
    <row r="668">
      <c r="E668" s="132"/>
    </row>
    <row r="669">
      <c r="E669" s="132"/>
    </row>
    <row r="670">
      <c r="E670" s="132"/>
    </row>
    <row r="671">
      <c r="E671" s="132"/>
    </row>
    <row r="672">
      <c r="E672" s="132"/>
    </row>
    <row r="673">
      <c r="E673" s="132"/>
    </row>
    <row r="674">
      <c r="E674" s="132"/>
    </row>
    <row r="675">
      <c r="E675" s="132"/>
    </row>
    <row r="676">
      <c r="E676" s="132"/>
    </row>
    <row r="677">
      <c r="E677" s="132"/>
    </row>
    <row r="678">
      <c r="E678" s="132"/>
    </row>
    <row r="679">
      <c r="E679" s="132"/>
    </row>
    <row r="680">
      <c r="E680" s="132"/>
    </row>
    <row r="681">
      <c r="E681" s="132"/>
    </row>
    <row r="682">
      <c r="E682" s="132"/>
    </row>
    <row r="683">
      <c r="E683" s="132"/>
    </row>
    <row r="684">
      <c r="E684" s="132"/>
    </row>
    <row r="685">
      <c r="E685" s="132"/>
    </row>
    <row r="686">
      <c r="E686" s="132"/>
    </row>
    <row r="687">
      <c r="E687" s="132"/>
    </row>
    <row r="688">
      <c r="E688" s="132"/>
    </row>
    <row r="689">
      <c r="E689" s="132"/>
    </row>
    <row r="690">
      <c r="E690" s="132"/>
    </row>
    <row r="691">
      <c r="E691" s="132"/>
    </row>
    <row r="692">
      <c r="E692" s="132"/>
    </row>
    <row r="693">
      <c r="E693" s="132"/>
    </row>
    <row r="694">
      <c r="E694" s="132"/>
    </row>
    <row r="695">
      <c r="E695" s="132"/>
    </row>
    <row r="696">
      <c r="E696" s="132"/>
    </row>
    <row r="697">
      <c r="E697" s="132"/>
    </row>
    <row r="698">
      <c r="E698" s="132"/>
    </row>
    <row r="699">
      <c r="E699" s="132"/>
    </row>
    <row r="700">
      <c r="E700" s="132"/>
    </row>
    <row r="701">
      <c r="E701" s="132"/>
    </row>
    <row r="702">
      <c r="E702" s="132"/>
    </row>
    <row r="703">
      <c r="E703" s="132"/>
    </row>
    <row r="704">
      <c r="E704" s="132"/>
    </row>
    <row r="705">
      <c r="E705" s="132"/>
    </row>
    <row r="706">
      <c r="E706" s="132"/>
    </row>
    <row r="707">
      <c r="E707" s="132"/>
    </row>
    <row r="708">
      <c r="E708" s="132"/>
    </row>
    <row r="709">
      <c r="E709" s="132"/>
    </row>
    <row r="710">
      <c r="E710" s="132"/>
    </row>
    <row r="711">
      <c r="E711" s="132"/>
    </row>
    <row r="712">
      <c r="E712" s="132"/>
    </row>
    <row r="713">
      <c r="E713" s="132"/>
    </row>
    <row r="714">
      <c r="E714" s="132"/>
    </row>
    <row r="715">
      <c r="E715" s="132"/>
    </row>
    <row r="716">
      <c r="E716" s="132"/>
    </row>
    <row r="717">
      <c r="E717" s="132"/>
    </row>
    <row r="718">
      <c r="E718" s="132"/>
    </row>
    <row r="719">
      <c r="E719" s="132"/>
    </row>
    <row r="720">
      <c r="E720" s="132"/>
    </row>
    <row r="721">
      <c r="E721" s="132"/>
    </row>
    <row r="722">
      <c r="E722" s="132"/>
    </row>
    <row r="723">
      <c r="E723" s="132"/>
    </row>
    <row r="724">
      <c r="E724" s="132"/>
    </row>
    <row r="725">
      <c r="E725" s="132"/>
    </row>
    <row r="726">
      <c r="E726" s="132"/>
    </row>
    <row r="727">
      <c r="E727" s="132"/>
    </row>
    <row r="728">
      <c r="E728" s="132"/>
    </row>
    <row r="729">
      <c r="E729" s="132"/>
    </row>
    <row r="730">
      <c r="E730" s="132"/>
    </row>
    <row r="731">
      <c r="E731" s="132"/>
    </row>
    <row r="732">
      <c r="E732" s="132"/>
    </row>
    <row r="733">
      <c r="E733" s="132"/>
    </row>
    <row r="734">
      <c r="E734" s="132"/>
    </row>
    <row r="735">
      <c r="E735" s="132"/>
    </row>
    <row r="736">
      <c r="E736" s="132"/>
    </row>
    <row r="737">
      <c r="E737" s="132"/>
    </row>
    <row r="738">
      <c r="E738" s="132"/>
    </row>
    <row r="739">
      <c r="E739" s="132"/>
    </row>
    <row r="740">
      <c r="E740" s="132"/>
    </row>
    <row r="741">
      <c r="E741" s="132"/>
    </row>
    <row r="742">
      <c r="E742" s="132"/>
    </row>
    <row r="743">
      <c r="E743" s="132"/>
    </row>
    <row r="744">
      <c r="E744" s="132"/>
    </row>
    <row r="745">
      <c r="E745" s="132"/>
    </row>
    <row r="746">
      <c r="E746" s="132"/>
    </row>
    <row r="747">
      <c r="E747" s="132"/>
    </row>
    <row r="748">
      <c r="E748" s="132"/>
    </row>
    <row r="749">
      <c r="E749" s="132"/>
    </row>
    <row r="750">
      <c r="E750" s="132"/>
    </row>
    <row r="751">
      <c r="E751" s="132"/>
    </row>
    <row r="752">
      <c r="E752" s="132"/>
    </row>
    <row r="753">
      <c r="E753" s="132"/>
    </row>
    <row r="754">
      <c r="E754" s="132"/>
    </row>
    <row r="755">
      <c r="E755" s="132"/>
    </row>
    <row r="756">
      <c r="E756" s="132"/>
    </row>
    <row r="757">
      <c r="E757" s="132"/>
    </row>
    <row r="758">
      <c r="E758" s="132"/>
    </row>
    <row r="759">
      <c r="E759" s="132"/>
    </row>
    <row r="760">
      <c r="E760" s="132"/>
    </row>
    <row r="761">
      <c r="E761" s="132"/>
    </row>
    <row r="762">
      <c r="E762" s="132"/>
    </row>
    <row r="763">
      <c r="E763" s="132"/>
    </row>
    <row r="764">
      <c r="E764" s="132"/>
    </row>
    <row r="765">
      <c r="E765" s="132"/>
    </row>
    <row r="766">
      <c r="E766" s="132"/>
    </row>
    <row r="767">
      <c r="E767" s="132"/>
    </row>
    <row r="768">
      <c r="E768" s="132"/>
    </row>
    <row r="769">
      <c r="E769" s="132"/>
    </row>
    <row r="770">
      <c r="E770" s="132"/>
    </row>
    <row r="771">
      <c r="E771" s="132"/>
    </row>
    <row r="772">
      <c r="E772" s="132"/>
    </row>
    <row r="773">
      <c r="E773" s="132"/>
    </row>
    <row r="774">
      <c r="E774" s="132"/>
    </row>
    <row r="775">
      <c r="E775" s="132"/>
    </row>
    <row r="776">
      <c r="E776" s="132"/>
    </row>
    <row r="777">
      <c r="E777" s="132"/>
    </row>
    <row r="778">
      <c r="E778" s="132"/>
    </row>
    <row r="779">
      <c r="E779" s="132"/>
    </row>
    <row r="780">
      <c r="E780" s="132"/>
    </row>
    <row r="781">
      <c r="E781" s="132"/>
    </row>
    <row r="782">
      <c r="E782" s="132"/>
    </row>
    <row r="783">
      <c r="E783" s="132"/>
    </row>
    <row r="784">
      <c r="E784" s="132"/>
    </row>
    <row r="785">
      <c r="E785" s="132"/>
    </row>
    <row r="786">
      <c r="E786" s="132"/>
    </row>
    <row r="787">
      <c r="E787" s="132"/>
    </row>
    <row r="788">
      <c r="E788" s="132"/>
    </row>
    <row r="789">
      <c r="E789" s="132"/>
    </row>
    <row r="790">
      <c r="E790" s="132"/>
    </row>
    <row r="791">
      <c r="E791" s="132"/>
    </row>
    <row r="792">
      <c r="E792" s="132"/>
    </row>
    <row r="793">
      <c r="E793" s="132"/>
    </row>
    <row r="794">
      <c r="E794" s="132"/>
    </row>
    <row r="795">
      <c r="E795" s="132"/>
    </row>
    <row r="796">
      <c r="E796" s="132"/>
    </row>
    <row r="797">
      <c r="E797" s="132"/>
    </row>
    <row r="798">
      <c r="E798" s="132"/>
    </row>
    <row r="799">
      <c r="E799" s="132"/>
    </row>
    <row r="800">
      <c r="E800" s="132"/>
    </row>
    <row r="801">
      <c r="E801" s="132"/>
    </row>
    <row r="802">
      <c r="E802" s="132"/>
    </row>
    <row r="803">
      <c r="E803" s="132"/>
    </row>
    <row r="804">
      <c r="E804" s="132"/>
    </row>
    <row r="805">
      <c r="E805" s="132"/>
    </row>
    <row r="806">
      <c r="E806" s="132"/>
    </row>
    <row r="807">
      <c r="E807" s="132"/>
    </row>
    <row r="808">
      <c r="E808" s="132"/>
    </row>
    <row r="809">
      <c r="E809" s="132"/>
    </row>
    <row r="810">
      <c r="E810" s="132"/>
    </row>
    <row r="811">
      <c r="E811" s="132"/>
    </row>
    <row r="812">
      <c r="E812" s="132"/>
    </row>
    <row r="813">
      <c r="E813" s="132"/>
    </row>
    <row r="814">
      <c r="E814" s="132"/>
    </row>
    <row r="815">
      <c r="E815" s="132"/>
    </row>
    <row r="816">
      <c r="E816" s="132"/>
    </row>
    <row r="817">
      <c r="E817" s="132"/>
    </row>
    <row r="818">
      <c r="E818" s="132"/>
    </row>
    <row r="819">
      <c r="E819" s="132"/>
    </row>
    <row r="820">
      <c r="E820" s="132"/>
    </row>
    <row r="821">
      <c r="E821" s="132"/>
    </row>
    <row r="822">
      <c r="E822" s="132"/>
    </row>
    <row r="823">
      <c r="E823" s="132"/>
    </row>
    <row r="824">
      <c r="E824" s="132"/>
    </row>
    <row r="825">
      <c r="E825" s="132"/>
    </row>
    <row r="826">
      <c r="E826" s="132"/>
    </row>
    <row r="827">
      <c r="E827" s="132"/>
    </row>
    <row r="828">
      <c r="E828" s="132"/>
    </row>
    <row r="829">
      <c r="E829" s="132"/>
    </row>
    <row r="830">
      <c r="E830" s="132"/>
    </row>
    <row r="831">
      <c r="E831" s="132"/>
    </row>
    <row r="832">
      <c r="E832" s="132"/>
    </row>
    <row r="833">
      <c r="E833" s="132"/>
    </row>
    <row r="834">
      <c r="E834" s="132"/>
    </row>
    <row r="835">
      <c r="E835" s="132"/>
    </row>
    <row r="836">
      <c r="E836" s="132"/>
    </row>
    <row r="837">
      <c r="E837" s="132"/>
    </row>
    <row r="838">
      <c r="E838" s="132"/>
    </row>
    <row r="839">
      <c r="E839" s="132"/>
    </row>
    <row r="840">
      <c r="E840" s="132"/>
    </row>
    <row r="841">
      <c r="E841" s="132"/>
    </row>
    <row r="842">
      <c r="E842" s="132"/>
    </row>
    <row r="843">
      <c r="E843" s="132"/>
    </row>
    <row r="844">
      <c r="E844" s="132"/>
    </row>
    <row r="845">
      <c r="E845" s="132"/>
    </row>
    <row r="846">
      <c r="E846" s="132"/>
    </row>
    <row r="847">
      <c r="E847" s="132"/>
    </row>
    <row r="848">
      <c r="E848" s="132"/>
    </row>
    <row r="849">
      <c r="E849" s="132"/>
    </row>
    <row r="850">
      <c r="E850" s="132"/>
    </row>
    <row r="851">
      <c r="E851" s="132"/>
    </row>
    <row r="852">
      <c r="E852" s="132"/>
    </row>
    <row r="853">
      <c r="E853" s="132"/>
    </row>
    <row r="854">
      <c r="E854" s="132"/>
    </row>
    <row r="855">
      <c r="E855" s="132"/>
    </row>
    <row r="856">
      <c r="E856" s="132"/>
    </row>
    <row r="857">
      <c r="E857" s="132"/>
    </row>
    <row r="858">
      <c r="E858" s="132"/>
    </row>
    <row r="859">
      <c r="E859" s="132"/>
    </row>
    <row r="860">
      <c r="E860" s="132"/>
    </row>
    <row r="861">
      <c r="E861" s="132"/>
    </row>
    <row r="862">
      <c r="E862" s="132"/>
    </row>
    <row r="863">
      <c r="E863" s="132"/>
    </row>
    <row r="864">
      <c r="E864" s="132"/>
    </row>
    <row r="865">
      <c r="E865" s="132"/>
    </row>
    <row r="866">
      <c r="E866" s="132"/>
    </row>
    <row r="867">
      <c r="E867" s="132"/>
    </row>
    <row r="868">
      <c r="E868" s="132"/>
    </row>
    <row r="869">
      <c r="E869" s="132"/>
    </row>
    <row r="870">
      <c r="E870" s="132"/>
    </row>
    <row r="871">
      <c r="E871" s="132"/>
    </row>
    <row r="872">
      <c r="E872" s="132"/>
    </row>
    <row r="873">
      <c r="E873" s="132"/>
    </row>
    <row r="874">
      <c r="E874" s="132"/>
    </row>
    <row r="875">
      <c r="E875" s="132"/>
    </row>
    <row r="876">
      <c r="E876" s="132"/>
    </row>
    <row r="877">
      <c r="E877" s="132"/>
    </row>
    <row r="878">
      <c r="E878" s="132"/>
    </row>
    <row r="879">
      <c r="E879" s="132"/>
    </row>
    <row r="880">
      <c r="E880" s="132"/>
    </row>
    <row r="881">
      <c r="E881" s="132"/>
    </row>
    <row r="882">
      <c r="E882" s="132"/>
    </row>
    <row r="883">
      <c r="E883" s="132"/>
    </row>
    <row r="884">
      <c r="E884" s="132"/>
    </row>
    <row r="885">
      <c r="E885" s="132"/>
    </row>
    <row r="886">
      <c r="E886" s="132"/>
    </row>
    <row r="887">
      <c r="E887" s="132"/>
    </row>
    <row r="888">
      <c r="E888" s="132"/>
    </row>
    <row r="889">
      <c r="E889" s="132"/>
    </row>
    <row r="890">
      <c r="E890" s="132"/>
    </row>
    <row r="891">
      <c r="E891" s="132"/>
    </row>
    <row r="892">
      <c r="E892" s="132"/>
    </row>
    <row r="893">
      <c r="E893" s="132"/>
    </row>
    <row r="894">
      <c r="E894" s="132"/>
    </row>
    <row r="895">
      <c r="E895" s="132"/>
    </row>
    <row r="896">
      <c r="E896" s="132"/>
    </row>
    <row r="897">
      <c r="E897" s="132"/>
    </row>
    <row r="898">
      <c r="E898" s="132"/>
    </row>
    <row r="899">
      <c r="E899" s="132"/>
    </row>
    <row r="900">
      <c r="E900" s="132"/>
    </row>
    <row r="901">
      <c r="E901" s="132"/>
    </row>
    <row r="902">
      <c r="E902" s="132"/>
    </row>
    <row r="903">
      <c r="E903" s="132"/>
    </row>
    <row r="904">
      <c r="E904" s="132"/>
    </row>
    <row r="905">
      <c r="E905" s="132"/>
    </row>
    <row r="906">
      <c r="E906" s="132"/>
    </row>
    <row r="907">
      <c r="E907" s="132"/>
    </row>
    <row r="908">
      <c r="E908" s="132"/>
    </row>
    <row r="909">
      <c r="E909" s="132"/>
    </row>
    <row r="910">
      <c r="E910" s="132"/>
    </row>
    <row r="911">
      <c r="E911" s="132"/>
    </row>
    <row r="912">
      <c r="E912" s="132"/>
    </row>
    <row r="913">
      <c r="E913" s="132"/>
    </row>
    <row r="914">
      <c r="E914" s="132"/>
    </row>
    <row r="915">
      <c r="E915" s="132"/>
    </row>
    <row r="916">
      <c r="E916" s="132"/>
    </row>
    <row r="917">
      <c r="E917" s="132"/>
    </row>
    <row r="918">
      <c r="E918" s="132"/>
    </row>
    <row r="919">
      <c r="E919" s="132"/>
    </row>
    <row r="920">
      <c r="E920" s="132"/>
    </row>
    <row r="921">
      <c r="E921" s="132"/>
    </row>
    <row r="922">
      <c r="E922" s="132"/>
    </row>
    <row r="923">
      <c r="E923" s="132"/>
    </row>
    <row r="924">
      <c r="E924" s="132"/>
    </row>
    <row r="925">
      <c r="E925" s="132"/>
    </row>
    <row r="926">
      <c r="E926" s="132"/>
    </row>
    <row r="927">
      <c r="E927" s="132"/>
    </row>
    <row r="928">
      <c r="E928" s="132"/>
    </row>
    <row r="929">
      <c r="E929" s="132"/>
    </row>
    <row r="930">
      <c r="E930" s="132"/>
    </row>
    <row r="931">
      <c r="E931" s="132"/>
    </row>
    <row r="932">
      <c r="E932" s="132"/>
    </row>
    <row r="933">
      <c r="E933" s="132"/>
    </row>
    <row r="934">
      <c r="E934" s="132"/>
    </row>
    <row r="935">
      <c r="E935" s="132"/>
    </row>
    <row r="936">
      <c r="E936" s="132"/>
    </row>
    <row r="937">
      <c r="E937" s="132"/>
    </row>
    <row r="938">
      <c r="E938" s="132"/>
    </row>
    <row r="939">
      <c r="E939" s="132"/>
    </row>
    <row r="940">
      <c r="E940" s="132"/>
    </row>
    <row r="941">
      <c r="E941" s="132"/>
    </row>
    <row r="942">
      <c r="E942" s="132"/>
    </row>
    <row r="943">
      <c r="E943" s="132"/>
    </row>
    <row r="944">
      <c r="E944" s="132"/>
    </row>
    <row r="945">
      <c r="E945" s="132"/>
    </row>
    <row r="946">
      <c r="E946" s="132"/>
    </row>
    <row r="947">
      <c r="E947" s="132"/>
    </row>
    <row r="948">
      <c r="E948" s="132"/>
    </row>
    <row r="949">
      <c r="E949" s="132"/>
    </row>
    <row r="950">
      <c r="E950" s="132"/>
    </row>
    <row r="951">
      <c r="E951" s="132"/>
    </row>
    <row r="952">
      <c r="E952" s="132"/>
    </row>
    <row r="953">
      <c r="E953" s="132"/>
    </row>
    <row r="954">
      <c r="E954" s="132"/>
    </row>
    <row r="955">
      <c r="E955" s="132"/>
    </row>
    <row r="956">
      <c r="E956" s="132"/>
    </row>
    <row r="957">
      <c r="E957" s="132"/>
    </row>
    <row r="958">
      <c r="E958" s="132"/>
    </row>
    <row r="959">
      <c r="E959" s="132"/>
    </row>
    <row r="960">
      <c r="E960" s="132"/>
    </row>
    <row r="961">
      <c r="E961" s="132"/>
    </row>
    <row r="962">
      <c r="E962" s="132"/>
    </row>
    <row r="963">
      <c r="E963" s="132"/>
    </row>
    <row r="964">
      <c r="E964" s="132"/>
    </row>
    <row r="965">
      <c r="E965" s="132"/>
    </row>
    <row r="966">
      <c r="E966" s="132"/>
    </row>
    <row r="967">
      <c r="E967" s="132"/>
    </row>
    <row r="968">
      <c r="E968" s="132"/>
    </row>
    <row r="969">
      <c r="E969" s="132"/>
    </row>
    <row r="970">
      <c r="E970" s="132"/>
    </row>
    <row r="971">
      <c r="E971" s="132"/>
    </row>
    <row r="972">
      <c r="E972" s="132"/>
    </row>
    <row r="973">
      <c r="E973" s="132"/>
    </row>
    <row r="974">
      <c r="E974" s="132"/>
    </row>
    <row r="975">
      <c r="E975" s="132"/>
    </row>
    <row r="976">
      <c r="E976" s="132"/>
    </row>
    <row r="977">
      <c r="E977" s="132"/>
    </row>
    <row r="978">
      <c r="E978" s="132"/>
    </row>
    <row r="979">
      <c r="E979" s="132"/>
    </row>
    <row r="980">
      <c r="E980" s="132"/>
    </row>
    <row r="981">
      <c r="E981" s="132"/>
    </row>
    <row r="982">
      <c r="E982" s="132"/>
    </row>
    <row r="983">
      <c r="E983" s="132"/>
    </row>
    <row r="984">
      <c r="E984" s="132"/>
    </row>
    <row r="985">
      <c r="E985" s="132"/>
    </row>
    <row r="986">
      <c r="E986" s="132"/>
    </row>
    <row r="987">
      <c r="E987" s="132"/>
    </row>
    <row r="988">
      <c r="E988" s="132"/>
    </row>
    <row r="989">
      <c r="E989" s="132"/>
    </row>
    <row r="990">
      <c r="E990" s="132"/>
    </row>
    <row r="991">
      <c r="E991" s="132"/>
    </row>
    <row r="992">
      <c r="E992" s="132"/>
    </row>
    <row r="993">
      <c r="E993" s="132"/>
    </row>
    <row r="994">
      <c r="E994" s="132"/>
    </row>
    <row r="995">
      <c r="E995" s="132"/>
    </row>
    <row r="996">
      <c r="E996" s="132"/>
    </row>
    <row r="997">
      <c r="E997" s="132"/>
    </row>
    <row r="998">
      <c r="E998" s="132"/>
    </row>
    <row r="999">
      <c r="E999" s="132"/>
    </row>
    <row r="1000">
      <c r="E1000" s="132"/>
    </row>
  </sheetData>
  <drawing r:id="rId1"/>
</worksheet>
</file>