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full_power_8b3f.csv" sheetId="1" r:id="rId1"/>
  </sheets>
  <calcPr calcId="145621"/>
</workbook>
</file>

<file path=xl/calcChain.xml><?xml version="1.0" encoding="utf-8"?>
<calcChain xmlns="http://schemas.openxmlformats.org/spreadsheetml/2006/main">
  <c r="B5164" i="1" l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<sst xmlns="http://schemas.openxmlformats.org/spreadsheetml/2006/main" count="3" uniqueCount="3">
  <si>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Chan</t>
  </si>
  <si>
    <t>Timestamp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</si>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</sst>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64"/>
  <sheetViews>
    <sheetView tabSelected="1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8.42578125" customWidth="1"/>
    <col min="3" max="3" width="1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</v>
      </c>
      <c r="B2" t="str">
        <f>"3:10:53.885421"</f>
        <v>3:10:53.885421</v>
      </c>
      <c r="C2">
        <v>-70</v>
      </c>
    </row>
    <row r="3" spans="1:3" x14ac:dyDescent="0.25">
      <c r="A3">
        <v>38</v>
      </c>
      <c r="B3" t="str">
        <f>"3:10:53.886118"</f>
        <v>3:10:53.886118</v>
      </c>
      <c r="C3">
        <v>-64</v>
      </c>
    </row>
    <row r="4" spans="1:3" x14ac:dyDescent="0.25">
      <c r="A4">
        <v>39</v>
      </c>
      <c r="B4" t="str">
        <f>"3:10:53.886815"</f>
        <v>3:10:53.886815</v>
      </c>
      <c r="C4">
        <v>-62</v>
      </c>
    </row>
    <row r="5" spans="1:3" x14ac:dyDescent="0.25">
      <c r="A5">
        <v>39</v>
      </c>
      <c r="B5" t="str">
        <f>"3:10:55.151577"</f>
        <v>3:10:55.151577</v>
      </c>
      <c r="C5">
        <v>-64</v>
      </c>
    </row>
    <row r="6" spans="1:3" x14ac:dyDescent="0.25">
      <c r="A6">
        <v>37</v>
      </c>
      <c r="B6" t="str">
        <f>"3:10:56.385355"</f>
        <v>3:10:56.385355</v>
      </c>
      <c r="C6">
        <v>-69</v>
      </c>
    </row>
    <row r="7" spans="1:3" x14ac:dyDescent="0.25">
      <c r="A7">
        <v>38</v>
      </c>
      <c r="B7" t="str">
        <f>"3:10:56.386052"</f>
        <v>3:10:56.386052</v>
      </c>
      <c r="C7">
        <v>-64</v>
      </c>
    </row>
    <row r="8" spans="1:3" x14ac:dyDescent="0.25">
      <c r="A8">
        <v>39</v>
      </c>
      <c r="B8" t="str">
        <f>"3:10:56.386749"</f>
        <v>3:10:56.386749</v>
      </c>
      <c r="C8">
        <v>-62</v>
      </c>
    </row>
    <row r="9" spans="1:3" x14ac:dyDescent="0.25">
      <c r="A9">
        <v>37</v>
      </c>
      <c r="B9" t="str">
        <f>"3:10:57.624081"</f>
        <v>3:10:57.624081</v>
      </c>
      <c r="C9">
        <v>-69</v>
      </c>
    </row>
    <row r="10" spans="1:3" x14ac:dyDescent="0.25">
      <c r="A10">
        <v>38</v>
      </c>
      <c r="B10" t="str">
        <f>"3:10:57.624778"</f>
        <v>3:10:57.624778</v>
      </c>
      <c r="C10">
        <v>-64</v>
      </c>
    </row>
    <row r="11" spans="1:3" x14ac:dyDescent="0.25">
      <c r="A11">
        <v>38</v>
      </c>
      <c r="B11" t="str">
        <f>"3:10:57.625280"</f>
        <v>3:10:57.625280</v>
      </c>
      <c r="C11">
        <v>-63</v>
      </c>
    </row>
    <row r="12" spans="1:3" x14ac:dyDescent="0.25">
      <c r="A12">
        <v>38</v>
      </c>
      <c r="B12" t="str">
        <f>"3:10:57.625606"</f>
        <v>3:10:57.625606</v>
      </c>
      <c r="C12">
        <v>-64</v>
      </c>
    </row>
    <row r="13" spans="1:3" x14ac:dyDescent="0.25">
      <c r="A13">
        <v>39</v>
      </c>
      <c r="B13" t="str">
        <f>"3:10:57.625877"</f>
        <v>3:10:57.625877</v>
      </c>
      <c r="C13">
        <v>-62</v>
      </c>
    </row>
    <row r="14" spans="1:3" x14ac:dyDescent="0.25">
      <c r="A14">
        <v>37</v>
      </c>
      <c r="B14" t="str">
        <f>"3:10:58.902346"</f>
        <v>3:10:58.902346</v>
      </c>
      <c r="C14">
        <v>-69</v>
      </c>
    </row>
    <row r="15" spans="1:3" x14ac:dyDescent="0.25">
      <c r="A15">
        <v>38</v>
      </c>
      <c r="B15" t="str">
        <f>"3:10:58.903043"</f>
        <v>3:10:58.903043</v>
      </c>
      <c r="C15">
        <v>-64</v>
      </c>
    </row>
    <row r="16" spans="1:3" x14ac:dyDescent="0.25">
      <c r="A16">
        <v>39</v>
      </c>
      <c r="B16" t="str">
        <f>"3:10:58.903740"</f>
        <v>3:10:58.903740</v>
      </c>
      <c r="C16">
        <v>-62</v>
      </c>
    </row>
    <row r="17" spans="1:3" x14ac:dyDescent="0.25">
      <c r="A17">
        <v>37</v>
      </c>
      <c r="B17" t="str">
        <f>"3:11:00.129023"</f>
        <v>3:11:00.129023</v>
      </c>
      <c r="C17">
        <v>-69</v>
      </c>
    </row>
    <row r="18" spans="1:3" x14ac:dyDescent="0.25">
      <c r="A18">
        <v>38</v>
      </c>
      <c r="B18" t="str">
        <f>"3:11:00.129720"</f>
        <v>3:11:00.129720</v>
      </c>
      <c r="C18">
        <v>-64</v>
      </c>
    </row>
    <row r="19" spans="1:3" x14ac:dyDescent="0.25">
      <c r="A19">
        <v>39</v>
      </c>
      <c r="B19" t="str">
        <f>"3:11:00.130417"</f>
        <v>3:11:00.130417</v>
      </c>
      <c r="C19">
        <v>-62</v>
      </c>
    </row>
    <row r="20" spans="1:3" x14ac:dyDescent="0.25">
      <c r="A20">
        <v>39</v>
      </c>
      <c r="B20" t="str">
        <f>"3:11:01.389427"</f>
        <v>3:11:01.389427</v>
      </c>
      <c r="C20">
        <v>-62</v>
      </c>
    </row>
    <row r="21" spans="1:3" x14ac:dyDescent="0.25">
      <c r="A21">
        <v>37</v>
      </c>
      <c r="B21" t="str">
        <f>"3:11:03.859174"</f>
        <v>3:11:03.859174</v>
      </c>
      <c r="C21">
        <v>-72</v>
      </c>
    </row>
    <row r="22" spans="1:3" x14ac:dyDescent="0.25">
      <c r="A22">
        <v>38</v>
      </c>
      <c r="B22" t="str">
        <f>"3:11:03.859871"</f>
        <v>3:11:03.859871</v>
      </c>
      <c r="C22">
        <v>-64</v>
      </c>
    </row>
    <row r="23" spans="1:3" x14ac:dyDescent="0.25">
      <c r="A23">
        <v>39</v>
      </c>
      <c r="B23" t="str">
        <f>"3:11:03.860568"</f>
        <v>3:11:03.860568</v>
      </c>
      <c r="C23">
        <v>-62</v>
      </c>
    </row>
    <row r="24" spans="1:3" x14ac:dyDescent="0.25">
      <c r="A24">
        <v>38</v>
      </c>
      <c r="B24" t="str">
        <f>"3:11:05.094938"</f>
        <v>3:11:05.094938</v>
      </c>
      <c r="C24">
        <v>-64</v>
      </c>
    </row>
    <row r="25" spans="1:3" x14ac:dyDescent="0.25">
      <c r="A25">
        <v>39</v>
      </c>
      <c r="B25" t="str">
        <f>"3:11:05.095635"</f>
        <v>3:11:05.095635</v>
      </c>
      <c r="C25">
        <v>-61</v>
      </c>
    </row>
    <row r="26" spans="1:3" x14ac:dyDescent="0.25">
      <c r="A26">
        <v>38</v>
      </c>
      <c r="B26" t="str">
        <f>"3:11:06.347324"</f>
        <v>3:11:06.347324</v>
      </c>
      <c r="C26">
        <v>-63</v>
      </c>
    </row>
    <row r="27" spans="1:3" x14ac:dyDescent="0.25">
      <c r="A27">
        <v>39</v>
      </c>
      <c r="B27" t="str">
        <f>"3:11:06.348021"</f>
        <v>3:11:06.348021</v>
      </c>
      <c r="C27">
        <v>-61</v>
      </c>
    </row>
    <row r="28" spans="1:3" x14ac:dyDescent="0.25">
      <c r="A28">
        <v>37</v>
      </c>
      <c r="B28" t="str">
        <f>"3:11:07.584721"</f>
        <v>3:11:07.584721</v>
      </c>
      <c r="C28">
        <v>-72</v>
      </c>
    </row>
    <row r="29" spans="1:3" x14ac:dyDescent="0.25">
      <c r="A29">
        <v>38</v>
      </c>
      <c r="B29" t="str">
        <f>"3:11:07.585418"</f>
        <v>3:11:07.585418</v>
      </c>
      <c r="C29">
        <v>-63</v>
      </c>
    </row>
    <row r="30" spans="1:3" x14ac:dyDescent="0.25">
      <c r="A30">
        <v>39</v>
      </c>
      <c r="B30" t="str">
        <f>"3:11:07.586115"</f>
        <v>3:11:07.586115</v>
      </c>
      <c r="C30">
        <v>-61</v>
      </c>
    </row>
    <row r="31" spans="1:3" x14ac:dyDescent="0.25">
      <c r="A31">
        <v>37</v>
      </c>
      <c r="B31" t="str">
        <f>"3:11:08.839361"</f>
        <v>3:11:08.839361</v>
      </c>
      <c r="C31">
        <v>-70</v>
      </c>
    </row>
    <row r="32" spans="1:3" x14ac:dyDescent="0.25">
      <c r="A32">
        <v>38</v>
      </c>
      <c r="B32" t="str">
        <f>"3:11:08.840057"</f>
        <v>3:11:08.840057</v>
      </c>
      <c r="C32">
        <v>-63</v>
      </c>
    </row>
    <row r="33" spans="1:3" x14ac:dyDescent="0.25">
      <c r="A33">
        <v>39</v>
      </c>
      <c r="B33" t="str">
        <f>"3:11:08.840754"</f>
        <v>3:11:08.840754</v>
      </c>
      <c r="C33">
        <v>-62</v>
      </c>
    </row>
    <row r="34" spans="1:3" x14ac:dyDescent="0.25">
      <c r="A34">
        <v>37</v>
      </c>
      <c r="B34" t="str">
        <f>"3:11:10.091721"</f>
        <v>3:11:10.091721</v>
      </c>
      <c r="C34">
        <v>-71</v>
      </c>
    </row>
    <row r="35" spans="1:3" x14ac:dyDescent="0.25">
      <c r="A35">
        <v>38</v>
      </c>
      <c r="B35" t="str">
        <f>"3:11:10.092418"</f>
        <v>3:11:10.092418</v>
      </c>
      <c r="C35">
        <v>-63</v>
      </c>
    </row>
    <row r="36" spans="1:3" x14ac:dyDescent="0.25">
      <c r="A36">
        <v>39</v>
      </c>
      <c r="B36" t="str">
        <f>"3:11:10.093115"</f>
        <v>3:11:10.093115</v>
      </c>
      <c r="C36">
        <v>-62</v>
      </c>
    </row>
    <row r="37" spans="1:3" x14ac:dyDescent="0.25">
      <c r="A37">
        <v>39</v>
      </c>
      <c r="B37" t="str">
        <f>"3:11:10.093617"</f>
        <v>3:11:10.093617</v>
      </c>
      <c r="C37">
        <v>-66</v>
      </c>
    </row>
    <row r="38" spans="1:3" x14ac:dyDescent="0.25">
      <c r="A38">
        <v>39</v>
      </c>
      <c r="B38" t="str">
        <f>"3:11:10.093943"</f>
        <v>3:11:10.093943</v>
      </c>
      <c r="C38">
        <v>-61</v>
      </c>
    </row>
    <row r="39" spans="1:3" x14ac:dyDescent="0.25">
      <c r="A39">
        <v>38</v>
      </c>
      <c r="B39" t="str">
        <f>"3:11:11.361984"</f>
        <v>3:11:11.361984</v>
      </c>
      <c r="C39">
        <v>-63</v>
      </c>
    </row>
    <row r="40" spans="1:3" x14ac:dyDescent="0.25">
      <c r="A40">
        <v>39</v>
      </c>
      <c r="B40" t="str">
        <f>"3:11:11.362681"</f>
        <v>3:11:11.362681</v>
      </c>
      <c r="C40">
        <v>-61</v>
      </c>
    </row>
    <row r="41" spans="1:3" x14ac:dyDescent="0.25">
      <c r="A41">
        <v>37</v>
      </c>
      <c r="B41" t="str">
        <f>"3:11:12.599794"</f>
        <v>3:11:12.599794</v>
      </c>
      <c r="C41">
        <v>-71</v>
      </c>
    </row>
    <row r="42" spans="1:3" x14ac:dyDescent="0.25">
      <c r="A42">
        <v>38</v>
      </c>
      <c r="B42" t="str">
        <f>"3:11:12.600491"</f>
        <v>3:11:12.600491</v>
      </c>
      <c r="C42">
        <v>-64</v>
      </c>
    </row>
    <row r="43" spans="1:3" x14ac:dyDescent="0.25">
      <c r="A43">
        <v>39</v>
      </c>
      <c r="B43" t="str">
        <f>"3:11:12.601188"</f>
        <v>3:11:12.601188</v>
      </c>
      <c r="C43">
        <v>-61</v>
      </c>
    </row>
    <row r="44" spans="1:3" x14ac:dyDescent="0.25">
      <c r="A44">
        <v>37</v>
      </c>
      <c r="B44" t="str">
        <f>"3:11:13.830624"</f>
        <v>3:11:13.830624</v>
      </c>
      <c r="C44">
        <v>-71</v>
      </c>
    </row>
    <row r="45" spans="1:3" x14ac:dyDescent="0.25">
      <c r="A45">
        <v>38</v>
      </c>
      <c r="B45" t="str">
        <f>"3:11:13.831321"</f>
        <v>3:11:13.831321</v>
      </c>
      <c r="C45">
        <v>-63</v>
      </c>
    </row>
    <row r="46" spans="1:3" x14ac:dyDescent="0.25">
      <c r="A46">
        <v>39</v>
      </c>
      <c r="B46" t="str">
        <f>"3:11:13.832018"</f>
        <v>3:11:13.832018</v>
      </c>
      <c r="C46">
        <v>-62</v>
      </c>
    </row>
    <row r="47" spans="1:3" x14ac:dyDescent="0.25">
      <c r="A47">
        <v>37</v>
      </c>
      <c r="B47" t="str">
        <f>"3:11:15.072858"</f>
        <v>3:11:15.072858</v>
      </c>
      <c r="C47">
        <v>-72</v>
      </c>
    </row>
    <row r="48" spans="1:3" x14ac:dyDescent="0.25">
      <c r="A48">
        <v>38</v>
      </c>
      <c r="B48" t="str">
        <f>"3:11:15.073555"</f>
        <v>3:11:15.073555</v>
      </c>
      <c r="C48">
        <v>-64</v>
      </c>
    </row>
    <row r="49" spans="1:3" x14ac:dyDescent="0.25">
      <c r="A49">
        <v>39</v>
      </c>
      <c r="B49" t="str">
        <f>"3:11:15.074252"</f>
        <v>3:11:15.074252</v>
      </c>
      <c r="C49">
        <v>-62</v>
      </c>
    </row>
    <row r="50" spans="1:3" x14ac:dyDescent="0.25">
      <c r="A50">
        <v>37</v>
      </c>
      <c r="B50" t="str">
        <f>"3:11:16.300881"</f>
        <v>3:11:16.300881</v>
      </c>
      <c r="C50">
        <v>-71</v>
      </c>
    </row>
    <row r="51" spans="1:3" x14ac:dyDescent="0.25">
      <c r="A51">
        <v>38</v>
      </c>
      <c r="B51" t="str">
        <f>"3:11:16.301578"</f>
        <v>3:11:16.301578</v>
      </c>
      <c r="C51">
        <v>-63</v>
      </c>
    </row>
    <row r="52" spans="1:3" x14ac:dyDescent="0.25">
      <c r="A52">
        <v>38</v>
      </c>
      <c r="B52" t="str">
        <f>"3:11:16.302081"</f>
        <v>3:11:16.302081</v>
      </c>
      <c r="C52">
        <v>-64</v>
      </c>
    </row>
    <row r="53" spans="1:3" x14ac:dyDescent="0.25">
      <c r="A53">
        <v>38</v>
      </c>
      <c r="B53" t="str">
        <f>"3:11:16.302407"</f>
        <v>3:11:16.302407</v>
      </c>
      <c r="C53">
        <v>-63</v>
      </c>
    </row>
    <row r="54" spans="1:3" x14ac:dyDescent="0.25">
      <c r="A54">
        <v>39</v>
      </c>
      <c r="B54" t="str">
        <f>"3:11:16.302678"</f>
        <v>3:11:16.302678</v>
      </c>
      <c r="C54">
        <v>-62</v>
      </c>
    </row>
    <row r="55" spans="1:3" x14ac:dyDescent="0.25">
      <c r="A55">
        <v>37</v>
      </c>
      <c r="B55" t="str">
        <f>"3:11:18.790488"</f>
        <v>3:11:18.790488</v>
      </c>
      <c r="C55">
        <v>-71</v>
      </c>
    </row>
    <row r="56" spans="1:3" x14ac:dyDescent="0.25">
      <c r="A56">
        <v>38</v>
      </c>
      <c r="B56" t="str">
        <f>"3:11:18.791185"</f>
        <v>3:11:18.791185</v>
      </c>
      <c r="C56">
        <v>-63</v>
      </c>
    </row>
    <row r="57" spans="1:3" x14ac:dyDescent="0.25">
      <c r="A57">
        <v>39</v>
      </c>
      <c r="B57" t="str">
        <f>"3:11:18.791882"</f>
        <v>3:11:18.791882</v>
      </c>
      <c r="C57">
        <v>-62</v>
      </c>
    </row>
    <row r="58" spans="1:3" x14ac:dyDescent="0.25">
      <c r="A58">
        <v>37</v>
      </c>
      <c r="B58" t="str">
        <f>"3:11:20.030605"</f>
        <v>3:11:20.030605</v>
      </c>
      <c r="C58">
        <v>-71</v>
      </c>
    </row>
    <row r="59" spans="1:3" x14ac:dyDescent="0.25">
      <c r="A59">
        <v>38</v>
      </c>
      <c r="B59" t="str">
        <f>"3:11:20.031302"</f>
        <v>3:11:20.031302</v>
      </c>
      <c r="C59">
        <v>-63</v>
      </c>
    </row>
    <row r="60" spans="1:3" x14ac:dyDescent="0.25">
      <c r="A60">
        <v>39</v>
      </c>
      <c r="B60" t="str">
        <f>"3:11:20.031999"</f>
        <v>3:11:20.031999</v>
      </c>
      <c r="C60">
        <v>-61</v>
      </c>
    </row>
    <row r="61" spans="1:3" x14ac:dyDescent="0.25">
      <c r="A61">
        <v>37</v>
      </c>
      <c r="B61" t="str">
        <f>"3:11:21.268034"</f>
        <v>3:11:21.268034</v>
      </c>
      <c r="C61">
        <v>-71</v>
      </c>
    </row>
    <row r="62" spans="1:3" x14ac:dyDescent="0.25">
      <c r="A62">
        <v>38</v>
      </c>
      <c r="B62" t="str">
        <f>"3:11:21.268731"</f>
        <v>3:11:21.268731</v>
      </c>
      <c r="C62">
        <v>-63</v>
      </c>
    </row>
    <row r="63" spans="1:3" x14ac:dyDescent="0.25">
      <c r="A63">
        <v>39</v>
      </c>
      <c r="B63" t="str">
        <f>"3:11:21.269428"</f>
        <v>3:11:21.269428</v>
      </c>
      <c r="C63">
        <v>-62</v>
      </c>
    </row>
    <row r="64" spans="1:3" x14ac:dyDescent="0.25">
      <c r="A64">
        <v>38</v>
      </c>
      <c r="B64" t="str">
        <f>"3:11:22.507510"</f>
        <v>3:11:22.507510</v>
      </c>
      <c r="C64">
        <v>-63</v>
      </c>
    </row>
    <row r="65" spans="1:3" x14ac:dyDescent="0.25">
      <c r="A65">
        <v>39</v>
      </c>
      <c r="B65" t="str">
        <f>"3:11:22.508207"</f>
        <v>3:11:22.508207</v>
      </c>
      <c r="C65">
        <v>-62</v>
      </c>
    </row>
    <row r="66" spans="1:3" x14ac:dyDescent="0.25">
      <c r="A66">
        <v>37</v>
      </c>
      <c r="B66" t="str">
        <f>"3:11:23.751615"</f>
        <v>3:11:23.751615</v>
      </c>
      <c r="C66">
        <v>-70</v>
      </c>
    </row>
    <row r="67" spans="1:3" x14ac:dyDescent="0.25">
      <c r="A67">
        <v>38</v>
      </c>
      <c r="B67" t="str">
        <f>"3:11:23.752312"</f>
        <v>3:11:23.752312</v>
      </c>
      <c r="C67">
        <v>-63</v>
      </c>
    </row>
    <row r="68" spans="1:3" x14ac:dyDescent="0.25">
      <c r="A68">
        <v>39</v>
      </c>
      <c r="B68" t="str">
        <f>"3:11:23.753009"</f>
        <v>3:11:23.753009</v>
      </c>
      <c r="C68">
        <v>-62</v>
      </c>
    </row>
    <row r="69" spans="1:3" x14ac:dyDescent="0.25">
      <c r="A69">
        <v>38</v>
      </c>
      <c r="B69" t="str">
        <f>"3:11:25.031130"</f>
        <v>3:11:25.031130</v>
      </c>
      <c r="C69">
        <v>-63</v>
      </c>
    </row>
    <row r="70" spans="1:3" x14ac:dyDescent="0.25">
      <c r="A70">
        <v>39</v>
      </c>
      <c r="B70" t="str">
        <f>"3:11:25.031827"</f>
        <v>3:11:25.031827</v>
      </c>
      <c r="C70">
        <v>-62</v>
      </c>
    </row>
    <row r="71" spans="1:3" x14ac:dyDescent="0.25">
      <c r="A71">
        <v>37</v>
      </c>
      <c r="B71" t="str">
        <f>"3:11:26.245596"</f>
        <v>3:11:26.245596</v>
      </c>
      <c r="C71">
        <v>-71</v>
      </c>
    </row>
    <row r="72" spans="1:3" x14ac:dyDescent="0.25">
      <c r="A72">
        <v>38</v>
      </c>
      <c r="B72" t="str">
        <f>"3:11:26.246293"</f>
        <v>3:11:26.246293</v>
      </c>
      <c r="C72">
        <v>-63</v>
      </c>
    </row>
    <row r="73" spans="1:3" x14ac:dyDescent="0.25">
      <c r="A73">
        <v>39</v>
      </c>
      <c r="B73" t="str">
        <f>"3:11:26.246990"</f>
        <v>3:11:26.246990</v>
      </c>
      <c r="C73">
        <v>-62</v>
      </c>
    </row>
    <row r="74" spans="1:3" x14ac:dyDescent="0.25">
      <c r="A74">
        <v>37</v>
      </c>
      <c r="B74" t="str">
        <f>"3:11:27.505176"</f>
        <v>3:11:27.505176</v>
      </c>
      <c r="C74">
        <v>-71</v>
      </c>
    </row>
    <row r="75" spans="1:3" x14ac:dyDescent="0.25">
      <c r="A75">
        <v>38</v>
      </c>
      <c r="B75" t="str">
        <f>"3:11:27.505872"</f>
        <v>3:11:27.505872</v>
      </c>
      <c r="C75">
        <v>-63</v>
      </c>
    </row>
    <row r="76" spans="1:3" x14ac:dyDescent="0.25">
      <c r="A76">
        <v>39</v>
      </c>
      <c r="B76" t="str">
        <f>"3:11:27.506570"</f>
        <v>3:11:27.506570</v>
      </c>
      <c r="C76">
        <v>-62</v>
      </c>
    </row>
    <row r="77" spans="1:3" x14ac:dyDescent="0.25">
      <c r="A77">
        <v>37</v>
      </c>
      <c r="B77" t="str">
        <f>"3:11:28.782950"</f>
        <v>3:11:28.782950</v>
      </c>
      <c r="C77">
        <v>-70</v>
      </c>
    </row>
    <row r="78" spans="1:3" x14ac:dyDescent="0.25">
      <c r="A78">
        <v>38</v>
      </c>
      <c r="B78" t="str">
        <f>"3:11:28.783647"</f>
        <v>3:11:28.783647</v>
      </c>
      <c r="C78">
        <v>-63</v>
      </c>
    </row>
    <row r="79" spans="1:3" x14ac:dyDescent="0.25">
      <c r="A79">
        <v>39</v>
      </c>
      <c r="B79" t="str">
        <f>"3:11:28.784344"</f>
        <v>3:11:28.784344</v>
      </c>
      <c r="C79">
        <v>-61</v>
      </c>
    </row>
    <row r="80" spans="1:3" x14ac:dyDescent="0.25">
      <c r="A80">
        <v>37</v>
      </c>
      <c r="B80" t="str">
        <f>"3:11:29.991707"</f>
        <v>3:11:29.991707</v>
      </c>
      <c r="C80">
        <v>-71</v>
      </c>
    </row>
    <row r="81" spans="1:3" x14ac:dyDescent="0.25">
      <c r="A81">
        <v>38</v>
      </c>
      <c r="B81" t="str">
        <f>"3:11:29.992404"</f>
        <v>3:11:29.992404</v>
      </c>
      <c r="C81">
        <v>-63</v>
      </c>
    </row>
    <row r="82" spans="1:3" x14ac:dyDescent="0.25">
      <c r="A82">
        <v>39</v>
      </c>
      <c r="B82" t="str">
        <f>"3:11:29.993101"</f>
        <v>3:11:29.993101</v>
      </c>
      <c r="C82">
        <v>-62</v>
      </c>
    </row>
    <row r="83" spans="1:3" x14ac:dyDescent="0.25">
      <c r="A83">
        <v>37</v>
      </c>
      <c r="B83" t="str">
        <f>"3:11:31.238287"</f>
        <v>3:11:31.238287</v>
      </c>
      <c r="C83">
        <v>-71</v>
      </c>
    </row>
    <row r="84" spans="1:3" x14ac:dyDescent="0.25">
      <c r="A84">
        <v>38</v>
      </c>
      <c r="B84" t="str">
        <f>"3:11:31.238984"</f>
        <v>3:11:31.238984</v>
      </c>
      <c r="C84">
        <v>-63</v>
      </c>
    </row>
    <row r="85" spans="1:3" x14ac:dyDescent="0.25">
      <c r="A85">
        <v>39</v>
      </c>
      <c r="B85" t="str">
        <f>"3:11:31.239681"</f>
        <v>3:11:31.239681</v>
      </c>
      <c r="C85">
        <v>-62</v>
      </c>
    </row>
    <row r="86" spans="1:3" x14ac:dyDescent="0.25">
      <c r="A86">
        <v>37</v>
      </c>
      <c r="B86" t="str">
        <f>"3:11:32.478160"</f>
        <v>3:11:32.478160</v>
      </c>
      <c r="C86">
        <v>-71</v>
      </c>
    </row>
    <row r="87" spans="1:3" x14ac:dyDescent="0.25">
      <c r="A87">
        <v>38</v>
      </c>
      <c r="B87" t="str">
        <f>"3:11:32.478857"</f>
        <v>3:11:32.478857</v>
      </c>
      <c r="C87">
        <v>-63</v>
      </c>
    </row>
    <row r="88" spans="1:3" x14ac:dyDescent="0.25">
      <c r="A88">
        <v>39</v>
      </c>
      <c r="B88" t="str">
        <f>"3:11:32.479554"</f>
        <v>3:11:32.479554</v>
      </c>
      <c r="C88">
        <v>-62</v>
      </c>
    </row>
    <row r="89" spans="1:3" x14ac:dyDescent="0.25">
      <c r="A89">
        <v>37</v>
      </c>
      <c r="B89" t="str">
        <f>"3:11:33.737786"</f>
        <v>3:11:33.737786</v>
      </c>
      <c r="C89">
        <v>-71</v>
      </c>
    </row>
    <row r="90" spans="1:3" x14ac:dyDescent="0.25">
      <c r="A90">
        <v>38</v>
      </c>
      <c r="B90" t="str">
        <f>"3:11:33.738483"</f>
        <v>3:11:33.738483</v>
      </c>
      <c r="C90">
        <v>-63</v>
      </c>
    </row>
    <row r="91" spans="1:3" x14ac:dyDescent="0.25">
      <c r="A91">
        <v>39</v>
      </c>
      <c r="B91" t="str">
        <f>"3:11:33.739180"</f>
        <v>3:11:33.739180</v>
      </c>
      <c r="C91">
        <v>-62</v>
      </c>
    </row>
    <row r="92" spans="1:3" x14ac:dyDescent="0.25">
      <c r="A92">
        <v>37</v>
      </c>
      <c r="B92" t="str">
        <f>"3:11:36.234989"</f>
        <v>3:11:36.234989</v>
      </c>
      <c r="C92">
        <v>-71</v>
      </c>
    </row>
    <row r="93" spans="1:3" x14ac:dyDescent="0.25">
      <c r="A93">
        <v>38</v>
      </c>
      <c r="B93" t="str">
        <f>"3:11:36.235686"</f>
        <v>3:11:36.235686</v>
      </c>
      <c r="C93">
        <v>-63</v>
      </c>
    </row>
    <row r="94" spans="1:3" x14ac:dyDescent="0.25">
      <c r="A94">
        <v>39</v>
      </c>
      <c r="B94" t="str">
        <f>"3:11:36.236383"</f>
        <v>3:11:36.236383</v>
      </c>
      <c r="C94">
        <v>-62</v>
      </c>
    </row>
    <row r="95" spans="1:3" x14ac:dyDescent="0.25">
      <c r="A95">
        <v>38</v>
      </c>
      <c r="B95" t="str">
        <f>"3:11:37.478665"</f>
        <v>3:11:37.478665</v>
      </c>
      <c r="C95">
        <v>-63</v>
      </c>
    </row>
    <row r="96" spans="1:3" x14ac:dyDescent="0.25">
      <c r="A96">
        <v>37</v>
      </c>
      <c r="B96" t="str">
        <f>"3:11:38.726397"</f>
        <v>3:11:38.726397</v>
      </c>
      <c r="C96">
        <v>-70</v>
      </c>
    </row>
    <row r="97" spans="1:3" x14ac:dyDescent="0.25">
      <c r="A97">
        <v>38</v>
      </c>
      <c r="B97" t="str">
        <f>"3:11:38.727094"</f>
        <v>3:11:38.727094</v>
      </c>
      <c r="C97">
        <v>-63</v>
      </c>
    </row>
    <row r="98" spans="1:3" x14ac:dyDescent="0.25">
      <c r="A98">
        <v>39</v>
      </c>
      <c r="B98" t="str">
        <f>"3:11:38.727791"</f>
        <v>3:11:38.727791</v>
      </c>
      <c r="C98">
        <v>-62</v>
      </c>
    </row>
    <row r="99" spans="1:3" x14ac:dyDescent="0.25">
      <c r="A99">
        <v>37</v>
      </c>
      <c r="B99" t="str">
        <f>"3:11:39.994874"</f>
        <v>3:11:39.994874</v>
      </c>
      <c r="C99">
        <v>-71</v>
      </c>
    </row>
    <row r="100" spans="1:3" x14ac:dyDescent="0.25">
      <c r="A100">
        <v>38</v>
      </c>
      <c r="B100" t="str">
        <f>"3:11:39.995571"</f>
        <v>3:11:39.995571</v>
      </c>
      <c r="C100">
        <v>-63</v>
      </c>
    </row>
    <row r="101" spans="1:3" x14ac:dyDescent="0.25">
      <c r="A101">
        <v>39</v>
      </c>
      <c r="B101" t="str">
        <f>"3:11:39.996268"</f>
        <v>3:11:39.996268</v>
      </c>
      <c r="C101">
        <v>-62</v>
      </c>
    </row>
    <row r="102" spans="1:3" x14ac:dyDescent="0.25">
      <c r="A102">
        <v>37</v>
      </c>
      <c r="B102" t="str">
        <f>"3:11:42.480242"</f>
        <v>3:11:42.480242</v>
      </c>
      <c r="C102">
        <v>-71</v>
      </c>
    </row>
    <row r="103" spans="1:3" x14ac:dyDescent="0.25">
      <c r="A103">
        <v>38</v>
      </c>
      <c r="B103" t="str">
        <f>"3:11:42.480939"</f>
        <v>3:11:42.480939</v>
      </c>
      <c r="C103">
        <v>-63</v>
      </c>
    </row>
    <row r="104" spans="1:3" x14ac:dyDescent="0.25">
      <c r="A104">
        <v>39</v>
      </c>
      <c r="B104" t="str">
        <f>"3:11:42.481636"</f>
        <v>3:11:42.481636</v>
      </c>
      <c r="C104">
        <v>-62</v>
      </c>
    </row>
    <row r="105" spans="1:3" x14ac:dyDescent="0.25">
      <c r="A105">
        <v>37</v>
      </c>
      <c r="B105" t="str">
        <f>"3:11:43.714204"</f>
        <v>3:11:43.714204</v>
      </c>
      <c r="C105">
        <v>-71</v>
      </c>
    </row>
    <row r="106" spans="1:3" x14ac:dyDescent="0.25">
      <c r="A106">
        <v>38</v>
      </c>
      <c r="B106" t="str">
        <f>"3:11:43.714901"</f>
        <v>3:11:43.714901</v>
      </c>
      <c r="C106">
        <v>-63</v>
      </c>
    </row>
    <row r="107" spans="1:3" x14ac:dyDescent="0.25">
      <c r="A107">
        <v>39</v>
      </c>
      <c r="B107" t="str">
        <f>"3:11:43.715598"</f>
        <v>3:11:43.715598</v>
      </c>
      <c r="C107">
        <v>-62</v>
      </c>
    </row>
    <row r="108" spans="1:3" x14ac:dyDescent="0.25">
      <c r="A108">
        <v>37</v>
      </c>
      <c r="B108" t="str">
        <f>"3:11:44.949185"</f>
        <v>3:11:44.949185</v>
      </c>
      <c r="C108">
        <v>-71</v>
      </c>
    </row>
    <row r="109" spans="1:3" x14ac:dyDescent="0.25">
      <c r="A109">
        <v>38</v>
      </c>
      <c r="B109" t="str">
        <f>"3:11:44.949882"</f>
        <v>3:11:44.949882</v>
      </c>
      <c r="C109">
        <v>-63</v>
      </c>
    </row>
    <row r="110" spans="1:3" x14ac:dyDescent="0.25">
      <c r="A110">
        <v>39</v>
      </c>
      <c r="B110" t="str">
        <f>"3:11:44.950579"</f>
        <v>3:11:44.950579</v>
      </c>
      <c r="C110">
        <v>-62</v>
      </c>
    </row>
    <row r="111" spans="1:3" x14ac:dyDescent="0.25">
      <c r="A111">
        <v>37</v>
      </c>
      <c r="B111" t="str">
        <f>"3:11:46.194364"</f>
        <v>3:11:46.194364</v>
      </c>
      <c r="C111">
        <v>-70</v>
      </c>
    </row>
    <row r="112" spans="1:3" x14ac:dyDescent="0.25">
      <c r="A112">
        <v>38</v>
      </c>
      <c r="B112" t="str">
        <f>"3:11:46.195061"</f>
        <v>3:11:46.195061</v>
      </c>
      <c r="C112">
        <v>-63</v>
      </c>
    </row>
    <row r="113" spans="1:3" x14ac:dyDescent="0.25">
      <c r="A113">
        <v>39</v>
      </c>
      <c r="B113" t="str">
        <f>"3:11:46.195758"</f>
        <v>3:11:46.195758</v>
      </c>
      <c r="C113">
        <v>-62</v>
      </c>
    </row>
    <row r="114" spans="1:3" x14ac:dyDescent="0.25">
      <c r="A114">
        <v>37</v>
      </c>
      <c r="B114" t="str">
        <f>"3:11:47.451036"</f>
        <v>3:11:47.451036</v>
      </c>
      <c r="C114">
        <v>-71</v>
      </c>
    </row>
    <row r="115" spans="1:3" x14ac:dyDescent="0.25">
      <c r="A115">
        <v>38</v>
      </c>
      <c r="B115" t="str">
        <f>"3:11:47.451733"</f>
        <v>3:11:47.451733</v>
      </c>
      <c r="C115">
        <v>-63</v>
      </c>
    </row>
    <row r="116" spans="1:3" x14ac:dyDescent="0.25">
      <c r="A116">
        <v>39</v>
      </c>
      <c r="B116" t="str">
        <f>"3:11:47.452430"</f>
        <v>3:11:47.452430</v>
      </c>
      <c r="C116">
        <v>-62</v>
      </c>
    </row>
    <row r="117" spans="1:3" x14ac:dyDescent="0.25">
      <c r="A117">
        <v>37</v>
      </c>
      <c r="B117" t="str">
        <f>"3:11:48.691881"</f>
        <v>3:11:48.691881</v>
      </c>
      <c r="C117">
        <v>-71</v>
      </c>
    </row>
    <row r="118" spans="1:3" x14ac:dyDescent="0.25">
      <c r="A118">
        <v>38</v>
      </c>
      <c r="B118" t="str">
        <f>"3:11:48.692578"</f>
        <v>3:11:48.692578</v>
      </c>
      <c r="C118">
        <v>-63</v>
      </c>
    </row>
    <row r="119" spans="1:3" x14ac:dyDescent="0.25">
      <c r="A119">
        <v>39</v>
      </c>
      <c r="B119" t="str">
        <f>"3:11:48.693275"</f>
        <v>3:11:48.693275</v>
      </c>
      <c r="C119">
        <v>-62</v>
      </c>
    </row>
    <row r="120" spans="1:3" x14ac:dyDescent="0.25">
      <c r="A120">
        <v>37</v>
      </c>
      <c r="B120" t="str">
        <f>"3:11:49.926174"</f>
        <v>3:11:49.926174</v>
      </c>
      <c r="C120">
        <v>-71</v>
      </c>
    </row>
    <row r="121" spans="1:3" x14ac:dyDescent="0.25">
      <c r="A121">
        <v>38</v>
      </c>
      <c r="B121" t="str">
        <f>"3:11:49.926871"</f>
        <v>3:11:49.926871</v>
      </c>
      <c r="C121">
        <v>-63</v>
      </c>
    </row>
    <row r="122" spans="1:3" x14ac:dyDescent="0.25">
      <c r="A122">
        <v>39</v>
      </c>
      <c r="B122" t="str">
        <f>"3:11:49.927568"</f>
        <v>3:11:49.927568</v>
      </c>
      <c r="C122">
        <v>-62</v>
      </c>
    </row>
    <row r="123" spans="1:3" x14ac:dyDescent="0.25">
      <c r="A123">
        <v>37</v>
      </c>
      <c r="B123" t="str">
        <f>"3:11:51.198785"</f>
        <v>3:11:51.198785</v>
      </c>
      <c r="C123">
        <v>-71</v>
      </c>
    </row>
    <row r="124" spans="1:3" x14ac:dyDescent="0.25">
      <c r="A124">
        <v>38</v>
      </c>
      <c r="B124" t="str">
        <f>"3:11:51.199482"</f>
        <v>3:11:51.199482</v>
      </c>
      <c r="C124">
        <v>-63</v>
      </c>
    </row>
    <row r="125" spans="1:3" x14ac:dyDescent="0.25">
      <c r="A125">
        <v>39</v>
      </c>
      <c r="B125" t="str">
        <f>"3:11:51.200179"</f>
        <v>3:11:51.200179</v>
      </c>
      <c r="C125">
        <v>-62</v>
      </c>
    </row>
    <row r="126" spans="1:3" x14ac:dyDescent="0.25">
      <c r="A126">
        <v>37</v>
      </c>
      <c r="B126" t="str">
        <f>"3:11:52.419203"</f>
        <v>3:11:52.419203</v>
      </c>
      <c r="C126">
        <v>-71</v>
      </c>
    </row>
    <row r="127" spans="1:3" x14ac:dyDescent="0.25">
      <c r="A127">
        <v>38</v>
      </c>
      <c r="B127" t="str">
        <f>"3:11:52.419900"</f>
        <v>3:11:52.419900</v>
      </c>
      <c r="C127">
        <v>-63</v>
      </c>
    </row>
    <row r="128" spans="1:3" x14ac:dyDescent="0.25">
      <c r="A128">
        <v>39</v>
      </c>
      <c r="B128" t="str">
        <f>"3:11:52.420597"</f>
        <v>3:11:52.420597</v>
      </c>
      <c r="C128">
        <v>-62</v>
      </c>
    </row>
    <row r="129" spans="1:3" x14ac:dyDescent="0.25">
      <c r="A129">
        <v>37</v>
      </c>
      <c r="B129" t="str">
        <f>"3:11:53.673998"</f>
        <v>3:11:53.673998</v>
      </c>
      <c r="C129">
        <v>-71</v>
      </c>
    </row>
    <row r="130" spans="1:3" x14ac:dyDescent="0.25">
      <c r="A130">
        <v>38</v>
      </c>
      <c r="B130" t="str">
        <f>"3:11:53.674695"</f>
        <v>3:11:53.674695</v>
      </c>
      <c r="C130">
        <v>-63</v>
      </c>
    </row>
    <row r="131" spans="1:3" x14ac:dyDescent="0.25">
      <c r="A131">
        <v>39</v>
      </c>
      <c r="B131" t="str">
        <f>"3:11:53.675392"</f>
        <v>3:11:53.675392</v>
      </c>
      <c r="C131">
        <v>-62</v>
      </c>
    </row>
    <row r="132" spans="1:3" x14ac:dyDescent="0.25">
      <c r="A132">
        <v>37</v>
      </c>
      <c r="B132" t="str">
        <f>"3:11:56.152758"</f>
        <v>3:11:56.152758</v>
      </c>
      <c r="C132">
        <v>-71</v>
      </c>
    </row>
    <row r="133" spans="1:3" x14ac:dyDescent="0.25">
      <c r="A133">
        <v>38</v>
      </c>
      <c r="B133" t="str">
        <f>"3:11:56.153455"</f>
        <v>3:11:56.153455</v>
      </c>
      <c r="C133">
        <v>-63</v>
      </c>
    </row>
    <row r="134" spans="1:3" x14ac:dyDescent="0.25">
      <c r="A134">
        <v>39</v>
      </c>
      <c r="B134" t="str">
        <f>"3:11:56.154152"</f>
        <v>3:11:56.154152</v>
      </c>
      <c r="C134">
        <v>-62</v>
      </c>
    </row>
    <row r="135" spans="1:3" x14ac:dyDescent="0.25">
      <c r="A135">
        <v>37</v>
      </c>
      <c r="B135" t="str">
        <f>"3:11:57.406459"</f>
        <v>3:11:57.406459</v>
      </c>
      <c r="C135">
        <v>-71</v>
      </c>
    </row>
    <row r="136" spans="1:3" x14ac:dyDescent="0.25">
      <c r="A136">
        <v>38</v>
      </c>
      <c r="B136" t="str">
        <f>"3:11:57.407156"</f>
        <v>3:11:57.407156</v>
      </c>
      <c r="C136">
        <v>-63</v>
      </c>
    </row>
    <row r="137" spans="1:3" x14ac:dyDescent="0.25">
      <c r="A137">
        <v>39</v>
      </c>
      <c r="B137" t="str">
        <f>"3:11:57.407853"</f>
        <v>3:11:57.407853</v>
      </c>
      <c r="C137">
        <v>-62</v>
      </c>
    </row>
    <row r="138" spans="1:3" x14ac:dyDescent="0.25">
      <c r="A138">
        <v>37</v>
      </c>
      <c r="B138" t="str">
        <f>"3:11:58.645739"</f>
        <v>3:11:58.645739</v>
      </c>
      <c r="C138">
        <v>-71</v>
      </c>
    </row>
    <row r="139" spans="1:3" x14ac:dyDescent="0.25">
      <c r="A139">
        <v>38</v>
      </c>
      <c r="B139" t="str">
        <f>"3:11:58.646436"</f>
        <v>3:11:58.646436</v>
      </c>
      <c r="C139">
        <v>-63</v>
      </c>
    </row>
    <row r="140" spans="1:3" x14ac:dyDescent="0.25">
      <c r="A140">
        <v>39</v>
      </c>
      <c r="B140" t="str">
        <f>"3:11:58.647133"</f>
        <v>3:11:58.647133</v>
      </c>
      <c r="C140">
        <v>-62</v>
      </c>
    </row>
    <row r="141" spans="1:3" x14ac:dyDescent="0.25">
      <c r="A141">
        <v>37</v>
      </c>
      <c r="B141" t="str">
        <f>"3:11:59.896672"</f>
        <v>3:11:59.896672</v>
      </c>
      <c r="C141">
        <v>-71</v>
      </c>
    </row>
    <row r="142" spans="1:3" x14ac:dyDescent="0.25">
      <c r="A142">
        <v>38</v>
      </c>
      <c r="B142" t="str">
        <f>"3:11:59.897369"</f>
        <v>3:11:59.897369</v>
      </c>
      <c r="C142">
        <v>-63</v>
      </c>
    </row>
    <row r="143" spans="1:3" x14ac:dyDescent="0.25">
      <c r="A143">
        <v>39</v>
      </c>
      <c r="B143" t="str">
        <f>"3:11:59.898066"</f>
        <v>3:11:59.898066</v>
      </c>
      <c r="C143">
        <v>-62</v>
      </c>
    </row>
    <row r="144" spans="1:3" x14ac:dyDescent="0.25">
      <c r="A144">
        <v>37</v>
      </c>
      <c r="B144" t="str">
        <f>"3:12:01.146420"</f>
        <v>3:12:01.146420</v>
      </c>
      <c r="C144">
        <v>-71</v>
      </c>
    </row>
    <row r="145" spans="1:3" x14ac:dyDescent="0.25">
      <c r="A145">
        <v>38</v>
      </c>
      <c r="B145" t="str">
        <f>"3:12:01.147117"</f>
        <v>3:12:01.147117</v>
      </c>
      <c r="C145">
        <v>-63</v>
      </c>
    </row>
    <row r="146" spans="1:3" x14ac:dyDescent="0.25">
      <c r="A146">
        <v>39</v>
      </c>
      <c r="B146" t="str">
        <f>"3:12:01.147814"</f>
        <v>3:12:01.147814</v>
      </c>
      <c r="C146">
        <v>-62</v>
      </c>
    </row>
    <row r="147" spans="1:3" x14ac:dyDescent="0.25">
      <c r="A147">
        <v>38</v>
      </c>
      <c r="B147" t="str">
        <f>"3:12:02.398858"</f>
        <v>3:12:02.398858</v>
      </c>
      <c r="C147">
        <v>-63</v>
      </c>
    </row>
    <row r="148" spans="1:3" x14ac:dyDescent="0.25">
      <c r="A148">
        <v>39</v>
      </c>
      <c r="B148" t="str">
        <f>"3:12:02.399555"</f>
        <v>3:12:02.399555</v>
      </c>
      <c r="C148">
        <v>-62</v>
      </c>
    </row>
    <row r="149" spans="1:3" x14ac:dyDescent="0.25">
      <c r="A149">
        <v>37</v>
      </c>
      <c r="B149" t="str">
        <f>"3:12:03.631281"</f>
        <v>3:12:03.631281</v>
      </c>
      <c r="C149">
        <v>-70</v>
      </c>
    </row>
    <row r="150" spans="1:3" x14ac:dyDescent="0.25">
      <c r="A150">
        <v>38</v>
      </c>
      <c r="B150" t="str">
        <f>"3:12:03.631978"</f>
        <v>3:12:03.631978</v>
      </c>
      <c r="C150">
        <v>-63</v>
      </c>
    </row>
    <row r="151" spans="1:3" x14ac:dyDescent="0.25">
      <c r="A151">
        <v>39</v>
      </c>
      <c r="B151" t="str">
        <f>"3:12:03.632675"</f>
        <v>3:12:03.632675</v>
      </c>
      <c r="C151">
        <v>-62</v>
      </c>
    </row>
    <row r="152" spans="1:3" x14ac:dyDescent="0.25">
      <c r="A152">
        <v>37</v>
      </c>
      <c r="B152" t="str">
        <f>"3:12:04.868121"</f>
        <v>3:12:04.868121</v>
      </c>
      <c r="C152">
        <v>-71</v>
      </c>
    </row>
    <row r="153" spans="1:3" x14ac:dyDescent="0.25">
      <c r="A153">
        <v>38</v>
      </c>
      <c r="B153" t="str">
        <f>"3:12:04.868818"</f>
        <v>3:12:04.868818</v>
      </c>
      <c r="C153">
        <v>-63</v>
      </c>
    </row>
    <row r="154" spans="1:3" x14ac:dyDescent="0.25">
      <c r="A154">
        <v>39</v>
      </c>
      <c r="B154" t="str">
        <f>"3:12:04.869515"</f>
        <v>3:12:04.869515</v>
      </c>
      <c r="C154">
        <v>-62</v>
      </c>
    </row>
    <row r="155" spans="1:3" x14ac:dyDescent="0.25">
      <c r="A155">
        <v>37</v>
      </c>
      <c r="B155" t="str">
        <f>"3:12:06.131961"</f>
        <v>3:12:06.131961</v>
      </c>
      <c r="C155">
        <v>-70</v>
      </c>
    </row>
    <row r="156" spans="1:3" x14ac:dyDescent="0.25">
      <c r="A156">
        <v>38</v>
      </c>
      <c r="B156" t="str">
        <f>"3:12:06.132657"</f>
        <v>3:12:06.132657</v>
      </c>
      <c r="C156">
        <v>-63</v>
      </c>
    </row>
    <row r="157" spans="1:3" x14ac:dyDescent="0.25">
      <c r="A157">
        <v>39</v>
      </c>
      <c r="B157" t="str">
        <f>"3:12:06.133355"</f>
        <v>3:12:06.133355</v>
      </c>
      <c r="C157">
        <v>-62</v>
      </c>
    </row>
    <row r="158" spans="1:3" x14ac:dyDescent="0.25">
      <c r="A158">
        <v>37</v>
      </c>
      <c r="B158" t="str">
        <f>"3:12:07.368308"</f>
        <v>3:12:07.368308</v>
      </c>
      <c r="C158">
        <v>-71</v>
      </c>
    </row>
    <row r="159" spans="1:3" x14ac:dyDescent="0.25">
      <c r="A159">
        <v>38</v>
      </c>
      <c r="B159" t="str">
        <f>"3:12:07.369005"</f>
        <v>3:12:07.369005</v>
      </c>
      <c r="C159">
        <v>-63</v>
      </c>
    </row>
    <row r="160" spans="1:3" x14ac:dyDescent="0.25">
      <c r="A160">
        <v>39</v>
      </c>
      <c r="B160" t="str">
        <f>"3:12:07.369702"</f>
        <v>3:12:07.369702</v>
      </c>
      <c r="C160">
        <v>-62</v>
      </c>
    </row>
    <row r="161" spans="1:3" x14ac:dyDescent="0.25">
      <c r="A161">
        <v>37</v>
      </c>
      <c r="B161" t="str">
        <f>"3:12:08.609937"</f>
        <v>3:12:08.609937</v>
      </c>
      <c r="C161">
        <v>-71</v>
      </c>
    </row>
    <row r="162" spans="1:3" x14ac:dyDescent="0.25">
      <c r="A162">
        <v>38</v>
      </c>
      <c r="B162" t="str">
        <f>"3:12:08.610634"</f>
        <v>3:12:08.610634</v>
      </c>
      <c r="C162">
        <v>-63</v>
      </c>
    </row>
    <row r="163" spans="1:3" x14ac:dyDescent="0.25">
      <c r="A163">
        <v>39</v>
      </c>
      <c r="B163" t="str">
        <f>"3:12:08.611331"</f>
        <v>3:12:08.611331</v>
      </c>
      <c r="C163">
        <v>-62</v>
      </c>
    </row>
    <row r="164" spans="1:3" x14ac:dyDescent="0.25">
      <c r="A164">
        <v>37</v>
      </c>
      <c r="B164" t="str">
        <f>"3:12:09.857906"</f>
        <v>3:12:09.857906</v>
      </c>
      <c r="C164">
        <v>-71</v>
      </c>
    </row>
    <row r="165" spans="1:3" x14ac:dyDescent="0.25">
      <c r="A165">
        <v>38</v>
      </c>
      <c r="B165" t="str">
        <f>"3:12:09.858603"</f>
        <v>3:12:09.858603</v>
      </c>
      <c r="C165">
        <v>-63</v>
      </c>
    </row>
    <row r="166" spans="1:3" x14ac:dyDescent="0.25">
      <c r="A166">
        <v>39</v>
      </c>
      <c r="B166" t="str">
        <f>"3:12:09.859300"</f>
        <v>3:12:09.859300</v>
      </c>
      <c r="C166">
        <v>-62</v>
      </c>
    </row>
    <row r="167" spans="1:3" x14ac:dyDescent="0.25">
      <c r="A167">
        <v>37</v>
      </c>
      <c r="B167" t="str">
        <f>"3:12:11.090345"</f>
        <v>3:12:11.090345</v>
      </c>
      <c r="C167">
        <v>-71</v>
      </c>
    </row>
    <row r="168" spans="1:3" x14ac:dyDescent="0.25">
      <c r="A168">
        <v>38</v>
      </c>
      <c r="B168" t="str">
        <f>"3:12:11.091042"</f>
        <v>3:12:11.091042</v>
      </c>
      <c r="C168">
        <v>-63</v>
      </c>
    </row>
    <row r="169" spans="1:3" x14ac:dyDescent="0.25">
      <c r="A169">
        <v>39</v>
      </c>
      <c r="B169" t="str">
        <f>"3:12:11.091739"</f>
        <v>3:12:11.091739</v>
      </c>
      <c r="C169">
        <v>-62</v>
      </c>
    </row>
    <row r="170" spans="1:3" x14ac:dyDescent="0.25">
      <c r="A170">
        <v>37</v>
      </c>
      <c r="B170" t="str">
        <f>"3:12:12.338726"</f>
        <v>3:12:12.338726</v>
      </c>
      <c r="C170">
        <v>-71</v>
      </c>
    </row>
    <row r="171" spans="1:3" x14ac:dyDescent="0.25">
      <c r="A171">
        <v>38</v>
      </c>
      <c r="B171" t="str">
        <f>"3:12:12.339423"</f>
        <v>3:12:12.339423</v>
      </c>
      <c r="C171">
        <v>-63</v>
      </c>
    </row>
    <row r="172" spans="1:3" x14ac:dyDescent="0.25">
      <c r="A172">
        <v>39</v>
      </c>
      <c r="B172" t="str">
        <f>"3:12:12.340120"</f>
        <v>3:12:12.340120</v>
      </c>
      <c r="C172">
        <v>-62</v>
      </c>
    </row>
    <row r="173" spans="1:3" x14ac:dyDescent="0.25">
      <c r="A173">
        <v>37</v>
      </c>
      <c r="B173" t="str">
        <f>"3:12:13.603372"</f>
        <v>3:12:13.603372</v>
      </c>
      <c r="C173">
        <v>-71</v>
      </c>
    </row>
    <row r="174" spans="1:3" x14ac:dyDescent="0.25">
      <c r="A174">
        <v>38</v>
      </c>
      <c r="B174" t="str">
        <f>"3:12:13.604069"</f>
        <v>3:12:13.604069</v>
      </c>
      <c r="C174">
        <v>-63</v>
      </c>
    </row>
    <row r="175" spans="1:3" x14ac:dyDescent="0.25">
      <c r="A175">
        <v>39</v>
      </c>
      <c r="B175" t="str">
        <f>"3:12:13.604766"</f>
        <v>3:12:13.604766</v>
      </c>
      <c r="C175">
        <v>-62</v>
      </c>
    </row>
    <row r="176" spans="1:3" x14ac:dyDescent="0.25">
      <c r="A176">
        <v>37</v>
      </c>
      <c r="B176" t="str">
        <f>"3:12:14.826578"</f>
        <v>3:12:14.826578</v>
      </c>
      <c r="C176">
        <v>-71</v>
      </c>
    </row>
    <row r="177" spans="1:3" x14ac:dyDescent="0.25">
      <c r="A177">
        <v>39</v>
      </c>
      <c r="B177" t="str">
        <f>"3:12:14.827972"</f>
        <v>3:12:14.827972</v>
      </c>
      <c r="C177">
        <v>-62</v>
      </c>
    </row>
    <row r="178" spans="1:3" x14ac:dyDescent="0.25">
      <c r="A178">
        <v>37</v>
      </c>
      <c r="B178" t="str">
        <f>"3:12:17.359291"</f>
        <v>3:12:17.359291</v>
      </c>
      <c r="C178">
        <v>-71</v>
      </c>
    </row>
    <row r="179" spans="1:3" x14ac:dyDescent="0.25">
      <c r="A179">
        <v>38</v>
      </c>
      <c r="B179" t="str">
        <f>"3:12:17.359988"</f>
        <v>3:12:17.359988</v>
      </c>
      <c r="C179">
        <v>-63</v>
      </c>
    </row>
    <row r="180" spans="1:3" x14ac:dyDescent="0.25">
      <c r="A180">
        <v>37</v>
      </c>
      <c r="B180" t="str">
        <f>"3:12:18.573212"</f>
        <v>3:12:18.573212</v>
      </c>
      <c r="C180">
        <v>-71</v>
      </c>
    </row>
    <row r="181" spans="1:3" x14ac:dyDescent="0.25">
      <c r="A181">
        <v>38</v>
      </c>
      <c r="B181" t="str">
        <f>"3:12:18.573909"</f>
        <v>3:12:18.573909</v>
      </c>
      <c r="C181">
        <v>-63</v>
      </c>
    </row>
    <row r="182" spans="1:3" x14ac:dyDescent="0.25">
      <c r="A182">
        <v>39</v>
      </c>
      <c r="B182" t="str">
        <f>"3:12:18.574606"</f>
        <v>3:12:18.574606</v>
      </c>
      <c r="C182">
        <v>-62</v>
      </c>
    </row>
    <row r="183" spans="1:3" x14ac:dyDescent="0.25">
      <c r="A183">
        <v>37</v>
      </c>
      <c r="B183" t="str">
        <f>"3:12:19.812566"</f>
        <v>3:12:19.812566</v>
      </c>
      <c r="C183">
        <v>-71</v>
      </c>
    </row>
    <row r="184" spans="1:3" x14ac:dyDescent="0.25">
      <c r="A184">
        <v>38</v>
      </c>
      <c r="B184" t="str">
        <f>"3:12:19.813263"</f>
        <v>3:12:19.813263</v>
      </c>
      <c r="C184">
        <v>-63</v>
      </c>
    </row>
    <row r="185" spans="1:3" x14ac:dyDescent="0.25">
      <c r="A185">
        <v>39</v>
      </c>
      <c r="B185" t="str">
        <f>"3:12:19.813960"</f>
        <v>3:12:19.813960</v>
      </c>
      <c r="C185">
        <v>-62</v>
      </c>
    </row>
    <row r="186" spans="1:3" x14ac:dyDescent="0.25">
      <c r="A186">
        <v>37</v>
      </c>
      <c r="B186" t="str">
        <f>"3:12:21.082526"</f>
        <v>3:12:21.082526</v>
      </c>
      <c r="C186">
        <v>-71</v>
      </c>
    </row>
    <row r="187" spans="1:3" x14ac:dyDescent="0.25">
      <c r="A187">
        <v>38</v>
      </c>
      <c r="B187" t="str">
        <f>"3:12:21.083223"</f>
        <v>3:12:21.083223</v>
      </c>
      <c r="C187">
        <v>-63</v>
      </c>
    </row>
    <row r="188" spans="1:3" x14ac:dyDescent="0.25">
      <c r="A188">
        <v>39</v>
      </c>
      <c r="B188" t="str">
        <f>"3:12:21.083920"</f>
        <v>3:12:21.083920</v>
      </c>
      <c r="C188">
        <v>-62</v>
      </c>
    </row>
    <row r="189" spans="1:3" x14ac:dyDescent="0.25">
      <c r="A189">
        <v>37</v>
      </c>
      <c r="B189" t="str">
        <f>"3:12:22.296954"</f>
        <v>3:12:22.296954</v>
      </c>
      <c r="C189">
        <v>-70</v>
      </c>
    </row>
    <row r="190" spans="1:3" x14ac:dyDescent="0.25">
      <c r="A190">
        <v>38</v>
      </c>
      <c r="B190" t="str">
        <f>"3:12:22.297651"</f>
        <v>3:12:22.297651</v>
      </c>
      <c r="C190">
        <v>-63</v>
      </c>
    </row>
    <row r="191" spans="1:3" x14ac:dyDescent="0.25">
      <c r="A191">
        <v>39</v>
      </c>
      <c r="B191" t="str">
        <f>"3:12:22.298348"</f>
        <v>3:12:22.298348</v>
      </c>
      <c r="C191">
        <v>-62</v>
      </c>
    </row>
    <row r="192" spans="1:3" x14ac:dyDescent="0.25">
      <c r="A192">
        <v>39</v>
      </c>
      <c r="B192" t="str">
        <f>"3:12:23.556681"</f>
        <v>3:12:23.556681</v>
      </c>
      <c r="C192">
        <v>-62</v>
      </c>
    </row>
    <row r="193" spans="1:3" x14ac:dyDescent="0.25">
      <c r="A193">
        <v>37</v>
      </c>
      <c r="B193" t="str">
        <f>"3:12:24.784025"</f>
        <v>3:12:24.784025</v>
      </c>
      <c r="C193">
        <v>-71</v>
      </c>
    </row>
    <row r="194" spans="1:3" x14ac:dyDescent="0.25">
      <c r="A194">
        <v>38</v>
      </c>
      <c r="B194" t="str">
        <f>"3:12:24.784722"</f>
        <v>3:12:24.784722</v>
      </c>
      <c r="C194">
        <v>-63</v>
      </c>
    </row>
    <row r="195" spans="1:3" x14ac:dyDescent="0.25">
      <c r="A195">
        <v>39</v>
      </c>
      <c r="B195" t="str">
        <f>"3:12:24.785419"</f>
        <v>3:12:24.785419</v>
      </c>
      <c r="C195">
        <v>-62</v>
      </c>
    </row>
    <row r="196" spans="1:3" x14ac:dyDescent="0.25">
      <c r="A196">
        <v>37</v>
      </c>
      <c r="B196" t="str">
        <f>"3:12:26.058168"</f>
        <v>3:12:26.058168</v>
      </c>
      <c r="C196">
        <v>-71</v>
      </c>
    </row>
    <row r="197" spans="1:3" x14ac:dyDescent="0.25">
      <c r="A197">
        <v>39</v>
      </c>
      <c r="B197" t="str">
        <f>"3:12:26.059562"</f>
        <v>3:12:26.059562</v>
      </c>
      <c r="C197">
        <v>-62</v>
      </c>
    </row>
    <row r="198" spans="1:3" x14ac:dyDescent="0.25">
      <c r="A198">
        <v>37</v>
      </c>
      <c r="B198" t="str">
        <f>"3:12:27.285514"</f>
        <v>3:12:27.285514</v>
      </c>
      <c r="C198">
        <v>-71</v>
      </c>
    </row>
    <row r="199" spans="1:3" x14ac:dyDescent="0.25">
      <c r="A199">
        <v>38</v>
      </c>
      <c r="B199" t="str">
        <f>"3:12:27.286211"</f>
        <v>3:12:27.286211</v>
      </c>
      <c r="C199">
        <v>-63</v>
      </c>
    </row>
    <row r="200" spans="1:3" x14ac:dyDescent="0.25">
      <c r="A200">
        <v>39</v>
      </c>
      <c r="B200" t="str">
        <f>"3:12:27.286908"</f>
        <v>3:12:27.286908</v>
      </c>
      <c r="C200">
        <v>-62</v>
      </c>
    </row>
    <row r="201" spans="1:3" x14ac:dyDescent="0.25">
      <c r="A201">
        <v>37</v>
      </c>
      <c r="B201" t="str">
        <f>"3:12:28.521292"</f>
        <v>3:12:28.521292</v>
      </c>
      <c r="C201">
        <v>-71</v>
      </c>
    </row>
    <row r="202" spans="1:3" x14ac:dyDescent="0.25">
      <c r="A202">
        <v>38</v>
      </c>
      <c r="B202" t="str">
        <f>"3:12:28.521989"</f>
        <v>3:12:28.521989</v>
      </c>
      <c r="C202">
        <v>-63</v>
      </c>
    </row>
    <row r="203" spans="1:3" x14ac:dyDescent="0.25">
      <c r="A203">
        <v>39</v>
      </c>
      <c r="B203" t="str">
        <f>"3:12:28.522686"</f>
        <v>3:12:28.522686</v>
      </c>
      <c r="C203">
        <v>-62</v>
      </c>
    </row>
    <row r="204" spans="1:3" x14ac:dyDescent="0.25">
      <c r="A204">
        <v>37</v>
      </c>
      <c r="B204" t="str">
        <f>"3:12:29.761971"</f>
        <v>3:12:29.761971</v>
      </c>
      <c r="C204">
        <v>-71</v>
      </c>
    </row>
    <row r="205" spans="1:3" x14ac:dyDescent="0.25">
      <c r="A205">
        <v>38</v>
      </c>
      <c r="B205" t="str">
        <f>"3:12:29.762668"</f>
        <v>3:12:29.762668</v>
      </c>
      <c r="C205">
        <v>-63</v>
      </c>
    </row>
    <row r="206" spans="1:3" x14ac:dyDescent="0.25">
      <c r="A206">
        <v>39</v>
      </c>
      <c r="B206" t="str">
        <f>"3:12:29.763365"</f>
        <v>3:12:29.763365</v>
      </c>
      <c r="C206">
        <v>-62</v>
      </c>
    </row>
    <row r="207" spans="1:3" x14ac:dyDescent="0.25">
      <c r="A207">
        <v>37</v>
      </c>
      <c r="B207" t="str">
        <f>"3:12:31.041035"</f>
        <v>3:12:31.041035</v>
      </c>
      <c r="C207">
        <v>-71</v>
      </c>
    </row>
    <row r="208" spans="1:3" x14ac:dyDescent="0.25">
      <c r="A208">
        <v>38</v>
      </c>
      <c r="B208" t="str">
        <f>"3:12:31.041732"</f>
        <v>3:12:31.041732</v>
      </c>
      <c r="C208">
        <v>-63</v>
      </c>
    </row>
    <row r="209" spans="1:3" x14ac:dyDescent="0.25">
      <c r="A209">
        <v>39</v>
      </c>
      <c r="B209" t="str">
        <f>"3:12:31.042429"</f>
        <v>3:12:31.042429</v>
      </c>
      <c r="C209">
        <v>-61</v>
      </c>
    </row>
    <row r="210" spans="1:3" x14ac:dyDescent="0.25">
      <c r="A210">
        <v>37</v>
      </c>
      <c r="B210" t="str">
        <f>"3:12:32.259352"</f>
        <v>3:12:32.259352</v>
      </c>
      <c r="C210">
        <v>-71</v>
      </c>
    </row>
    <row r="211" spans="1:3" x14ac:dyDescent="0.25">
      <c r="A211">
        <v>38</v>
      </c>
      <c r="B211" t="str">
        <f>"3:12:32.260049"</f>
        <v>3:12:32.260049</v>
      </c>
      <c r="C211">
        <v>-63</v>
      </c>
    </row>
    <row r="212" spans="1:3" x14ac:dyDescent="0.25">
      <c r="A212">
        <v>39</v>
      </c>
      <c r="B212" t="str">
        <f>"3:12:32.260746"</f>
        <v>3:12:32.260746</v>
      </c>
      <c r="C212">
        <v>-62</v>
      </c>
    </row>
    <row r="213" spans="1:3" x14ac:dyDescent="0.25">
      <c r="A213">
        <v>37</v>
      </c>
      <c r="B213" t="str">
        <f>"3:12:33.507820"</f>
        <v>3:12:33.507820</v>
      </c>
      <c r="C213">
        <v>-71</v>
      </c>
    </row>
    <row r="214" spans="1:3" x14ac:dyDescent="0.25">
      <c r="A214">
        <v>38</v>
      </c>
      <c r="B214" t="str">
        <f>"3:12:33.508517"</f>
        <v>3:12:33.508517</v>
      </c>
      <c r="C214">
        <v>-63</v>
      </c>
    </row>
    <row r="215" spans="1:3" x14ac:dyDescent="0.25">
      <c r="A215">
        <v>39</v>
      </c>
      <c r="B215" t="str">
        <f>"3:12:33.509214"</f>
        <v>3:12:33.509214</v>
      </c>
      <c r="C215">
        <v>-62</v>
      </c>
    </row>
    <row r="216" spans="1:3" x14ac:dyDescent="0.25">
      <c r="A216">
        <v>37</v>
      </c>
      <c r="B216" t="str">
        <f>"3:12:34.753284"</f>
        <v>3:12:34.753284</v>
      </c>
      <c r="C216">
        <v>-71</v>
      </c>
    </row>
    <row r="217" spans="1:3" x14ac:dyDescent="0.25">
      <c r="A217">
        <v>38</v>
      </c>
      <c r="B217" t="str">
        <f>"3:12:34.753981"</f>
        <v>3:12:34.753981</v>
      </c>
      <c r="C217">
        <v>-63</v>
      </c>
    </row>
    <row r="218" spans="1:3" x14ac:dyDescent="0.25">
      <c r="A218">
        <v>39</v>
      </c>
      <c r="B218" t="str">
        <f>"3:12:34.754678"</f>
        <v>3:12:34.754678</v>
      </c>
      <c r="C218">
        <v>-61</v>
      </c>
    </row>
    <row r="219" spans="1:3" x14ac:dyDescent="0.25">
      <c r="A219">
        <v>37</v>
      </c>
      <c r="B219" t="str">
        <f>"3:12:35.986313"</f>
        <v>3:12:35.986313</v>
      </c>
      <c r="C219">
        <v>-71</v>
      </c>
    </row>
    <row r="220" spans="1:3" x14ac:dyDescent="0.25">
      <c r="A220">
        <v>38</v>
      </c>
      <c r="B220" t="str">
        <f>"3:12:35.987010"</f>
        <v>3:12:35.987010</v>
      </c>
      <c r="C220">
        <v>-63</v>
      </c>
    </row>
    <row r="221" spans="1:3" x14ac:dyDescent="0.25">
      <c r="A221">
        <v>39</v>
      </c>
      <c r="B221" t="str">
        <f>"3:12:35.987707"</f>
        <v>3:12:35.987707</v>
      </c>
      <c r="C221">
        <v>-62</v>
      </c>
    </row>
    <row r="222" spans="1:3" x14ac:dyDescent="0.25">
      <c r="A222">
        <v>37</v>
      </c>
      <c r="B222" t="str">
        <f>"3:12:37.250948"</f>
        <v>3:12:37.250948</v>
      </c>
      <c r="C222">
        <v>-71</v>
      </c>
    </row>
    <row r="223" spans="1:3" x14ac:dyDescent="0.25">
      <c r="A223">
        <v>38</v>
      </c>
      <c r="B223" t="str">
        <f>"3:12:37.251645"</f>
        <v>3:12:37.251645</v>
      </c>
      <c r="C223">
        <v>-63</v>
      </c>
    </row>
    <row r="224" spans="1:3" x14ac:dyDescent="0.25">
      <c r="A224">
        <v>39</v>
      </c>
      <c r="B224" t="str">
        <f>"3:12:37.252342"</f>
        <v>3:12:37.252342</v>
      </c>
      <c r="C224">
        <v>-62</v>
      </c>
    </row>
    <row r="225" spans="1:3" x14ac:dyDescent="0.25">
      <c r="A225">
        <v>37</v>
      </c>
      <c r="B225" t="str">
        <f>"3:12:38.512407"</f>
        <v>3:12:38.512407</v>
      </c>
      <c r="C225">
        <v>-71</v>
      </c>
    </row>
    <row r="226" spans="1:3" x14ac:dyDescent="0.25">
      <c r="A226">
        <v>38</v>
      </c>
      <c r="B226" t="str">
        <f>"3:12:38.513104"</f>
        <v>3:12:38.513104</v>
      </c>
      <c r="C226">
        <v>-63</v>
      </c>
    </row>
    <row r="227" spans="1:3" x14ac:dyDescent="0.25">
      <c r="A227">
        <v>39</v>
      </c>
      <c r="B227" t="str">
        <f>"3:12:38.513801"</f>
        <v>3:12:38.513801</v>
      </c>
      <c r="C227">
        <v>-61</v>
      </c>
    </row>
    <row r="228" spans="1:3" x14ac:dyDescent="0.25">
      <c r="A228">
        <v>37</v>
      </c>
      <c r="B228" t="str">
        <f>"3:12:39.732752"</f>
        <v>3:12:39.732752</v>
      </c>
      <c r="C228">
        <v>-71</v>
      </c>
    </row>
    <row r="229" spans="1:3" x14ac:dyDescent="0.25">
      <c r="A229">
        <v>38</v>
      </c>
      <c r="B229" t="str">
        <f>"3:12:39.733449"</f>
        <v>3:12:39.733449</v>
      </c>
      <c r="C229">
        <v>-63</v>
      </c>
    </row>
    <row r="230" spans="1:3" x14ac:dyDescent="0.25">
      <c r="A230">
        <v>39</v>
      </c>
      <c r="B230" t="str">
        <f>"3:12:39.734146"</f>
        <v>3:12:39.734146</v>
      </c>
      <c r="C230">
        <v>-61</v>
      </c>
    </row>
    <row r="231" spans="1:3" x14ac:dyDescent="0.25">
      <c r="A231">
        <v>37</v>
      </c>
      <c r="B231" t="str">
        <f>"3:12:40.977440"</f>
        <v>3:12:40.977440</v>
      </c>
      <c r="C231">
        <v>-71</v>
      </c>
    </row>
    <row r="232" spans="1:3" x14ac:dyDescent="0.25">
      <c r="A232">
        <v>38</v>
      </c>
      <c r="B232" t="str">
        <f>"3:12:40.978137"</f>
        <v>3:12:40.978137</v>
      </c>
      <c r="C232">
        <v>-62</v>
      </c>
    </row>
    <row r="233" spans="1:3" x14ac:dyDescent="0.25">
      <c r="A233">
        <v>39</v>
      </c>
      <c r="B233" t="str">
        <f>"3:12:40.978834"</f>
        <v>3:12:40.978834</v>
      </c>
      <c r="C233">
        <v>-61</v>
      </c>
    </row>
    <row r="234" spans="1:3" x14ac:dyDescent="0.25">
      <c r="A234">
        <v>37</v>
      </c>
      <c r="B234" t="str">
        <f>"3:12:42.262954"</f>
        <v>3:12:42.262954</v>
      </c>
      <c r="C234">
        <v>-71</v>
      </c>
    </row>
    <row r="235" spans="1:3" x14ac:dyDescent="0.25">
      <c r="A235">
        <v>38</v>
      </c>
      <c r="B235" t="str">
        <f>"3:12:42.263651"</f>
        <v>3:12:42.263651</v>
      </c>
      <c r="C235">
        <v>-63</v>
      </c>
    </row>
    <row r="236" spans="1:3" x14ac:dyDescent="0.25">
      <c r="A236">
        <v>39</v>
      </c>
      <c r="B236" t="str">
        <f>"3:12:42.264348"</f>
        <v>3:12:42.264348</v>
      </c>
      <c r="C236">
        <v>-62</v>
      </c>
    </row>
    <row r="237" spans="1:3" x14ac:dyDescent="0.25">
      <c r="A237">
        <v>37</v>
      </c>
      <c r="B237" t="str">
        <f>"3:12:43.503487"</f>
        <v>3:12:43.503487</v>
      </c>
      <c r="C237">
        <v>-71</v>
      </c>
    </row>
    <row r="238" spans="1:3" x14ac:dyDescent="0.25">
      <c r="A238">
        <v>38</v>
      </c>
      <c r="B238" t="str">
        <f>"3:12:43.504184"</f>
        <v>3:12:43.504184</v>
      </c>
      <c r="C238">
        <v>-63</v>
      </c>
    </row>
    <row r="239" spans="1:3" x14ac:dyDescent="0.25">
      <c r="A239">
        <v>39</v>
      </c>
      <c r="B239" t="str">
        <f>"3:12:43.504881"</f>
        <v>3:12:43.504881</v>
      </c>
      <c r="C239">
        <v>-61</v>
      </c>
    </row>
    <row r="240" spans="1:3" x14ac:dyDescent="0.25">
      <c r="A240">
        <v>37</v>
      </c>
      <c r="B240" t="str">
        <f>"3:12:44.718624"</f>
        <v>3:12:44.718624</v>
      </c>
      <c r="C240">
        <v>-71</v>
      </c>
    </row>
    <row r="241" spans="1:3" x14ac:dyDescent="0.25">
      <c r="A241">
        <v>38</v>
      </c>
      <c r="B241" t="str">
        <f>"3:12:44.719321"</f>
        <v>3:12:44.719321</v>
      </c>
      <c r="C241">
        <v>-63</v>
      </c>
    </row>
    <row r="242" spans="1:3" x14ac:dyDescent="0.25">
      <c r="A242">
        <v>39</v>
      </c>
      <c r="B242" t="str">
        <f>"3:12:44.720018"</f>
        <v>3:12:44.720018</v>
      </c>
      <c r="C242">
        <v>-62</v>
      </c>
    </row>
    <row r="243" spans="1:3" x14ac:dyDescent="0.25">
      <c r="A243">
        <v>37</v>
      </c>
      <c r="B243" t="str">
        <f>"3:12:45.979429"</f>
        <v>3:12:45.979429</v>
      </c>
      <c r="C243">
        <v>-71</v>
      </c>
    </row>
    <row r="244" spans="1:3" x14ac:dyDescent="0.25">
      <c r="A244">
        <v>38</v>
      </c>
      <c r="B244" t="str">
        <f>"3:12:45.980126"</f>
        <v>3:12:45.980126</v>
      </c>
      <c r="C244">
        <v>-63</v>
      </c>
    </row>
    <row r="245" spans="1:3" x14ac:dyDescent="0.25">
      <c r="A245">
        <v>39</v>
      </c>
      <c r="B245" t="str">
        <f>"3:12:45.980823"</f>
        <v>3:12:45.980823</v>
      </c>
      <c r="C245">
        <v>-61</v>
      </c>
    </row>
    <row r="246" spans="1:3" x14ac:dyDescent="0.25">
      <c r="A246">
        <v>37</v>
      </c>
      <c r="B246" t="str">
        <f>"3:12:47.190409"</f>
        <v>3:12:47.190409</v>
      </c>
      <c r="C246">
        <v>-71</v>
      </c>
    </row>
    <row r="247" spans="1:3" x14ac:dyDescent="0.25">
      <c r="A247">
        <v>38</v>
      </c>
      <c r="B247" t="str">
        <f>"3:12:47.191106"</f>
        <v>3:12:47.191106</v>
      </c>
      <c r="C247">
        <v>-63</v>
      </c>
    </row>
    <row r="248" spans="1:3" x14ac:dyDescent="0.25">
      <c r="A248">
        <v>39</v>
      </c>
      <c r="B248" t="str">
        <f>"3:12:47.191803"</f>
        <v>3:12:47.191803</v>
      </c>
      <c r="C248">
        <v>-61</v>
      </c>
    </row>
    <row r="249" spans="1:3" x14ac:dyDescent="0.25">
      <c r="A249">
        <v>37</v>
      </c>
      <c r="B249" t="str">
        <f>"3:12:48.441220"</f>
        <v>3:12:48.441220</v>
      </c>
      <c r="C249">
        <v>-71</v>
      </c>
    </row>
    <row r="250" spans="1:3" x14ac:dyDescent="0.25">
      <c r="A250">
        <v>38</v>
      </c>
      <c r="B250" t="str">
        <f>"3:12:48.441917"</f>
        <v>3:12:48.441917</v>
      </c>
      <c r="C250">
        <v>-63</v>
      </c>
    </row>
    <row r="251" spans="1:3" x14ac:dyDescent="0.25">
      <c r="A251">
        <v>39</v>
      </c>
      <c r="B251" t="str">
        <f>"3:12:48.442614"</f>
        <v>3:12:48.442614</v>
      </c>
      <c r="C251">
        <v>-62</v>
      </c>
    </row>
    <row r="252" spans="1:3" x14ac:dyDescent="0.25">
      <c r="A252">
        <v>37</v>
      </c>
      <c r="B252" t="str">
        <f>"3:12:49.687887"</f>
        <v>3:12:49.687887</v>
      </c>
      <c r="C252">
        <v>-71</v>
      </c>
    </row>
    <row r="253" spans="1:3" x14ac:dyDescent="0.25">
      <c r="A253">
        <v>38</v>
      </c>
      <c r="B253" t="str">
        <f>"3:12:49.688584"</f>
        <v>3:12:49.688584</v>
      </c>
      <c r="C253">
        <v>-63</v>
      </c>
    </row>
    <row r="254" spans="1:3" x14ac:dyDescent="0.25">
      <c r="A254">
        <v>39</v>
      </c>
      <c r="B254" t="str">
        <f>"3:12:49.689281"</f>
        <v>3:12:49.689281</v>
      </c>
      <c r="C254">
        <v>-62</v>
      </c>
    </row>
    <row r="255" spans="1:3" x14ac:dyDescent="0.25">
      <c r="A255">
        <v>37</v>
      </c>
      <c r="B255" t="str">
        <f>"3:12:50.932675"</f>
        <v>3:12:50.932675</v>
      </c>
      <c r="C255">
        <v>-71</v>
      </c>
    </row>
    <row r="256" spans="1:3" x14ac:dyDescent="0.25">
      <c r="A256">
        <v>38</v>
      </c>
      <c r="B256" t="str">
        <f>"3:12:50.933372"</f>
        <v>3:12:50.933372</v>
      </c>
      <c r="C256">
        <v>-63</v>
      </c>
    </row>
    <row r="257" spans="1:3" x14ac:dyDescent="0.25">
      <c r="A257">
        <v>39</v>
      </c>
      <c r="B257" t="str">
        <f>"3:12:50.934069"</f>
        <v>3:12:50.934069</v>
      </c>
      <c r="C257">
        <v>-62</v>
      </c>
    </row>
    <row r="258" spans="1:3" x14ac:dyDescent="0.25">
      <c r="A258">
        <v>37</v>
      </c>
      <c r="B258" t="str">
        <f>"3:12:52.168049"</f>
        <v>3:12:52.168049</v>
      </c>
      <c r="C258">
        <v>-71</v>
      </c>
    </row>
    <row r="259" spans="1:3" x14ac:dyDescent="0.25">
      <c r="A259">
        <v>38</v>
      </c>
      <c r="B259" t="str">
        <f>"3:12:52.168746"</f>
        <v>3:12:52.168746</v>
      </c>
      <c r="C259">
        <v>-63</v>
      </c>
    </row>
    <row r="260" spans="1:3" x14ac:dyDescent="0.25">
      <c r="A260">
        <v>39</v>
      </c>
      <c r="B260" t="str">
        <f>"3:12:52.169443"</f>
        <v>3:12:52.169443</v>
      </c>
      <c r="C260">
        <v>-61</v>
      </c>
    </row>
    <row r="261" spans="1:3" x14ac:dyDescent="0.25">
      <c r="A261">
        <v>37</v>
      </c>
      <c r="B261" t="str">
        <f>"3:12:53.446688"</f>
        <v>3:12:53.446688</v>
      </c>
      <c r="C261">
        <v>-71</v>
      </c>
    </row>
    <row r="262" spans="1:3" x14ac:dyDescent="0.25">
      <c r="A262">
        <v>38</v>
      </c>
      <c r="B262" t="str">
        <f>"3:12:53.447385"</f>
        <v>3:12:53.447385</v>
      </c>
      <c r="C262">
        <v>-63</v>
      </c>
    </row>
    <row r="263" spans="1:3" x14ac:dyDescent="0.25">
      <c r="A263">
        <v>39</v>
      </c>
      <c r="B263" t="str">
        <f>"3:12:53.448082"</f>
        <v>3:12:53.448082</v>
      </c>
      <c r="C263">
        <v>-61</v>
      </c>
    </row>
    <row r="264" spans="1:3" x14ac:dyDescent="0.25">
      <c r="A264">
        <v>37</v>
      </c>
      <c r="B264" t="str">
        <f>"3:12:54.652980"</f>
        <v>3:12:54.652980</v>
      </c>
      <c r="C264">
        <v>-71</v>
      </c>
    </row>
    <row r="265" spans="1:3" x14ac:dyDescent="0.25">
      <c r="A265">
        <v>38</v>
      </c>
      <c r="B265" t="str">
        <f>"3:12:54.653677"</f>
        <v>3:12:54.653677</v>
      </c>
      <c r="C265">
        <v>-63</v>
      </c>
    </row>
    <row r="266" spans="1:3" x14ac:dyDescent="0.25">
      <c r="A266">
        <v>39</v>
      </c>
      <c r="B266" t="str">
        <f>"3:12:54.654374"</f>
        <v>3:12:54.654374</v>
      </c>
      <c r="C266">
        <v>-61</v>
      </c>
    </row>
    <row r="267" spans="1:3" x14ac:dyDescent="0.25">
      <c r="A267">
        <v>38</v>
      </c>
      <c r="B267" t="str">
        <f>"3:12:55.925840"</f>
        <v>3:12:55.925840</v>
      </c>
      <c r="C267">
        <v>-63</v>
      </c>
    </row>
    <row r="268" spans="1:3" x14ac:dyDescent="0.25">
      <c r="A268">
        <v>39</v>
      </c>
      <c r="B268" t="str">
        <f>"3:12:55.926537"</f>
        <v>3:12:55.926537</v>
      </c>
      <c r="C268">
        <v>-61</v>
      </c>
    </row>
    <row r="269" spans="1:3" x14ac:dyDescent="0.25">
      <c r="A269">
        <v>37</v>
      </c>
      <c r="B269" t="str">
        <f>"3:12:57.168627"</f>
        <v>3:12:57.168627</v>
      </c>
      <c r="C269">
        <v>-71</v>
      </c>
    </row>
    <row r="270" spans="1:3" x14ac:dyDescent="0.25">
      <c r="A270">
        <v>38</v>
      </c>
      <c r="B270" t="str">
        <f>"3:12:57.169324"</f>
        <v>3:12:57.169324</v>
      </c>
      <c r="C270">
        <v>-63</v>
      </c>
    </row>
    <row r="271" spans="1:3" x14ac:dyDescent="0.25">
      <c r="A271">
        <v>39</v>
      </c>
      <c r="B271" t="str">
        <f>"3:12:57.170021"</f>
        <v>3:12:57.170021</v>
      </c>
      <c r="C271">
        <v>-62</v>
      </c>
    </row>
    <row r="272" spans="1:3" x14ac:dyDescent="0.25">
      <c r="A272">
        <v>37</v>
      </c>
      <c r="B272" t="str">
        <f>"3:12:58.411394"</f>
        <v>3:12:58.411394</v>
      </c>
      <c r="C272">
        <v>-70</v>
      </c>
    </row>
    <row r="273" spans="1:3" x14ac:dyDescent="0.25">
      <c r="A273">
        <v>38</v>
      </c>
      <c r="B273" t="str">
        <f>"3:12:58.412091"</f>
        <v>3:12:58.412091</v>
      </c>
      <c r="C273">
        <v>-63</v>
      </c>
    </row>
    <row r="274" spans="1:3" x14ac:dyDescent="0.25">
      <c r="A274">
        <v>39</v>
      </c>
      <c r="B274" t="str">
        <f>"3:12:58.412788"</f>
        <v>3:12:58.412788</v>
      </c>
      <c r="C274">
        <v>-61</v>
      </c>
    </row>
    <row r="275" spans="1:3" x14ac:dyDescent="0.25">
      <c r="A275">
        <v>38</v>
      </c>
      <c r="B275" t="str">
        <f>"3:13:00.914086"</f>
        <v>3:13:00.914086</v>
      </c>
      <c r="C275">
        <v>-63</v>
      </c>
    </row>
    <row r="276" spans="1:3" x14ac:dyDescent="0.25">
      <c r="A276">
        <v>39</v>
      </c>
      <c r="B276" t="str">
        <f>"3:13:00.914783"</f>
        <v>3:13:00.914783</v>
      </c>
      <c r="C276">
        <v>-62</v>
      </c>
    </row>
    <row r="277" spans="1:3" x14ac:dyDescent="0.25">
      <c r="A277">
        <v>37</v>
      </c>
      <c r="B277" t="str">
        <f>"3:13:02.137070"</f>
        <v>3:13:02.137070</v>
      </c>
      <c r="C277">
        <v>-71</v>
      </c>
    </row>
    <row r="278" spans="1:3" x14ac:dyDescent="0.25">
      <c r="A278">
        <v>38</v>
      </c>
      <c r="B278" t="str">
        <f>"3:13:02.137767"</f>
        <v>3:13:02.137767</v>
      </c>
      <c r="C278">
        <v>-63</v>
      </c>
    </row>
    <row r="279" spans="1:3" x14ac:dyDescent="0.25">
      <c r="A279">
        <v>39</v>
      </c>
      <c r="B279" t="str">
        <f>"3:13:02.138464"</f>
        <v>3:13:02.138464</v>
      </c>
      <c r="C279">
        <v>-62</v>
      </c>
    </row>
    <row r="280" spans="1:3" x14ac:dyDescent="0.25">
      <c r="A280">
        <v>37</v>
      </c>
      <c r="B280" t="str">
        <f>"3:13:03.378100"</f>
        <v>3:13:03.378100</v>
      </c>
      <c r="C280">
        <v>-69</v>
      </c>
    </row>
    <row r="281" spans="1:3" x14ac:dyDescent="0.25">
      <c r="A281">
        <v>38</v>
      </c>
      <c r="B281" t="str">
        <f>"3:13:03.378797"</f>
        <v>3:13:03.378797</v>
      </c>
      <c r="C281">
        <v>-63</v>
      </c>
    </row>
    <row r="282" spans="1:3" x14ac:dyDescent="0.25">
      <c r="A282">
        <v>39</v>
      </c>
      <c r="B282" t="str">
        <f>"3:13:03.379494"</f>
        <v>3:13:03.379494</v>
      </c>
      <c r="C282">
        <v>-61</v>
      </c>
    </row>
    <row r="283" spans="1:3" x14ac:dyDescent="0.25">
      <c r="A283">
        <v>37</v>
      </c>
      <c r="B283" t="str">
        <f>"3:13:04.650371"</f>
        <v>3:13:04.650371</v>
      </c>
      <c r="C283">
        <v>-71</v>
      </c>
    </row>
    <row r="284" spans="1:3" x14ac:dyDescent="0.25">
      <c r="A284">
        <v>38</v>
      </c>
      <c r="B284" t="str">
        <f>"3:13:04.651068"</f>
        <v>3:13:04.651068</v>
      </c>
      <c r="C284">
        <v>-63</v>
      </c>
    </row>
    <row r="285" spans="1:3" x14ac:dyDescent="0.25">
      <c r="A285">
        <v>39</v>
      </c>
      <c r="B285" t="str">
        <f>"3:13:04.651765"</f>
        <v>3:13:04.651765</v>
      </c>
      <c r="C285">
        <v>-61</v>
      </c>
    </row>
    <row r="286" spans="1:3" x14ac:dyDescent="0.25">
      <c r="A286">
        <v>39</v>
      </c>
      <c r="B286" t="str">
        <f>"3:13:05.870445"</f>
        <v>3:13:05.870445</v>
      </c>
      <c r="C286">
        <v>-62</v>
      </c>
    </row>
    <row r="287" spans="1:3" x14ac:dyDescent="0.25">
      <c r="A287">
        <v>37</v>
      </c>
      <c r="B287" t="str">
        <f>"3:13:07.098685"</f>
        <v>3:13:07.098685</v>
      </c>
      <c r="C287">
        <v>-69</v>
      </c>
    </row>
    <row r="288" spans="1:3" x14ac:dyDescent="0.25">
      <c r="A288">
        <v>38</v>
      </c>
      <c r="B288" t="str">
        <f>"3:13:07.099382"</f>
        <v>3:13:07.099382</v>
      </c>
      <c r="C288">
        <v>-63</v>
      </c>
    </row>
    <row r="289" spans="1:3" x14ac:dyDescent="0.25">
      <c r="A289">
        <v>39</v>
      </c>
      <c r="B289" t="str">
        <f>"3:13:07.100079"</f>
        <v>3:13:07.100079</v>
      </c>
      <c r="C289">
        <v>-62</v>
      </c>
    </row>
    <row r="290" spans="1:3" x14ac:dyDescent="0.25">
      <c r="A290">
        <v>37</v>
      </c>
      <c r="B290" t="str">
        <f>"3:13:08.364424"</f>
        <v>3:13:08.364424</v>
      </c>
      <c r="C290">
        <v>-71</v>
      </c>
    </row>
    <row r="291" spans="1:3" x14ac:dyDescent="0.25">
      <c r="A291">
        <v>38</v>
      </c>
      <c r="B291" t="str">
        <f>"3:13:08.365121"</f>
        <v>3:13:08.365121</v>
      </c>
      <c r="C291">
        <v>-63</v>
      </c>
    </row>
    <row r="292" spans="1:3" x14ac:dyDescent="0.25">
      <c r="A292">
        <v>39</v>
      </c>
      <c r="B292" t="str">
        <f>"3:13:08.365818"</f>
        <v>3:13:08.365818</v>
      </c>
      <c r="C292">
        <v>-62</v>
      </c>
    </row>
    <row r="293" spans="1:3" x14ac:dyDescent="0.25">
      <c r="A293">
        <v>37</v>
      </c>
      <c r="B293" t="str">
        <f>"3:13:09.593716"</f>
        <v>3:13:09.593716</v>
      </c>
      <c r="C293">
        <v>-70</v>
      </c>
    </row>
    <row r="294" spans="1:3" x14ac:dyDescent="0.25">
      <c r="A294">
        <v>37</v>
      </c>
      <c r="B294" t="str">
        <f>"3:13:10.833423"</f>
        <v>3:13:10.833423</v>
      </c>
      <c r="C294">
        <v>-70</v>
      </c>
    </row>
    <row r="295" spans="1:3" x14ac:dyDescent="0.25">
      <c r="A295">
        <v>38</v>
      </c>
      <c r="B295" t="str">
        <f>"3:13:10.834120"</f>
        <v>3:13:10.834120</v>
      </c>
      <c r="C295">
        <v>-63</v>
      </c>
    </row>
    <row r="296" spans="1:3" x14ac:dyDescent="0.25">
      <c r="A296">
        <v>39</v>
      </c>
      <c r="B296" t="str">
        <f>"3:13:10.834817"</f>
        <v>3:13:10.834817</v>
      </c>
      <c r="C296">
        <v>-61</v>
      </c>
    </row>
    <row r="297" spans="1:3" x14ac:dyDescent="0.25">
      <c r="A297">
        <v>37</v>
      </c>
      <c r="B297" t="str">
        <f>"3:13:12.082024"</f>
        <v>3:13:12.082024</v>
      </c>
      <c r="C297">
        <v>-71</v>
      </c>
    </row>
    <row r="298" spans="1:3" x14ac:dyDescent="0.25">
      <c r="A298">
        <v>38</v>
      </c>
      <c r="B298" t="str">
        <f>"3:13:12.082721"</f>
        <v>3:13:12.082721</v>
      </c>
      <c r="C298">
        <v>-63</v>
      </c>
    </row>
    <row r="299" spans="1:3" x14ac:dyDescent="0.25">
      <c r="A299">
        <v>39</v>
      </c>
      <c r="B299" t="str">
        <f>"3:13:12.083418"</f>
        <v>3:13:12.083418</v>
      </c>
      <c r="C299">
        <v>-62</v>
      </c>
    </row>
    <row r="300" spans="1:3" x14ac:dyDescent="0.25">
      <c r="A300">
        <v>38</v>
      </c>
      <c r="B300" t="str">
        <f>"3:13:13.371577"</f>
        <v>3:13:13.371577</v>
      </c>
      <c r="C300">
        <v>-63</v>
      </c>
    </row>
    <row r="301" spans="1:3" x14ac:dyDescent="0.25">
      <c r="A301">
        <v>39</v>
      </c>
      <c r="B301" t="str">
        <f>"3:13:13.372274"</f>
        <v>3:13:13.372274</v>
      </c>
      <c r="C301">
        <v>-61</v>
      </c>
    </row>
    <row r="302" spans="1:3" x14ac:dyDescent="0.25">
      <c r="A302">
        <v>37</v>
      </c>
      <c r="B302" t="str">
        <f>"3:13:14.574007"</f>
        <v>3:13:14.574007</v>
      </c>
      <c r="C302">
        <v>-70</v>
      </c>
    </row>
    <row r="303" spans="1:3" x14ac:dyDescent="0.25">
      <c r="A303">
        <v>38</v>
      </c>
      <c r="B303" t="str">
        <f>"3:13:14.574704"</f>
        <v>3:13:14.574704</v>
      </c>
      <c r="C303">
        <v>-63</v>
      </c>
    </row>
    <row r="304" spans="1:3" x14ac:dyDescent="0.25">
      <c r="A304">
        <v>39</v>
      </c>
      <c r="B304" t="str">
        <f>"3:13:14.575401"</f>
        <v>3:13:14.575401</v>
      </c>
      <c r="C304">
        <v>-62</v>
      </c>
    </row>
    <row r="305" spans="1:3" x14ac:dyDescent="0.25">
      <c r="A305">
        <v>37</v>
      </c>
      <c r="B305" t="str">
        <f>"3:13:15.844828"</f>
        <v>3:13:15.844828</v>
      </c>
      <c r="C305">
        <v>-71</v>
      </c>
    </row>
    <row r="306" spans="1:3" x14ac:dyDescent="0.25">
      <c r="A306">
        <v>38</v>
      </c>
      <c r="B306" t="str">
        <f>"3:13:15.845525"</f>
        <v>3:13:15.845525</v>
      </c>
      <c r="C306">
        <v>-63</v>
      </c>
    </row>
    <row r="307" spans="1:3" x14ac:dyDescent="0.25">
      <c r="A307">
        <v>39</v>
      </c>
      <c r="B307" t="str">
        <f>"3:13:15.846222"</f>
        <v>3:13:15.846222</v>
      </c>
      <c r="C307">
        <v>-62</v>
      </c>
    </row>
    <row r="308" spans="1:3" x14ac:dyDescent="0.25">
      <c r="A308">
        <v>37</v>
      </c>
      <c r="B308" t="str">
        <f>"3:13:17.067757"</f>
        <v>3:13:17.067757</v>
      </c>
      <c r="C308">
        <v>-70</v>
      </c>
    </row>
    <row r="309" spans="1:3" x14ac:dyDescent="0.25">
      <c r="A309">
        <v>38</v>
      </c>
      <c r="B309" t="str">
        <f>"3:13:17.068454"</f>
        <v>3:13:17.068454</v>
      </c>
      <c r="C309">
        <v>-63</v>
      </c>
    </row>
    <row r="310" spans="1:3" x14ac:dyDescent="0.25">
      <c r="A310">
        <v>39</v>
      </c>
      <c r="B310" t="str">
        <f>"3:13:17.069151"</f>
        <v>3:13:17.069151</v>
      </c>
      <c r="C310">
        <v>-62</v>
      </c>
    </row>
    <row r="311" spans="1:3" x14ac:dyDescent="0.25">
      <c r="A311">
        <v>37</v>
      </c>
      <c r="B311" t="str">
        <f>"3:13:18.328454"</f>
        <v>3:13:18.328454</v>
      </c>
      <c r="C311">
        <v>-71</v>
      </c>
    </row>
    <row r="312" spans="1:3" x14ac:dyDescent="0.25">
      <c r="A312">
        <v>38</v>
      </c>
      <c r="B312" t="str">
        <f>"3:13:18.329151"</f>
        <v>3:13:18.329151</v>
      </c>
      <c r="C312">
        <v>-63</v>
      </c>
    </row>
    <row r="313" spans="1:3" x14ac:dyDescent="0.25">
      <c r="A313">
        <v>39</v>
      </c>
      <c r="B313" t="str">
        <f>"3:13:18.329848"</f>
        <v>3:13:18.329848</v>
      </c>
      <c r="C313">
        <v>-61</v>
      </c>
    </row>
    <row r="314" spans="1:3" x14ac:dyDescent="0.25">
      <c r="A314">
        <v>37</v>
      </c>
      <c r="B314" t="str">
        <f>"3:13:19.573504"</f>
        <v>3:13:19.573504</v>
      </c>
      <c r="C314">
        <v>-70</v>
      </c>
    </row>
    <row r="315" spans="1:3" x14ac:dyDescent="0.25">
      <c r="A315">
        <v>38</v>
      </c>
      <c r="B315" t="str">
        <f>"3:13:19.574201"</f>
        <v>3:13:19.574201</v>
      </c>
      <c r="C315">
        <v>-63</v>
      </c>
    </row>
    <row r="316" spans="1:3" x14ac:dyDescent="0.25">
      <c r="A316">
        <v>39</v>
      </c>
      <c r="B316" t="str">
        <f>"3:13:19.574898"</f>
        <v>3:13:19.574898</v>
      </c>
      <c r="C316">
        <v>-62</v>
      </c>
    </row>
    <row r="317" spans="1:3" x14ac:dyDescent="0.25">
      <c r="A317">
        <v>37</v>
      </c>
      <c r="B317" t="str">
        <f>"3:13:22.058781"</f>
        <v>3:13:22.058781</v>
      </c>
      <c r="C317">
        <v>-70</v>
      </c>
    </row>
    <row r="318" spans="1:3" x14ac:dyDescent="0.25">
      <c r="A318">
        <v>38</v>
      </c>
      <c r="B318" t="str">
        <f>"3:13:22.059478"</f>
        <v>3:13:22.059478</v>
      </c>
      <c r="C318">
        <v>-63</v>
      </c>
    </row>
    <row r="319" spans="1:3" x14ac:dyDescent="0.25">
      <c r="A319">
        <v>39</v>
      </c>
      <c r="B319" t="str">
        <f>"3:13:22.060175"</f>
        <v>3:13:22.060175</v>
      </c>
      <c r="C319">
        <v>-61</v>
      </c>
    </row>
    <row r="320" spans="1:3" x14ac:dyDescent="0.25">
      <c r="A320">
        <v>37</v>
      </c>
      <c r="B320" t="str">
        <f>"3:13:23.316028"</f>
        <v>3:13:23.316028</v>
      </c>
      <c r="C320">
        <v>-71</v>
      </c>
    </row>
    <row r="321" spans="1:3" x14ac:dyDescent="0.25">
      <c r="A321">
        <v>38</v>
      </c>
      <c r="B321" t="str">
        <f>"3:13:23.316725"</f>
        <v>3:13:23.316725</v>
      </c>
      <c r="C321">
        <v>-63</v>
      </c>
    </row>
    <row r="322" spans="1:3" x14ac:dyDescent="0.25">
      <c r="A322">
        <v>39</v>
      </c>
      <c r="B322" t="str">
        <f>"3:13:23.317422"</f>
        <v>3:13:23.317422</v>
      </c>
      <c r="C322">
        <v>-62</v>
      </c>
    </row>
    <row r="323" spans="1:3" x14ac:dyDescent="0.25">
      <c r="A323">
        <v>37</v>
      </c>
      <c r="B323" t="str">
        <f>"3:13:24.576365"</f>
        <v>3:13:24.576365</v>
      </c>
      <c r="C323">
        <v>-71</v>
      </c>
    </row>
    <row r="324" spans="1:3" x14ac:dyDescent="0.25">
      <c r="A324">
        <v>38</v>
      </c>
      <c r="B324" t="str">
        <f>"3:13:24.577062"</f>
        <v>3:13:24.577062</v>
      </c>
      <c r="C324">
        <v>-63</v>
      </c>
    </row>
    <row r="325" spans="1:3" x14ac:dyDescent="0.25">
      <c r="A325">
        <v>39</v>
      </c>
      <c r="B325" t="str">
        <f>"3:13:24.577759"</f>
        <v>3:13:24.577759</v>
      </c>
      <c r="C325">
        <v>-61</v>
      </c>
    </row>
    <row r="326" spans="1:3" x14ac:dyDescent="0.25">
      <c r="A326">
        <v>38</v>
      </c>
      <c r="B326" t="str">
        <f>"3:13:25.830926"</f>
        <v>3:13:25.830926</v>
      </c>
      <c r="C326">
        <v>-63</v>
      </c>
    </row>
    <row r="327" spans="1:3" x14ac:dyDescent="0.25">
      <c r="A327">
        <v>39</v>
      </c>
      <c r="B327" t="str">
        <f>"3:13:25.831623"</f>
        <v>3:13:25.831623</v>
      </c>
      <c r="C327">
        <v>-62</v>
      </c>
    </row>
    <row r="328" spans="1:3" x14ac:dyDescent="0.25">
      <c r="A328">
        <v>37</v>
      </c>
      <c r="B328" t="str">
        <f>"3:13:27.040199"</f>
        <v>3:13:27.040199</v>
      </c>
      <c r="C328">
        <v>-71</v>
      </c>
    </row>
    <row r="329" spans="1:3" x14ac:dyDescent="0.25">
      <c r="A329">
        <v>38</v>
      </c>
      <c r="B329" t="str">
        <f>"3:13:27.040895"</f>
        <v>3:13:27.040895</v>
      </c>
      <c r="C329">
        <v>-63</v>
      </c>
    </row>
    <row r="330" spans="1:3" x14ac:dyDescent="0.25">
      <c r="A330">
        <v>39</v>
      </c>
      <c r="B330" t="str">
        <f>"3:13:27.041593"</f>
        <v>3:13:27.041593</v>
      </c>
      <c r="C330">
        <v>-62</v>
      </c>
    </row>
    <row r="331" spans="1:3" x14ac:dyDescent="0.25">
      <c r="A331">
        <v>37</v>
      </c>
      <c r="B331" t="str">
        <f>"3:13:28.294151"</f>
        <v>3:13:28.294151</v>
      </c>
      <c r="C331">
        <v>-71</v>
      </c>
    </row>
    <row r="332" spans="1:3" x14ac:dyDescent="0.25">
      <c r="A332">
        <v>38</v>
      </c>
      <c r="B332" t="str">
        <f>"3:13:28.294848"</f>
        <v>3:13:28.294848</v>
      </c>
      <c r="C332">
        <v>-63</v>
      </c>
    </row>
    <row r="333" spans="1:3" x14ac:dyDescent="0.25">
      <c r="A333">
        <v>39</v>
      </c>
      <c r="B333" t="str">
        <f>"3:13:28.295545"</f>
        <v>3:13:28.295545</v>
      </c>
      <c r="C333">
        <v>-61</v>
      </c>
    </row>
    <row r="334" spans="1:3" x14ac:dyDescent="0.25">
      <c r="A334">
        <v>39</v>
      </c>
      <c r="B334" t="str">
        <f>"3:13:29.531326"</f>
        <v>3:13:29.531326</v>
      </c>
      <c r="C334">
        <v>-61</v>
      </c>
    </row>
    <row r="335" spans="1:3" x14ac:dyDescent="0.25">
      <c r="A335">
        <v>37</v>
      </c>
      <c r="B335" t="str">
        <f>"3:13:30.804743"</f>
        <v>3:13:30.804743</v>
      </c>
      <c r="C335">
        <v>-71</v>
      </c>
    </row>
    <row r="336" spans="1:3" x14ac:dyDescent="0.25">
      <c r="A336">
        <v>38</v>
      </c>
      <c r="B336" t="str">
        <f>"3:13:30.805440"</f>
        <v>3:13:30.805440</v>
      </c>
      <c r="C336">
        <v>-64</v>
      </c>
    </row>
    <row r="337" spans="1:3" x14ac:dyDescent="0.25">
      <c r="A337">
        <v>39</v>
      </c>
      <c r="B337" t="str">
        <f>"3:13:30.806137"</f>
        <v>3:13:30.806137</v>
      </c>
      <c r="C337">
        <v>-62</v>
      </c>
    </row>
    <row r="338" spans="1:3" x14ac:dyDescent="0.25">
      <c r="A338">
        <v>37</v>
      </c>
      <c r="B338" t="str">
        <f>"3:13:32.061535"</f>
        <v>3:13:32.061535</v>
      </c>
      <c r="C338">
        <v>-71</v>
      </c>
    </row>
    <row r="339" spans="1:3" x14ac:dyDescent="0.25">
      <c r="A339">
        <v>38</v>
      </c>
      <c r="B339" t="str">
        <f>"3:13:32.062231"</f>
        <v>3:13:32.062231</v>
      </c>
      <c r="C339">
        <v>-63</v>
      </c>
    </row>
    <row r="340" spans="1:3" x14ac:dyDescent="0.25">
      <c r="A340">
        <v>39</v>
      </c>
      <c r="B340" t="str">
        <f>"3:13:32.062928"</f>
        <v>3:13:32.062928</v>
      </c>
      <c r="C340">
        <v>-62</v>
      </c>
    </row>
    <row r="341" spans="1:3" x14ac:dyDescent="0.25">
      <c r="A341">
        <v>37</v>
      </c>
      <c r="B341" t="str">
        <f>"3:13:34.523872"</f>
        <v>3:13:34.523872</v>
      </c>
      <c r="C341">
        <v>-71</v>
      </c>
    </row>
    <row r="342" spans="1:3" x14ac:dyDescent="0.25">
      <c r="A342">
        <v>38</v>
      </c>
      <c r="B342" t="str">
        <f>"3:13:34.524569"</f>
        <v>3:13:34.524569</v>
      </c>
      <c r="C342">
        <v>-63</v>
      </c>
    </row>
    <row r="343" spans="1:3" x14ac:dyDescent="0.25">
      <c r="A343">
        <v>39</v>
      </c>
      <c r="B343" t="str">
        <f>"3:13:34.525266"</f>
        <v>3:13:34.525266</v>
      </c>
      <c r="C343">
        <v>-62</v>
      </c>
    </row>
    <row r="344" spans="1:3" x14ac:dyDescent="0.25">
      <c r="A344">
        <v>37</v>
      </c>
      <c r="B344" t="str">
        <f>"3:13:35.762452"</f>
        <v>3:13:35.762452</v>
      </c>
      <c r="C344">
        <v>-69</v>
      </c>
    </row>
    <row r="345" spans="1:3" x14ac:dyDescent="0.25">
      <c r="A345">
        <v>38</v>
      </c>
      <c r="B345" t="str">
        <f>"3:13:35.763149"</f>
        <v>3:13:35.763149</v>
      </c>
      <c r="C345">
        <v>-61</v>
      </c>
    </row>
    <row r="346" spans="1:3" x14ac:dyDescent="0.25">
      <c r="A346">
        <v>39</v>
      </c>
      <c r="B346" t="str">
        <f>"3:13:35.763846"</f>
        <v>3:13:35.763846</v>
      </c>
      <c r="C346">
        <v>-61</v>
      </c>
    </row>
    <row r="347" spans="1:3" x14ac:dyDescent="0.25">
      <c r="A347">
        <v>37</v>
      </c>
      <c r="B347" t="str">
        <f>"3:13:37.006875"</f>
        <v>3:13:37.006875</v>
      </c>
      <c r="C347">
        <v>-71</v>
      </c>
    </row>
    <row r="348" spans="1:3" x14ac:dyDescent="0.25">
      <c r="A348">
        <v>38</v>
      </c>
      <c r="B348" t="str">
        <f>"3:13:37.007572"</f>
        <v>3:13:37.007572</v>
      </c>
      <c r="C348">
        <v>-63</v>
      </c>
    </row>
    <row r="349" spans="1:3" x14ac:dyDescent="0.25">
      <c r="A349">
        <v>39</v>
      </c>
      <c r="B349" t="str">
        <f>"3:13:37.008269"</f>
        <v>3:13:37.008269</v>
      </c>
      <c r="C349">
        <v>-62</v>
      </c>
    </row>
    <row r="350" spans="1:3" x14ac:dyDescent="0.25">
      <c r="A350">
        <v>37</v>
      </c>
      <c r="B350" t="str">
        <f>"3:13:40.742292"</f>
        <v>3:13:40.742292</v>
      </c>
      <c r="C350">
        <v>-71</v>
      </c>
    </row>
    <row r="351" spans="1:3" x14ac:dyDescent="0.25">
      <c r="A351">
        <v>38</v>
      </c>
      <c r="B351" t="str">
        <f>"3:13:40.742989"</f>
        <v>3:13:40.742989</v>
      </c>
      <c r="C351">
        <v>-63</v>
      </c>
    </row>
    <row r="352" spans="1:3" x14ac:dyDescent="0.25">
      <c r="A352">
        <v>39</v>
      </c>
      <c r="B352" t="str">
        <f>"3:13:40.743686"</f>
        <v>3:13:40.743686</v>
      </c>
      <c r="C352">
        <v>-62</v>
      </c>
    </row>
    <row r="353" spans="1:3" x14ac:dyDescent="0.25">
      <c r="A353">
        <v>37</v>
      </c>
      <c r="B353" t="str">
        <f>"3:13:41.976272"</f>
        <v>3:13:41.976272</v>
      </c>
      <c r="C353">
        <v>-71</v>
      </c>
    </row>
    <row r="354" spans="1:3" x14ac:dyDescent="0.25">
      <c r="A354">
        <v>38</v>
      </c>
      <c r="B354" t="str">
        <f>"3:13:41.976969"</f>
        <v>3:13:41.976969</v>
      </c>
      <c r="C354">
        <v>-63</v>
      </c>
    </row>
    <row r="355" spans="1:3" x14ac:dyDescent="0.25">
      <c r="A355">
        <v>39</v>
      </c>
      <c r="B355" t="str">
        <f>"3:13:41.977666"</f>
        <v>3:13:41.977666</v>
      </c>
      <c r="C355">
        <v>-62</v>
      </c>
    </row>
    <row r="356" spans="1:3" x14ac:dyDescent="0.25">
      <c r="A356">
        <v>37</v>
      </c>
      <c r="B356" t="str">
        <f>"3:13:43.229803"</f>
        <v>3:13:43.229803</v>
      </c>
      <c r="C356">
        <v>-71</v>
      </c>
    </row>
    <row r="357" spans="1:3" x14ac:dyDescent="0.25">
      <c r="A357">
        <v>38</v>
      </c>
      <c r="B357" t="str">
        <f>"3:13:43.230500"</f>
        <v>3:13:43.230500</v>
      </c>
      <c r="C357">
        <v>-63</v>
      </c>
    </row>
    <row r="358" spans="1:3" x14ac:dyDescent="0.25">
      <c r="A358">
        <v>39</v>
      </c>
      <c r="B358" t="str">
        <f>"3:13:43.231197"</f>
        <v>3:13:43.231197</v>
      </c>
      <c r="C358">
        <v>-62</v>
      </c>
    </row>
    <row r="359" spans="1:3" x14ac:dyDescent="0.25">
      <c r="A359">
        <v>37</v>
      </c>
      <c r="B359" t="str">
        <f>"3:13:44.474533"</f>
        <v>3:13:44.474533</v>
      </c>
      <c r="C359">
        <v>-70</v>
      </c>
    </row>
    <row r="360" spans="1:3" x14ac:dyDescent="0.25">
      <c r="A360">
        <v>38</v>
      </c>
      <c r="B360" t="str">
        <f>"3:13:44.475230"</f>
        <v>3:13:44.475230</v>
      </c>
      <c r="C360">
        <v>-63</v>
      </c>
    </row>
    <row r="361" spans="1:3" x14ac:dyDescent="0.25">
      <c r="A361">
        <v>37</v>
      </c>
      <c r="B361" t="str">
        <f>"3:13:45.718513"</f>
        <v>3:13:45.718513</v>
      </c>
      <c r="C361">
        <v>-71</v>
      </c>
    </row>
    <row r="362" spans="1:3" x14ac:dyDescent="0.25">
      <c r="A362">
        <v>38</v>
      </c>
      <c r="B362" t="str">
        <f>"3:13:45.719210"</f>
        <v>3:13:45.719210</v>
      </c>
      <c r="C362">
        <v>-63</v>
      </c>
    </row>
    <row r="363" spans="1:3" x14ac:dyDescent="0.25">
      <c r="A363">
        <v>39</v>
      </c>
      <c r="B363" t="str">
        <f>"3:13:45.719907"</f>
        <v>3:13:45.719907</v>
      </c>
      <c r="C363">
        <v>-62</v>
      </c>
    </row>
    <row r="364" spans="1:3" x14ac:dyDescent="0.25">
      <c r="A364">
        <v>37</v>
      </c>
      <c r="B364" t="str">
        <f>"3:13:46.964120"</f>
        <v>3:13:46.964120</v>
      </c>
      <c r="C364">
        <v>-71</v>
      </c>
    </row>
    <row r="365" spans="1:3" x14ac:dyDescent="0.25">
      <c r="A365">
        <v>38</v>
      </c>
      <c r="B365" t="str">
        <f>"3:13:46.964817"</f>
        <v>3:13:46.964817</v>
      </c>
      <c r="C365">
        <v>-63</v>
      </c>
    </row>
    <row r="366" spans="1:3" x14ac:dyDescent="0.25">
      <c r="A366">
        <v>39</v>
      </c>
      <c r="B366" t="str">
        <f>"3:13:46.965514"</f>
        <v>3:13:46.965514</v>
      </c>
      <c r="C366">
        <v>-62</v>
      </c>
    </row>
    <row r="367" spans="1:3" x14ac:dyDescent="0.25">
      <c r="A367">
        <v>37</v>
      </c>
      <c r="B367" t="str">
        <f>"3:13:48.247872"</f>
        <v>3:13:48.247872</v>
      </c>
      <c r="C367">
        <v>-71</v>
      </c>
    </row>
    <row r="368" spans="1:3" x14ac:dyDescent="0.25">
      <c r="A368">
        <v>38</v>
      </c>
      <c r="B368" t="str">
        <f>"3:13:48.248569"</f>
        <v>3:13:48.248569</v>
      </c>
      <c r="C368">
        <v>-63</v>
      </c>
    </row>
    <row r="369" spans="1:3" x14ac:dyDescent="0.25">
      <c r="A369">
        <v>39</v>
      </c>
      <c r="B369" t="str">
        <f>"3:13:48.249266"</f>
        <v>3:13:48.249266</v>
      </c>
      <c r="C369">
        <v>-60</v>
      </c>
    </row>
    <row r="370" spans="1:3" x14ac:dyDescent="0.25">
      <c r="A370">
        <v>37</v>
      </c>
      <c r="B370" t="str">
        <f>"3:13:49.445554"</f>
        <v>3:13:49.445554</v>
      </c>
      <c r="C370">
        <v>-71</v>
      </c>
    </row>
    <row r="371" spans="1:3" x14ac:dyDescent="0.25">
      <c r="A371">
        <v>38</v>
      </c>
      <c r="B371" t="str">
        <f>"3:13:49.446251"</f>
        <v>3:13:49.446251</v>
      </c>
      <c r="C371">
        <v>-63</v>
      </c>
    </row>
    <row r="372" spans="1:3" x14ac:dyDescent="0.25">
      <c r="A372">
        <v>39</v>
      </c>
      <c r="B372" t="str">
        <f>"3:13:49.446948"</f>
        <v>3:13:49.446948</v>
      </c>
      <c r="C372">
        <v>-62</v>
      </c>
    </row>
    <row r="373" spans="1:3" x14ac:dyDescent="0.25">
      <c r="A373">
        <v>37</v>
      </c>
      <c r="B373" t="str">
        <f>"3:13:50.691484"</f>
        <v>3:13:50.691484</v>
      </c>
      <c r="C373">
        <v>-71</v>
      </c>
    </row>
    <row r="374" spans="1:3" x14ac:dyDescent="0.25">
      <c r="A374">
        <v>38</v>
      </c>
      <c r="B374" t="str">
        <f>"3:13:50.692181"</f>
        <v>3:13:50.692181</v>
      </c>
      <c r="C374">
        <v>-63</v>
      </c>
    </row>
    <row r="375" spans="1:3" x14ac:dyDescent="0.25">
      <c r="A375">
        <v>39</v>
      </c>
      <c r="B375" t="str">
        <f>"3:13:50.692878"</f>
        <v>3:13:50.692878</v>
      </c>
      <c r="C375">
        <v>-62</v>
      </c>
    </row>
    <row r="376" spans="1:3" x14ac:dyDescent="0.25">
      <c r="A376">
        <v>37</v>
      </c>
      <c r="B376" t="str">
        <f>"3:13:51.939914"</f>
        <v>3:13:51.939914</v>
      </c>
      <c r="C376">
        <v>-71</v>
      </c>
    </row>
    <row r="377" spans="1:3" x14ac:dyDescent="0.25">
      <c r="A377">
        <v>38</v>
      </c>
      <c r="B377" t="str">
        <f>"3:13:51.940611"</f>
        <v>3:13:51.940611</v>
      </c>
      <c r="C377">
        <v>-63</v>
      </c>
    </row>
    <row r="378" spans="1:3" x14ac:dyDescent="0.25">
      <c r="A378">
        <v>39</v>
      </c>
      <c r="B378" t="str">
        <f>"3:13:51.941308"</f>
        <v>3:13:51.941308</v>
      </c>
      <c r="C378">
        <v>-62</v>
      </c>
    </row>
    <row r="379" spans="1:3" x14ac:dyDescent="0.25">
      <c r="A379">
        <v>37</v>
      </c>
      <c r="B379" t="str">
        <f>"3:13:53.215691"</f>
        <v>3:13:53.215691</v>
      </c>
      <c r="C379">
        <v>-71</v>
      </c>
    </row>
    <row r="380" spans="1:3" x14ac:dyDescent="0.25">
      <c r="A380">
        <v>37</v>
      </c>
      <c r="B380" t="str">
        <f>"3:13:54.417601"</f>
        <v>3:13:54.417601</v>
      </c>
      <c r="C380">
        <v>-71</v>
      </c>
    </row>
    <row r="381" spans="1:3" x14ac:dyDescent="0.25">
      <c r="A381">
        <v>38</v>
      </c>
      <c r="B381" t="str">
        <f>"3:13:54.418298"</f>
        <v>3:13:54.418298</v>
      </c>
      <c r="C381">
        <v>-63</v>
      </c>
    </row>
    <row r="382" spans="1:3" x14ac:dyDescent="0.25">
      <c r="A382">
        <v>39</v>
      </c>
      <c r="B382" t="str">
        <f>"3:13:54.418995"</f>
        <v>3:13:54.418995</v>
      </c>
      <c r="C382">
        <v>-62</v>
      </c>
    </row>
    <row r="383" spans="1:3" x14ac:dyDescent="0.25">
      <c r="A383">
        <v>37</v>
      </c>
      <c r="B383" t="str">
        <f>"3:13:55.665631"</f>
        <v>3:13:55.665631</v>
      </c>
      <c r="C383">
        <v>-71</v>
      </c>
    </row>
    <row r="384" spans="1:3" x14ac:dyDescent="0.25">
      <c r="A384">
        <v>38</v>
      </c>
      <c r="B384" t="str">
        <f>"3:13:55.666328"</f>
        <v>3:13:55.666328</v>
      </c>
      <c r="C384">
        <v>-63</v>
      </c>
    </row>
    <row r="385" spans="1:3" x14ac:dyDescent="0.25">
      <c r="A385">
        <v>39</v>
      </c>
      <c r="B385" t="str">
        <f>"3:13:55.667025"</f>
        <v>3:13:55.667025</v>
      </c>
      <c r="C385">
        <v>-62</v>
      </c>
    </row>
    <row r="386" spans="1:3" x14ac:dyDescent="0.25">
      <c r="A386">
        <v>37</v>
      </c>
      <c r="B386" t="str">
        <f>"3:13:56.914587"</f>
        <v>3:13:56.914587</v>
      </c>
      <c r="C386">
        <v>-71</v>
      </c>
    </row>
    <row r="387" spans="1:3" x14ac:dyDescent="0.25">
      <c r="A387">
        <v>38</v>
      </c>
      <c r="B387" t="str">
        <f>"3:13:56.915284"</f>
        <v>3:13:56.915284</v>
      </c>
      <c r="C387">
        <v>-63</v>
      </c>
    </row>
    <row r="388" spans="1:3" x14ac:dyDescent="0.25">
      <c r="A388">
        <v>39</v>
      </c>
      <c r="B388" t="str">
        <f>"3:13:56.915981"</f>
        <v>3:13:56.915981</v>
      </c>
      <c r="C388">
        <v>-62</v>
      </c>
    </row>
    <row r="389" spans="1:3" x14ac:dyDescent="0.25">
      <c r="A389">
        <v>37</v>
      </c>
      <c r="B389" t="str">
        <f>"3:13:58.161630"</f>
        <v>3:13:58.161630</v>
      </c>
      <c r="C389">
        <v>-72</v>
      </c>
    </row>
    <row r="390" spans="1:3" x14ac:dyDescent="0.25">
      <c r="A390">
        <v>38</v>
      </c>
      <c r="B390" t="str">
        <f>"3:13:58.162327"</f>
        <v>3:13:58.162327</v>
      </c>
      <c r="C390">
        <v>-63</v>
      </c>
    </row>
    <row r="391" spans="1:3" x14ac:dyDescent="0.25">
      <c r="A391">
        <v>39</v>
      </c>
      <c r="B391" t="str">
        <f>"3:13:58.163024"</f>
        <v>3:13:58.163024</v>
      </c>
      <c r="C391">
        <v>-62</v>
      </c>
    </row>
    <row r="392" spans="1:3" x14ac:dyDescent="0.25">
      <c r="A392">
        <v>37</v>
      </c>
      <c r="B392" t="str">
        <f>"3:13:59.415141"</f>
        <v>3:13:59.415141</v>
      </c>
      <c r="C392">
        <v>-71</v>
      </c>
    </row>
    <row r="393" spans="1:3" x14ac:dyDescent="0.25">
      <c r="A393">
        <v>38</v>
      </c>
      <c r="B393" t="str">
        <f>"3:13:59.415838"</f>
        <v>3:13:59.415838</v>
      </c>
      <c r="C393">
        <v>-63</v>
      </c>
    </row>
    <row r="394" spans="1:3" x14ac:dyDescent="0.25">
      <c r="A394">
        <v>39</v>
      </c>
      <c r="B394" t="str">
        <f>"3:13:59.416535"</f>
        <v>3:13:59.416535</v>
      </c>
      <c r="C394">
        <v>-62</v>
      </c>
    </row>
    <row r="395" spans="1:3" x14ac:dyDescent="0.25">
      <c r="A395">
        <v>37</v>
      </c>
      <c r="B395" t="str">
        <f>"3:14:00.657049"</f>
        <v>3:14:00.657049</v>
      </c>
      <c r="C395">
        <v>-71</v>
      </c>
    </row>
    <row r="396" spans="1:3" x14ac:dyDescent="0.25">
      <c r="A396">
        <v>38</v>
      </c>
      <c r="B396" t="str">
        <f>"3:14:00.657746"</f>
        <v>3:14:00.657746</v>
      </c>
      <c r="C396">
        <v>-63</v>
      </c>
    </row>
    <row r="397" spans="1:3" x14ac:dyDescent="0.25">
      <c r="A397">
        <v>39</v>
      </c>
      <c r="B397" t="str">
        <f>"3:14:00.658443"</f>
        <v>3:14:00.658443</v>
      </c>
      <c r="C397">
        <v>-62</v>
      </c>
    </row>
    <row r="398" spans="1:3" x14ac:dyDescent="0.25">
      <c r="A398">
        <v>37</v>
      </c>
      <c r="B398" t="str">
        <f>"3:14:01.895579"</f>
        <v>3:14:01.895579</v>
      </c>
      <c r="C398">
        <v>-71</v>
      </c>
    </row>
    <row r="399" spans="1:3" x14ac:dyDescent="0.25">
      <c r="A399">
        <v>38</v>
      </c>
      <c r="B399" t="str">
        <f>"3:14:01.896276"</f>
        <v>3:14:01.896276</v>
      </c>
      <c r="C399">
        <v>-63</v>
      </c>
    </row>
    <row r="400" spans="1:3" x14ac:dyDescent="0.25">
      <c r="A400">
        <v>39</v>
      </c>
      <c r="B400" t="str">
        <f>"3:14:01.896973"</f>
        <v>3:14:01.896973</v>
      </c>
      <c r="C400">
        <v>-62</v>
      </c>
    </row>
    <row r="401" spans="1:3" x14ac:dyDescent="0.25">
      <c r="A401">
        <v>39</v>
      </c>
      <c r="B401" t="str">
        <f>"3:14:03.157803"</f>
        <v>3:14:03.157803</v>
      </c>
      <c r="C401">
        <v>-61</v>
      </c>
    </row>
    <row r="402" spans="1:3" x14ac:dyDescent="0.25">
      <c r="A402">
        <v>37</v>
      </c>
      <c r="B402" t="str">
        <f>"3:14:04.407251"</f>
        <v>3:14:04.407251</v>
      </c>
      <c r="C402">
        <v>-71</v>
      </c>
    </row>
    <row r="403" spans="1:3" x14ac:dyDescent="0.25">
      <c r="A403">
        <v>38</v>
      </c>
      <c r="B403" t="str">
        <f>"3:14:04.407948"</f>
        <v>3:14:04.407948</v>
      </c>
      <c r="C403">
        <v>-63</v>
      </c>
    </row>
    <row r="404" spans="1:3" x14ac:dyDescent="0.25">
      <c r="A404">
        <v>39</v>
      </c>
      <c r="B404" t="str">
        <f>"3:14:04.408645"</f>
        <v>3:14:04.408645</v>
      </c>
      <c r="C404">
        <v>-62</v>
      </c>
    </row>
    <row r="405" spans="1:3" x14ac:dyDescent="0.25">
      <c r="A405">
        <v>37</v>
      </c>
      <c r="B405" t="str">
        <f>"3:14:05.667813"</f>
        <v>3:14:05.667813</v>
      </c>
      <c r="C405">
        <v>-71</v>
      </c>
    </row>
    <row r="406" spans="1:3" x14ac:dyDescent="0.25">
      <c r="A406">
        <v>38</v>
      </c>
      <c r="B406" t="str">
        <f>"3:14:05.668510"</f>
        <v>3:14:05.668510</v>
      </c>
      <c r="C406">
        <v>-63</v>
      </c>
    </row>
    <row r="407" spans="1:3" x14ac:dyDescent="0.25">
      <c r="A407">
        <v>39</v>
      </c>
      <c r="B407" t="str">
        <f>"3:14:05.669207"</f>
        <v>3:14:05.669207</v>
      </c>
      <c r="C407">
        <v>-62</v>
      </c>
    </row>
    <row r="408" spans="1:3" x14ac:dyDescent="0.25">
      <c r="A408">
        <v>38</v>
      </c>
      <c r="B408" t="str">
        <f>"3:14:06.877566"</f>
        <v>3:14:06.877566</v>
      </c>
      <c r="C408">
        <v>-63</v>
      </c>
    </row>
    <row r="409" spans="1:3" x14ac:dyDescent="0.25">
      <c r="A409">
        <v>39</v>
      </c>
      <c r="B409" t="str">
        <f>"3:14:06.878263"</f>
        <v>3:14:06.878263</v>
      </c>
      <c r="C409">
        <v>-62</v>
      </c>
    </row>
    <row r="410" spans="1:3" x14ac:dyDescent="0.25">
      <c r="A410">
        <v>37</v>
      </c>
      <c r="B410" t="str">
        <f>"3:14:08.118400"</f>
        <v>3:14:08.118400</v>
      </c>
      <c r="C410">
        <v>-71</v>
      </c>
    </row>
    <row r="411" spans="1:3" x14ac:dyDescent="0.25">
      <c r="A411">
        <v>38</v>
      </c>
      <c r="B411" t="str">
        <f>"3:14:08.119097"</f>
        <v>3:14:08.119097</v>
      </c>
      <c r="C411">
        <v>-63</v>
      </c>
    </row>
    <row r="412" spans="1:3" x14ac:dyDescent="0.25">
      <c r="A412">
        <v>39</v>
      </c>
      <c r="B412" t="str">
        <f>"3:14:08.119794"</f>
        <v>3:14:08.119794</v>
      </c>
      <c r="C412">
        <v>-62</v>
      </c>
    </row>
    <row r="413" spans="1:3" x14ac:dyDescent="0.25">
      <c r="A413">
        <v>37</v>
      </c>
      <c r="B413" t="str">
        <f>"3:14:09.367097"</f>
        <v>3:14:09.367097</v>
      </c>
      <c r="C413">
        <v>-71</v>
      </c>
    </row>
    <row r="414" spans="1:3" x14ac:dyDescent="0.25">
      <c r="A414">
        <v>38</v>
      </c>
      <c r="B414" t="str">
        <f>"3:14:09.367794"</f>
        <v>3:14:09.367794</v>
      </c>
      <c r="C414">
        <v>-63</v>
      </c>
    </row>
    <row r="415" spans="1:3" x14ac:dyDescent="0.25">
      <c r="A415">
        <v>39</v>
      </c>
      <c r="B415" t="str">
        <f>"3:14:09.368491"</f>
        <v>3:14:09.368491</v>
      </c>
      <c r="C415">
        <v>-62</v>
      </c>
    </row>
    <row r="416" spans="1:3" x14ac:dyDescent="0.25">
      <c r="A416">
        <v>37</v>
      </c>
      <c r="B416" t="str">
        <f>"3:14:10.616474"</f>
        <v>3:14:10.616474</v>
      </c>
      <c r="C416">
        <v>-71</v>
      </c>
    </row>
    <row r="417" spans="1:3" x14ac:dyDescent="0.25">
      <c r="A417">
        <v>38</v>
      </c>
      <c r="B417" t="str">
        <f>"3:14:10.617171"</f>
        <v>3:14:10.617171</v>
      </c>
      <c r="C417">
        <v>-63</v>
      </c>
    </row>
    <row r="418" spans="1:3" x14ac:dyDescent="0.25">
      <c r="A418">
        <v>39</v>
      </c>
      <c r="B418" t="str">
        <f>"3:14:10.617868"</f>
        <v>3:14:10.617868</v>
      </c>
      <c r="C418">
        <v>-62</v>
      </c>
    </row>
    <row r="419" spans="1:3" x14ac:dyDescent="0.25">
      <c r="A419">
        <v>37</v>
      </c>
      <c r="B419" t="str">
        <f>"3:14:11.859437"</f>
        <v>3:14:11.859437</v>
      </c>
      <c r="C419">
        <v>-71</v>
      </c>
    </row>
    <row r="420" spans="1:3" x14ac:dyDescent="0.25">
      <c r="A420">
        <v>38</v>
      </c>
      <c r="B420" t="str">
        <f>"3:14:11.860133"</f>
        <v>3:14:11.860133</v>
      </c>
      <c r="C420">
        <v>-63</v>
      </c>
    </row>
    <row r="421" spans="1:3" x14ac:dyDescent="0.25">
      <c r="A421">
        <v>39</v>
      </c>
      <c r="B421" t="str">
        <f>"3:14:11.860831"</f>
        <v>3:14:11.860831</v>
      </c>
      <c r="C421">
        <v>-62</v>
      </c>
    </row>
    <row r="422" spans="1:3" x14ac:dyDescent="0.25">
      <c r="A422">
        <v>38</v>
      </c>
      <c r="B422" t="str">
        <f>"3:14:13.107078"</f>
        <v>3:14:13.107078</v>
      </c>
      <c r="C422">
        <v>-63</v>
      </c>
    </row>
    <row r="423" spans="1:3" x14ac:dyDescent="0.25">
      <c r="A423">
        <v>39</v>
      </c>
      <c r="B423" t="str">
        <f>"3:14:13.107775"</f>
        <v>3:14:13.107775</v>
      </c>
      <c r="C423">
        <v>-62</v>
      </c>
    </row>
    <row r="424" spans="1:3" x14ac:dyDescent="0.25">
      <c r="A424">
        <v>37</v>
      </c>
      <c r="B424" t="str">
        <f>"3:14:14.349164"</f>
        <v>3:14:14.349164</v>
      </c>
      <c r="C424">
        <v>-72</v>
      </c>
    </row>
    <row r="425" spans="1:3" x14ac:dyDescent="0.25">
      <c r="A425">
        <v>38</v>
      </c>
      <c r="B425" t="str">
        <f>"3:14:14.349861"</f>
        <v>3:14:14.349861</v>
      </c>
      <c r="C425">
        <v>-63</v>
      </c>
    </row>
    <row r="426" spans="1:3" x14ac:dyDescent="0.25">
      <c r="A426">
        <v>39</v>
      </c>
      <c r="B426" t="str">
        <f>"3:14:14.350558"</f>
        <v>3:14:14.350558</v>
      </c>
      <c r="C426">
        <v>-62</v>
      </c>
    </row>
    <row r="427" spans="1:3" x14ac:dyDescent="0.25">
      <c r="A427">
        <v>37</v>
      </c>
      <c r="B427" t="str">
        <f>"3:14:15.584869"</f>
        <v>3:14:15.584869</v>
      </c>
      <c r="C427">
        <v>-71</v>
      </c>
    </row>
    <row r="428" spans="1:3" x14ac:dyDescent="0.25">
      <c r="A428">
        <v>38</v>
      </c>
      <c r="B428" t="str">
        <f>"3:14:15.585566"</f>
        <v>3:14:15.585566</v>
      </c>
      <c r="C428">
        <v>-63</v>
      </c>
    </row>
    <row r="429" spans="1:3" x14ac:dyDescent="0.25">
      <c r="A429">
        <v>39</v>
      </c>
      <c r="B429" t="str">
        <f>"3:14:15.586263"</f>
        <v>3:14:15.586263</v>
      </c>
      <c r="C429">
        <v>-62</v>
      </c>
    </row>
    <row r="430" spans="1:3" x14ac:dyDescent="0.25">
      <c r="A430">
        <v>37</v>
      </c>
      <c r="B430" t="str">
        <f>"3:14:18.078220"</f>
        <v>3:14:18.078220</v>
      </c>
      <c r="C430">
        <v>-71</v>
      </c>
    </row>
    <row r="431" spans="1:3" x14ac:dyDescent="0.25">
      <c r="A431">
        <v>38</v>
      </c>
      <c r="B431" t="str">
        <f>"3:14:18.078917"</f>
        <v>3:14:18.078917</v>
      </c>
      <c r="C431">
        <v>-63</v>
      </c>
    </row>
    <row r="432" spans="1:3" x14ac:dyDescent="0.25">
      <c r="A432">
        <v>39</v>
      </c>
      <c r="B432" t="str">
        <f>"3:14:18.079614"</f>
        <v>3:14:18.079614</v>
      </c>
      <c r="C432">
        <v>-62</v>
      </c>
    </row>
    <row r="433" spans="1:3" x14ac:dyDescent="0.25">
      <c r="A433">
        <v>37</v>
      </c>
      <c r="B433" t="str">
        <f>"3:14:19.328797"</f>
        <v>3:14:19.328797</v>
      </c>
      <c r="C433">
        <v>-72</v>
      </c>
    </row>
    <row r="434" spans="1:3" x14ac:dyDescent="0.25">
      <c r="A434">
        <v>38</v>
      </c>
      <c r="B434" t="str">
        <f>"3:14:19.329494"</f>
        <v>3:14:19.329494</v>
      </c>
      <c r="C434">
        <v>-63</v>
      </c>
    </row>
    <row r="435" spans="1:3" x14ac:dyDescent="0.25">
      <c r="A435">
        <v>39</v>
      </c>
      <c r="B435" t="str">
        <f>"3:14:19.330191"</f>
        <v>3:14:19.330191</v>
      </c>
      <c r="C435">
        <v>-62</v>
      </c>
    </row>
    <row r="436" spans="1:3" x14ac:dyDescent="0.25">
      <c r="A436">
        <v>37</v>
      </c>
      <c r="B436" t="str">
        <f>"3:14:20.577525"</f>
        <v>3:14:20.577525</v>
      </c>
      <c r="C436">
        <v>-71</v>
      </c>
    </row>
    <row r="437" spans="1:3" x14ac:dyDescent="0.25">
      <c r="A437">
        <v>38</v>
      </c>
      <c r="B437" t="str">
        <f>"3:14:20.578221"</f>
        <v>3:14:20.578221</v>
      </c>
      <c r="C437">
        <v>-63</v>
      </c>
    </row>
    <row r="438" spans="1:3" x14ac:dyDescent="0.25">
      <c r="A438">
        <v>39</v>
      </c>
      <c r="B438" t="str">
        <f>"3:14:20.578919"</f>
        <v>3:14:20.578919</v>
      </c>
      <c r="C438">
        <v>-62</v>
      </c>
    </row>
    <row r="439" spans="1:3" x14ac:dyDescent="0.25">
      <c r="A439">
        <v>37</v>
      </c>
      <c r="B439" t="str">
        <f>"3:14:21.823552"</f>
        <v>3:14:21.823552</v>
      </c>
      <c r="C439">
        <v>-71</v>
      </c>
    </row>
    <row r="440" spans="1:3" x14ac:dyDescent="0.25">
      <c r="A440">
        <v>38</v>
      </c>
      <c r="B440" t="str">
        <f>"3:14:21.824249"</f>
        <v>3:14:21.824249</v>
      </c>
      <c r="C440">
        <v>-63</v>
      </c>
    </row>
    <row r="441" spans="1:3" x14ac:dyDescent="0.25">
      <c r="A441">
        <v>39</v>
      </c>
      <c r="B441" t="str">
        <f>"3:14:21.824946"</f>
        <v>3:14:21.824946</v>
      </c>
      <c r="C441">
        <v>-62</v>
      </c>
    </row>
    <row r="442" spans="1:3" x14ac:dyDescent="0.25">
      <c r="A442">
        <v>39</v>
      </c>
      <c r="B442" t="str">
        <f>"3:14:23.090970"</f>
        <v>3:14:23.090970</v>
      </c>
      <c r="C442">
        <v>-62</v>
      </c>
    </row>
    <row r="443" spans="1:3" x14ac:dyDescent="0.25">
      <c r="A443">
        <v>37</v>
      </c>
      <c r="B443" t="str">
        <f>"3:14:24.305830"</f>
        <v>3:14:24.305830</v>
      </c>
      <c r="C443">
        <v>-71</v>
      </c>
    </row>
    <row r="444" spans="1:3" x14ac:dyDescent="0.25">
      <c r="A444">
        <v>38</v>
      </c>
      <c r="B444" t="str">
        <f>"3:14:24.306527"</f>
        <v>3:14:24.306527</v>
      </c>
      <c r="C444">
        <v>-63</v>
      </c>
    </row>
    <row r="445" spans="1:3" x14ac:dyDescent="0.25">
      <c r="A445">
        <v>39</v>
      </c>
      <c r="B445" t="str">
        <f>"3:14:24.307224"</f>
        <v>3:14:24.307224</v>
      </c>
      <c r="C445">
        <v>-62</v>
      </c>
    </row>
    <row r="446" spans="1:3" x14ac:dyDescent="0.25">
      <c r="A446">
        <v>37</v>
      </c>
      <c r="B446" t="str">
        <f>"3:14:25.588952"</f>
        <v>3:14:25.588952</v>
      </c>
      <c r="C446">
        <v>-72</v>
      </c>
    </row>
    <row r="447" spans="1:3" x14ac:dyDescent="0.25">
      <c r="A447">
        <v>38</v>
      </c>
      <c r="B447" t="str">
        <f>"3:14:25.589649"</f>
        <v>3:14:25.589649</v>
      </c>
      <c r="C447">
        <v>-63</v>
      </c>
    </row>
    <row r="448" spans="1:3" x14ac:dyDescent="0.25">
      <c r="A448">
        <v>39</v>
      </c>
      <c r="B448" t="str">
        <f>"3:14:25.590346"</f>
        <v>3:14:25.590346</v>
      </c>
      <c r="C448">
        <v>-62</v>
      </c>
    </row>
    <row r="449" spans="1:3" x14ac:dyDescent="0.25">
      <c r="A449">
        <v>37</v>
      </c>
      <c r="B449" t="str">
        <f>"3:14:26.830918"</f>
        <v>3:14:26.830918</v>
      </c>
      <c r="C449">
        <v>-71</v>
      </c>
    </row>
    <row r="450" spans="1:3" x14ac:dyDescent="0.25">
      <c r="A450">
        <v>38</v>
      </c>
      <c r="B450" t="str">
        <f>"3:14:26.831615"</f>
        <v>3:14:26.831615</v>
      </c>
      <c r="C450">
        <v>-63</v>
      </c>
    </row>
    <row r="451" spans="1:3" x14ac:dyDescent="0.25">
      <c r="A451">
        <v>39</v>
      </c>
      <c r="B451" t="str">
        <f>"3:14:26.832312"</f>
        <v>3:14:26.832312</v>
      </c>
      <c r="C451">
        <v>-62</v>
      </c>
    </row>
    <row r="452" spans="1:3" x14ac:dyDescent="0.25">
      <c r="A452">
        <v>37</v>
      </c>
      <c r="B452" t="str">
        <f>"3:14:28.056039"</f>
        <v>3:14:28.056039</v>
      </c>
      <c r="C452">
        <v>-71</v>
      </c>
    </row>
    <row r="453" spans="1:3" x14ac:dyDescent="0.25">
      <c r="A453">
        <v>38</v>
      </c>
      <c r="B453" t="str">
        <f>"3:14:28.056736"</f>
        <v>3:14:28.056736</v>
      </c>
      <c r="C453">
        <v>-63</v>
      </c>
    </row>
    <row r="454" spans="1:3" x14ac:dyDescent="0.25">
      <c r="A454">
        <v>39</v>
      </c>
      <c r="B454" t="str">
        <f>"3:14:28.057433"</f>
        <v>3:14:28.057433</v>
      </c>
      <c r="C454">
        <v>-62</v>
      </c>
    </row>
    <row r="455" spans="1:3" x14ac:dyDescent="0.25">
      <c r="A455">
        <v>37</v>
      </c>
      <c r="B455" t="str">
        <f>"3:14:29.310656"</f>
        <v>3:14:29.310656</v>
      </c>
      <c r="C455">
        <v>-71</v>
      </c>
    </row>
    <row r="456" spans="1:3" x14ac:dyDescent="0.25">
      <c r="A456">
        <v>38</v>
      </c>
      <c r="B456" t="str">
        <f>"3:14:29.311353"</f>
        <v>3:14:29.311353</v>
      </c>
      <c r="C456">
        <v>-63</v>
      </c>
    </row>
    <row r="457" spans="1:3" x14ac:dyDescent="0.25">
      <c r="A457">
        <v>39</v>
      </c>
      <c r="B457" t="str">
        <f>"3:14:29.312050"</f>
        <v>3:14:29.312050</v>
      </c>
      <c r="C457">
        <v>-62</v>
      </c>
    </row>
    <row r="458" spans="1:3" x14ac:dyDescent="0.25">
      <c r="A458">
        <v>37</v>
      </c>
      <c r="B458" t="str">
        <f>"3:14:30.556370"</f>
        <v>3:14:30.556370</v>
      </c>
      <c r="C458">
        <v>-71</v>
      </c>
    </row>
    <row r="459" spans="1:3" x14ac:dyDescent="0.25">
      <c r="A459">
        <v>38</v>
      </c>
      <c r="B459" t="str">
        <f>"3:14:30.557067"</f>
        <v>3:14:30.557067</v>
      </c>
      <c r="C459">
        <v>-63</v>
      </c>
    </row>
    <row r="460" spans="1:3" x14ac:dyDescent="0.25">
      <c r="A460">
        <v>39</v>
      </c>
      <c r="B460" t="str">
        <f>"3:14:30.557764"</f>
        <v>3:14:30.557764</v>
      </c>
      <c r="C460">
        <v>-62</v>
      </c>
    </row>
    <row r="461" spans="1:3" x14ac:dyDescent="0.25">
      <c r="A461">
        <v>37</v>
      </c>
      <c r="B461" t="str">
        <f>"3:14:31.787168"</f>
        <v>3:14:31.787168</v>
      </c>
      <c r="C461">
        <v>-71</v>
      </c>
    </row>
    <row r="462" spans="1:3" x14ac:dyDescent="0.25">
      <c r="A462">
        <v>38</v>
      </c>
      <c r="B462" t="str">
        <f>"3:14:31.787865"</f>
        <v>3:14:31.787865</v>
      </c>
      <c r="C462">
        <v>-63</v>
      </c>
    </row>
    <row r="463" spans="1:3" x14ac:dyDescent="0.25">
      <c r="A463">
        <v>39</v>
      </c>
      <c r="B463" t="str">
        <f>"3:14:31.788562"</f>
        <v>3:14:31.788562</v>
      </c>
      <c r="C463">
        <v>-62</v>
      </c>
    </row>
    <row r="464" spans="1:3" x14ac:dyDescent="0.25">
      <c r="A464">
        <v>37</v>
      </c>
      <c r="B464" t="str">
        <f>"3:14:33.031096"</f>
        <v>3:14:33.031096</v>
      </c>
      <c r="C464">
        <v>-71</v>
      </c>
    </row>
    <row r="465" spans="1:3" x14ac:dyDescent="0.25">
      <c r="A465">
        <v>38</v>
      </c>
      <c r="B465" t="str">
        <f>"3:14:33.031792"</f>
        <v>3:14:33.031792</v>
      </c>
      <c r="C465">
        <v>-63</v>
      </c>
    </row>
    <row r="466" spans="1:3" x14ac:dyDescent="0.25">
      <c r="A466">
        <v>39</v>
      </c>
      <c r="B466" t="str">
        <f>"3:14:33.032490"</f>
        <v>3:14:33.032490</v>
      </c>
      <c r="C466">
        <v>-62</v>
      </c>
    </row>
    <row r="467" spans="1:3" x14ac:dyDescent="0.25">
      <c r="A467">
        <v>37</v>
      </c>
      <c r="B467" t="str">
        <f>"3:14:34.274423"</f>
        <v>3:14:34.274423</v>
      </c>
      <c r="C467">
        <v>-71</v>
      </c>
    </row>
    <row r="468" spans="1:3" x14ac:dyDescent="0.25">
      <c r="A468">
        <v>38</v>
      </c>
      <c r="B468" t="str">
        <f>"3:14:34.275120"</f>
        <v>3:14:34.275120</v>
      </c>
      <c r="C468">
        <v>-63</v>
      </c>
    </row>
    <row r="469" spans="1:3" x14ac:dyDescent="0.25">
      <c r="A469">
        <v>39</v>
      </c>
      <c r="B469" t="str">
        <f>"3:14:34.275817"</f>
        <v>3:14:34.275817</v>
      </c>
      <c r="C469">
        <v>-62</v>
      </c>
    </row>
    <row r="470" spans="1:3" x14ac:dyDescent="0.25">
      <c r="A470">
        <v>37</v>
      </c>
      <c r="B470" t="str">
        <f>"3:14:36.773201"</f>
        <v>3:14:36.773201</v>
      </c>
      <c r="C470">
        <v>-71</v>
      </c>
    </row>
    <row r="471" spans="1:3" x14ac:dyDescent="0.25">
      <c r="A471">
        <v>38</v>
      </c>
      <c r="B471" t="str">
        <f>"3:14:36.773898"</f>
        <v>3:14:36.773898</v>
      </c>
      <c r="C471">
        <v>-63</v>
      </c>
    </row>
    <row r="472" spans="1:3" x14ac:dyDescent="0.25">
      <c r="A472">
        <v>39</v>
      </c>
      <c r="B472" t="str">
        <f>"3:14:36.774595"</f>
        <v>3:14:36.774595</v>
      </c>
      <c r="C472">
        <v>-62</v>
      </c>
    </row>
    <row r="473" spans="1:3" x14ac:dyDescent="0.25">
      <c r="A473">
        <v>37</v>
      </c>
      <c r="B473" t="str">
        <f>"3:14:38.015629"</f>
        <v>3:14:38.015629</v>
      </c>
      <c r="C473">
        <v>-72</v>
      </c>
    </row>
    <row r="474" spans="1:3" x14ac:dyDescent="0.25">
      <c r="A474">
        <v>38</v>
      </c>
      <c r="B474" t="str">
        <f>"3:14:38.016326"</f>
        <v>3:14:38.016326</v>
      </c>
      <c r="C474">
        <v>-63</v>
      </c>
    </row>
    <row r="475" spans="1:3" x14ac:dyDescent="0.25">
      <c r="A475">
        <v>39</v>
      </c>
      <c r="B475" t="str">
        <f>"3:14:38.017023"</f>
        <v>3:14:38.017023</v>
      </c>
      <c r="C475">
        <v>-62</v>
      </c>
    </row>
    <row r="476" spans="1:3" x14ac:dyDescent="0.25">
      <c r="A476">
        <v>37</v>
      </c>
      <c r="B476" t="str">
        <f>"3:14:39.284473"</f>
        <v>3:14:39.284473</v>
      </c>
      <c r="C476">
        <v>-71</v>
      </c>
    </row>
    <row r="477" spans="1:3" x14ac:dyDescent="0.25">
      <c r="A477">
        <v>38</v>
      </c>
      <c r="B477" t="str">
        <f>"3:14:39.285170"</f>
        <v>3:14:39.285170</v>
      </c>
      <c r="C477">
        <v>-63</v>
      </c>
    </row>
    <row r="478" spans="1:3" x14ac:dyDescent="0.25">
      <c r="A478">
        <v>39</v>
      </c>
      <c r="B478" t="str">
        <f>"3:14:39.285867"</f>
        <v>3:14:39.285867</v>
      </c>
      <c r="C478">
        <v>-62</v>
      </c>
    </row>
    <row r="479" spans="1:3" x14ac:dyDescent="0.25">
      <c r="A479">
        <v>37</v>
      </c>
      <c r="B479" t="str">
        <f>"3:14:40.508857"</f>
        <v>3:14:40.508857</v>
      </c>
      <c r="C479">
        <v>-72</v>
      </c>
    </row>
    <row r="480" spans="1:3" x14ac:dyDescent="0.25">
      <c r="A480">
        <v>38</v>
      </c>
      <c r="B480" t="str">
        <f>"3:14:40.509554"</f>
        <v>3:14:40.509554</v>
      </c>
      <c r="C480">
        <v>-63</v>
      </c>
    </row>
    <row r="481" spans="1:3" x14ac:dyDescent="0.25">
      <c r="A481">
        <v>39</v>
      </c>
      <c r="B481" t="str">
        <f>"3:14:40.510251"</f>
        <v>3:14:40.510251</v>
      </c>
      <c r="C481">
        <v>-62</v>
      </c>
    </row>
    <row r="482" spans="1:3" x14ac:dyDescent="0.25">
      <c r="A482">
        <v>37</v>
      </c>
      <c r="B482" t="str">
        <f>"3:14:41.792165"</f>
        <v>3:14:41.792165</v>
      </c>
      <c r="C482">
        <v>-71</v>
      </c>
    </row>
    <row r="483" spans="1:3" x14ac:dyDescent="0.25">
      <c r="A483">
        <v>38</v>
      </c>
      <c r="B483" t="str">
        <f>"3:14:41.792862"</f>
        <v>3:14:41.792862</v>
      </c>
      <c r="C483">
        <v>-63</v>
      </c>
    </row>
    <row r="484" spans="1:3" x14ac:dyDescent="0.25">
      <c r="A484">
        <v>39</v>
      </c>
      <c r="B484" t="str">
        <f>"3:14:41.793559"</f>
        <v>3:14:41.793559</v>
      </c>
      <c r="C484">
        <v>-62</v>
      </c>
    </row>
    <row r="485" spans="1:3" x14ac:dyDescent="0.25">
      <c r="A485">
        <v>37</v>
      </c>
      <c r="B485" t="str">
        <f>"3:14:42.991636"</f>
        <v>3:14:42.991636</v>
      </c>
      <c r="C485">
        <v>-71</v>
      </c>
    </row>
    <row r="486" spans="1:3" x14ac:dyDescent="0.25">
      <c r="A486">
        <v>38</v>
      </c>
      <c r="B486" t="str">
        <f>"3:14:42.992333"</f>
        <v>3:14:42.992333</v>
      </c>
      <c r="C486">
        <v>-63</v>
      </c>
    </row>
    <row r="487" spans="1:3" x14ac:dyDescent="0.25">
      <c r="A487">
        <v>39</v>
      </c>
      <c r="B487" t="str">
        <f>"3:14:42.993030"</f>
        <v>3:14:42.993030</v>
      </c>
      <c r="C487">
        <v>-62</v>
      </c>
    </row>
    <row r="488" spans="1:3" x14ac:dyDescent="0.25">
      <c r="A488">
        <v>37</v>
      </c>
      <c r="B488" t="str">
        <f>"3:14:44.238980"</f>
        <v>3:14:44.238980</v>
      </c>
      <c r="C488">
        <v>-71</v>
      </c>
    </row>
    <row r="489" spans="1:3" x14ac:dyDescent="0.25">
      <c r="A489">
        <v>38</v>
      </c>
      <c r="B489" t="str">
        <f>"3:14:44.239677"</f>
        <v>3:14:44.239677</v>
      </c>
      <c r="C489">
        <v>-63</v>
      </c>
    </row>
    <row r="490" spans="1:3" x14ac:dyDescent="0.25">
      <c r="A490">
        <v>39</v>
      </c>
      <c r="B490" t="str">
        <f>"3:14:44.240374"</f>
        <v>3:14:44.240374</v>
      </c>
      <c r="C490">
        <v>-62</v>
      </c>
    </row>
    <row r="491" spans="1:3" x14ac:dyDescent="0.25">
      <c r="A491">
        <v>37</v>
      </c>
      <c r="B491" t="str">
        <f>"3:14:45.492991"</f>
        <v>3:14:45.492991</v>
      </c>
      <c r="C491">
        <v>-71</v>
      </c>
    </row>
    <row r="492" spans="1:3" x14ac:dyDescent="0.25">
      <c r="A492">
        <v>38</v>
      </c>
      <c r="B492" t="str">
        <f>"3:14:45.493688"</f>
        <v>3:14:45.493688</v>
      </c>
      <c r="C492">
        <v>-63</v>
      </c>
    </row>
    <row r="493" spans="1:3" x14ac:dyDescent="0.25">
      <c r="A493">
        <v>39</v>
      </c>
      <c r="B493" t="str">
        <f>"3:14:45.494385"</f>
        <v>3:14:45.494385</v>
      </c>
      <c r="C493">
        <v>-62</v>
      </c>
    </row>
    <row r="494" spans="1:3" x14ac:dyDescent="0.25">
      <c r="A494">
        <v>37</v>
      </c>
      <c r="B494" t="str">
        <f>"3:14:46.740168"</f>
        <v>3:14:46.740168</v>
      </c>
      <c r="C494">
        <v>-72</v>
      </c>
    </row>
    <row r="495" spans="1:3" x14ac:dyDescent="0.25">
      <c r="A495">
        <v>38</v>
      </c>
      <c r="B495" t="str">
        <f>"3:14:46.740865"</f>
        <v>3:14:46.740865</v>
      </c>
      <c r="C495">
        <v>-63</v>
      </c>
    </row>
    <row r="496" spans="1:3" x14ac:dyDescent="0.25">
      <c r="A496">
        <v>39</v>
      </c>
      <c r="B496" t="str">
        <f>"3:14:46.741562"</f>
        <v>3:14:46.741562</v>
      </c>
      <c r="C496">
        <v>-62</v>
      </c>
    </row>
    <row r="497" spans="1:3" x14ac:dyDescent="0.25">
      <c r="A497">
        <v>37</v>
      </c>
      <c r="B497" t="str">
        <f>"3:14:47.975328"</f>
        <v>3:14:47.975328</v>
      </c>
      <c r="C497">
        <v>-71</v>
      </c>
    </row>
    <row r="498" spans="1:3" x14ac:dyDescent="0.25">
      <c r="A498">
        <v>38</v>
      </c>
      <c r="B498" t="str">
        <f>"3:14:47.976025"</f>
        <v>3:14:47.976025</v>
      </c>
      <c r="C498">
        <v>-63</v>
      </c>
    </row>
    <row r="499" spans="1:3" x14ac:dyDescent="0.25">
      <c r="A499">
        <v>39</v>
      </c>
      <c r="B499" t="str">
        <f>"3:14:47.976722"</f>
        <v>3:14:47.976722</v>
      </c>
      <c r="C499">
        <v>-62</v>
      </c>
    </row>
    <row r="500" spans="1:3" x14ac:dyDescent="0.25">
      <c r="A500">
        <v>37</v>
      </c>
      <c r="B500" t="str">
        <f>"3:14:50.504616"</f>
        <v>3:14:50.504616</v>
      </c>
      <c r="C500">
        <v>-72</v>
      </c>
    </row>
    <row r="501" spans="1:3" x14ac:dyDescent="0.25">
      <c r="A501">
        <v>38</v>
      </c>
      <c r="B501" t="str">
        <f>"3:14:50.505313"</f>
        <v>3:14:50.505313</v>
      </c>
      <c r="C501">
        <v>-63</v>
      </c>
    </row>
    <row r="502" spans="1:3" x14ac:dyDescent="0.25">
      <c r="A502">
        <v>39</v>
      </c>
      <c r="B502" t="str">
        <f>"3:14:50.506010"</f>
        <v>3:14:50.506010</v>
      </c>
      <c r="C502">
        <v>-62</v>
      </c>
    </row>
    <row r="503" spans="1:3" x14ac:dyDescent="0.25">
      <c r="A503">
        <v>37</v>
      </c>
      <c r="B503" t="str">
        <f>"3:14:51.714567"</f>
        <v>3:14:51.714567</v>
      </c>
      <c r="C503">
        <v>-71</v>
      </c>
    </row>
    <row r="504" spans="1:3" x14ac:dyDescent="0.25">
      <c r="A504">
        <v>38</v>
      </c>
      <c r="B504" t="str">
        <f>"3:14:51.715264"</f>
        <v>3:14:51.715264</v>
      </c>
      <c r="C504">
        <v>-63</v>
      </c>
    </row>
    <row r="505" spans="1:3" x14ac:dyDescent="0.25">
      <c r="A505">
        <v>39</v>
      </c>
      <c r="B505" t="str">
        <f>"3:14:51.715961"</f>
        <v>3:14:51.715961</v>
      </c>
      <c r="C505">
        <v>-62</v>
      </c>
    </row>
    <row r="506" spans="1:3" x14ac:dyDescent="0.25">
      <c r="A506">
        <v>37</v>
      </c>
      <c r="B506" t="str">
        <f>"3:14:52.957123"</f>
        <v>3:14:52.957123</v>
      </c>
      <c r="C506">
        <v>-71</v>
      </c>
    </row>
    <row r="507" spans="1:3" x14ac:dyDescent="0.25">
      <c r="A507">
        <v>38</v>
      </c>
      <c r="B507" t="str">
        <f>"3:14:52.957820"</f>
        <v>3:14:52.957820</v>
      </c>
      <c r="C507">
        <v>-63</v>
      </c>
    </row>
    <row r="508" spans="1:3" x14ac:dyDescent="0.25">
      <c r="A508">
        <v>39</v>
      </c>
      <c r="B508" t="str">
        <f>"3:14:52.958517"</f>
        <v>3:14:52.958517</v>
      </c>
      <c r="C508">
        <v>-62</v>
      </c>
    </row>
    <row r="509" spans="1:3" x14ac:dyDescent="0.25">
      <c r="A509">
        <v>37</v>
      </c>
      <c r="B509" t="str">
        <f>"3:14:54.197122"</f>
        <v>3:14:54.197122</v>
      </c>
      <c r="C509">
        <v>-71</v>
      </c>
    </row>
    <row r="510" spans="1:3" x14ac:dyDescent="0.25">
      <c r="A510">
        <v>38</v>
      </c>
      <c r="B510" t="str">
        <f>"3:14:54.197819"</f>
        <v>3:14:54.197819</v>
      </c>
      <c r="C510">
        <v>-63</v>
      </c>
    </row>
    <row r="511" spans="1:3" x14ac:dyDescent="0.25">
      <c r="A511">
        <v>39</v>
      </c>
      <c r="B511" t="str">
        <f>"3:14:54.198516"</f>
        <v>3:14:54.198516</v>
      </c>
      <c r="C511">
        <v>-62</v>
      </c>
    </row>
    <row r="512" spans="1:3" x14ac:dyDescent="0.25">
      <c r="A512">
        <v>37</v>
      </c>
      <c r="B512" t="str">
        <f>"3:14:55.477689"</f>
        <v>3:14:55.477689</v>
      </c>
      <c r="C512">
        <v>-71</v>
      </c>
    </row>
    <row r="513" spans="1:3" x14ac:dyDescent="0.25">
      <c r="A513">
        <v>38</v>
      </c>
      <c r="B513" t="str">
        <f>"3:14:55.478386"</f>
        <v>3:14:55.478386</v>
      </c>
      <c r="C513">
        <v>-63</v>
      </c>
    </row>
    <row r="514" spans="1:3" x14ac:dyDescent="0.25">
      <c r="A514">
        <v>39</v>
      </c>
      <c r="B514" t="str">
        <f>"3:14:55.479083"</f>
        <v>3:14:55.479083</v>
      </c>
      <c r="C514">
        <v>-62</v>
      </c>
    </row>
    <row r="515" spans="1:3" x14ac:dyDescent="0.25">
      <c r="A515">
        <v>37</v>
      </c>
      <c r="B515" t="str">
        <f>"3:14:56.692051"</f>
        <v>3:14:56.692051</v>
      </c>
      <c r="C515">
        <v>-72</v>
      </c>
    </row>
    <row r="516" spans="1:3" x14ac:dyDescent="0.25">
      <c r="A516">
        <v>38</v>
      </c>
      <c r="B516" t="str">
        <f>"3:14:56.692748"</f>
        <v>3:14:56.692748</v>
      </c>
      <c r="C516">
        <v>-63</v>
      </c>
    </row>
    <row r="517" spans="1:3" x14ac:dyDescent="0.25">
      <c r="A517">
        <v>39</v>
      </c>
      <c r="B517" t="str">
        <f>"3:14:56.693445"</f>
        <v>3:14:56.693445</v>
      </c>
      <c r="C517">
        <v>-62</v>
      </c>
    </row>
    <row r="518" spans="1:3" x14ac:dyDescent="0.25">
      <c r="A518">
        <v>37</v>
      </c>
      <c r="B518" t="str">
        <f>"3:14:57.931928"</f>
        <v>3:14:57.931928</v>
      </c>
      <c r="C518">
        <v>-72</v>
      </c>
    </row>
    <row r="519" spans="1:3" x14ac:dyDescent="0.25">
      <c r="A519">
        <v>38</v>
      </c>
      <c r="B519" t="str">
        <f>"3:14:57.932625"</f>
        <v>3:14:57.932625</v>
      </c>
      <c r="C519">
        <v>-63</v>
      </c>
    </row>
    <row r="520" spans="1:3" x14ac:dyDescent="0.25">
      <c r="A520">
        <v>39</v>
      </c>
      <c r="B520" t="str">
        <f>"3:14:57.933322"</f>
        <v>3:14:57.933322</v>
      </c>
      <c r="C520">
        <v>-62</v>
      </c>
    </row>
    <row r="521" spans="1:3" x14ac:dyDescent="0.25">
      <c r="A521">
        <v>37</v>
      </c>
      <c r="B521" t="str">
        <f>"3:14:59.211705"</f>
        <v>3:14:59.211705</v>
      </c>
      <c r="C521">
        <v>-72</v>
      </c>
    </row>
    <row r="522" spans="1:3" x14ac:dyDescent="0.25">
      <c r="A522">
        <v>38</v>
      </c>
      <c r="B522" t="str">
        <f>"3:14:59.212402"</f>
        <v>3:14:59.212402</v>
      </c>
      <c r="C522">
        <v>-64</v>
      </c>
    </row>
    <row r="523" spans="1:3" x14ac:dyDescent="0.25">
      <c r="A523">
        <v>39</v>
      </c>
      <c r="B523" t="str">
        <f>"3:14:59.213099"</f>
        <v>3:14:59.213099</v>
      </c>
      <c r="C523">
        <v>-62</v>
      </c>
    </row>
    <row r="524" spans="1:3" x14ac:dyDescent="0.25">
      <c r="A524">
        <v>37</v>
      </c>
      <c r="B524" t="str">
        <f>"3:15:00.416007"</f>
        <v>3:15:00.416007</v>
      </c>
      <c r="C524">
        <v>-71</v>
      </c>
    </row>
    <row r="525" spans="1:3" x14ac:dyDescent="0.25">
      <c r="A525">
        <v>38</v>
      </c>
      <c r="B525" t="str">
        <f>"3:15:00.416704"</f>
        <v>3:15:00.416704</v>
      </c>
      <c r="C525">
        <v>-63</v>
      </c>
    </row>
    <row r="526" spans="1:3" x14ac:dyDescent="0.25">
      <c r="A526">
        <v>39</v>
      </c>
      <c r="B526" t="str">
        <f>"3:15:00.417401"</f>
        <v>3:15:00.417401</v>
      </c>
      <c r="C526">
        <v>-62</v>
      </c>
    </row>
    <row r="527" spans="1:3" x14ac:dyDescent="0.25">
      <c r="A527">
        <v>37</v>
      </c>
      <c r="B527" t="str">
        <f>"3:15:01.683221"</f>
        <v>3:15:01.683221</v>
      </c>
      <c r="C527">
        <v>-72</v>
      </c>
    </row>
    <row r="528" spans="1:3" x14ac:dyDescent="0.25">
      <c r="A528">
        <v>38</v>
      </c>
      <c r="B528" t="str">
        <f>"3:15:01.683918"</f>
        <v>3:15:01.683918</v>
      </c>
      <c r="C528">
        <v>-63</v>
      </c>
    </row>
    <row r="529" spans="1:3" x14ac:dyDescent="0.25">
      <c r="A529">
        <v>39</v>
      </c>
      <c r="B529" t="str">
        <f>"3:15:01.684615"</f>
        <v>3:15:01.684615</v>
      </c>
      <c r="C529">
        <v>-62</v>
      </c>
    </row>
    <row r="530" spans="1:3" x14ac:dyDescent="0.25">
      <c r="A530">
        <v>37</v>
      </c>
      <c r="B530" t="str">
        <f>"3:15:02.946489"</f>
        <v>3:15:02.946489</v>
      </c>
      <c r="C530">
        <v>-72</v>
      </c>
    </row>
    <row r="531" spans="1:3" x14ac:dyDescent="0.25">
      <c r="A531">
        <v>38</v>
      </c>
      <c r="B531" t="str">
        <f>"3:15:02.947186"</f>
        <v>3:15:02.947186</v>
      </c>
      <c r="C531">
        <v>-63</v>
      </c>
    </row>
    <row r="532" spans="1:3" x14ac:dyDescent="0.25">
      <c r="A532">
        <v>39</v>
      </c>
      <c r="B532" t="str">
        <f>"3:15:02.947883"</f>
        <v>3:15:02.947883</v>
      </c>
      <c r="C532">
        <v>-62</v>
      </c>
    </row>
    <row r="533" spans="1:3" x14ac:dyDescent="0.25">
      <c r="A533">
        <v>37</v>
      </c>
      <c r="B533" t="str">
        <f>"3:15:04.158685"</f>
        <v>3:15:04.158685</v>
      </c>
      <c r="C533">
        <v>-72</v>
      </c>
    </row>
    <row r="534" spans="1:3" x14ac:dyDescent="0.25">
      <c r="A534">
        <v>38</v>
      </c>
      <c r="B534" t="str">
        <f>"3:15:04.159382"</f>
        <v>3:15:04.159382</v>
      </c>
      <c r="C534">
        <v>-63</v>
      </c>
    </row>
    <row r="535" spans="1:3" x14ac:dyDescent="0.25">
      <c r="A535">
        <v>39</v>
      </c>
      <c r="B535" t="str">
        <f>"3:15:04.160079"</f>
        <v>3:15:04.160079</v>
      </c>
      <c r="C535">
        <v>-62</v>
      </c>
    </row>
    <row r="536" spans="1:3" x14ac:dyDescent="0.25">
      <c r="A536">
        <v>37</v>
      </c>
      <c r="B536" t="str">
        <f>"3:15:05.417639"</f>
        <v>3:15:05.417639</v>
      </c>
      <c r="C536">
        <v>-72</v>
      </c>
    </row>
    <row r="537" spans="1:3" x14ac:dyDescent="0.25">
      <c r="A537">
        <v>38</v>
      </c>
      <c r="B537" t="str">
        <f>"3:15:05.418336"</f>
        <v>3:15:05.418336</v>
      </c>
      <c r="C537">
        <v>-63</v>
      </c>
    </row>
    <row r="538" spans="1:3" x14ac:dyDescent="0.25">
      <c r="A538">
        <v>39</v>
      </c>
      <c r="B538" t="str">
        <f>"3:15:05.419033"</f>
        <v>3:15:05.419033</v>
      </c>
      <c r="C538">
        <v>-62</v>
      </c>
    </row>
    <row r="539" spans="1:3" x14ac:dyDescent="0.25">
      <c r="A539">
        <v>37</v>
      </c>
      <c r="B539" t="str">
        <f>"3:15:06.656685"</f>
        <v>3:15:06.656685</v>
      </c>
      <c r="C539">
        <v>-71</v>
      </c>
    </row>
    <row r="540" spans="1:3" x14ac:dyDescent="0.25">
      <c r="A540">
        <v>38</v>
      </c>
      <c r="B540" t="str">
        <f>"3:15:06.657382"</f>
        <v>3:15:06.657382</v>
      </c>
      <c r="C540">
        <v>-63</v>
      </c>
    </row>
    <row r="541" spans="1:3" x14ac:dyDescent="0.25">
      <c r="A541">
        <v>39</v>
      </c>
      <c r="B541" t="str">
        <f>"3:15:06.658079"</f>
        <v>3:15:06.658079</v>
      </c>
      <c r="C541">
        <v>-62</v>
      </c>
    </row>
    <row r="542" spans="1:3" x14ac:dyDescent="0.25">
      <c r="A542">
        <v>37</v>
      </c>
      <c r="B542" t="str">
        <f>"3:15:07.892914"</f>
        <v>3:15:07.892914</v>
      </c>
      <c r="C542">
        <v>-72</v>
      </c>
    </row>
    <row r="543" spans="1:3" x14ac:dyDescent="0.25">
      <c r="A543">
        <v>38</v>
      </c>
      <c r="B543" t="str">
        <f>"3:15:07.893611"</f>
        <v>3:15:07.893611</v>
      </c>
      <c r="C543">
        <v>-63</v>
      </c>
    </row>
    <row r="544" spans="1:3" x14ac:dyDescent="0.25">
      <c r="A544">
        <v>39</v>
      </c>
      <c r="B544" t="str">
        <f>"3:15:07.894308"</f>
        <v>3:15:07.894308</v>
      </c>
      <c r="C544">
        <v>-62</v>
      </c>
    </row>
    <row r="545" spans="1:3" x14ac:dyDescent="0.25">
      <c r="A545">
        <v>37</v>
      </c>
      <c r="B545" t="str">
        <f>"3:15:09.159624"</f>
        <v>3:15:09.159624</v>
      </c>
      <c r="C545">
        <v>-72</v>
      </c>
    </row>
    <row r="546" spans="1:3" x14ac:dyDescent="0.25">
      <c r="A546">
        <v>38</v>
      </c>
      <c r="B546" t="str">
        <f>"3:15:09.160321"</f>
        <v>3:15:09.160321</v>
      </c>
      <c r="C546">
        <v>-63</v>
      </c>
    </row>
    <row r="547" spans="1:3" x14ac:dyDescent="0.25">
      <c r="A547">
        <v>39</v>
      </c>
      <c r="B547" t="str">
        <f>"3:15:09.161018"</f>
        <v>3:15:09.161018</v>
      </c>
      <c r="C547">
        <v>-62</v>
      </c>
    </row>
    <row r="548" spans="1:3" x14ac:dyDescent="0.25">
      <c r="A548">
        <v>37</v>
      </c>
      <c r="B548" t="str">
        <f>"3:15:10.420985"</f>
        <v>3:15:10.420985</v>
      </c>
      <c r="C548">
        <v>-72</v>
      </c>
    </row>
    <row r="549" spans="1:3" x14ac:dyDescent="0.25">
      <c r="A549">
        <v>38</v>
      </c>
      <c r="B549" t="str">
        <f>"3:15:10.421682"</f>
        <v>3:15:10.421682</v>
      </c>
      <c r="C549">
        <v>-63</v>
      </c>
    </row>
    <row r="550" spans="1:3" x14ac:dyDescent="0.25">
      <c r="A550">
        <v>39</v>
      </c>
      <c r="B550" t="str">
        <f>"3:15:10.422379"</f>
        <v>3:15:10.422379</v>
      </c>
      <c r="C550">
        <v>-62</v>
      </c>
    </row>
    <row r="551" spans="1:3" x14ac:dyDescent="0.25">
      <c r="A551">
        <v>37</v>
      </c>
      <c r="B551" t="str">
        <f>"3:15:11.629567"</f>
        <v>3:15:11.629567</v>
      </c>
      <c r="C551">
        <v>-72</v>
      </c>
    </row>
    <row r="552" spans="1:3" x14ac:dyDescent="0.25">
      <c r="A552">
        <v>38</v>
      </c>
      <c r="B552" t="str">
        <f>"3:15:11.630264"</f>
        <v>3:15:11.630264</v>
      </c>
      <c r="C552">
        <v>-63</v>
      </c>
    </row>
    <row r="553" spans="1:3" x14ac:dyDescent="0.25">
      <c r="A553">
        <v>39</v>
      </c>
      <c r="B553" t="str">
        <f>"3:15:11.630961"</f>
        <v>3:15:11.630961</v>
      </c>
      <c r="C553">
        <v>-62</v>
      </c>
    </row>
    <row r="554" spans="1:3" x14ac:dyDescent="0.25">
      <c r="A554">
        <v>37</v>
      </c>
      <c r="B554" t="str">
        <f>"3:15:12.889043"</f>
        <v>3:15:12.889043</v>
      </c>
      <c r="C554">
        <v>-72</v>
      </c>
    </row>
    <row r="555" spans="1:3" x14ac:dyDescent="0.25">
      <c r="A555">
        <v>39</v>
      </c>
      <c r="B555" t="str">
        <f>"3:15:12.890437"</f>
        <v>3:15:12.890437</v>
      </c>
      <c r="C555">
        <v>-62</v>
      </c>
    </row>
    <row r="556" spans="1:3" x14ac:dyDescent="0.25">
      <c r="A556">
        <v>37</v>
      </c>
      <c r="B556" t="str">
        <f>"3:15:14.115647"</f>
        <v>3:15:14.115647</v>
      </c>
      <c r="C556">
        <v>-71</v>
      </c>
    </row>
    <row r="557" spans="1:3" x14ac:dyDescent="0.25">
      <c r="A557">
        <v>38</v>
      </c>
      <c r="B557" t="str">
        <f>"3:15:14.116344"</f>
        <v>3:15:14.116344</v>
      </c>
      <c r="C557">
        <v>-63</v>
      </c>
    </row>
    <row r="558" spans="1:3" x14ac:dyDescent="0.25">
      <c r="A558">
        <v>39</v>
      </c>
      <c r="B558" t="str">
        <f>"3:15:14.117041"</f>
        <v>3:15:14.117041</v>
      </c>
      <c r="C558">
        <v>-62</v>
      </c>
    </row>
    <row r="559" spans="1:3" x14ac:dyDescent="0.25">
      <c r="A559">
        <v>39</v>
      </c>
      <c r="B559" t="str">
        <f>"3:15:15.374243"</f>
        <v>3:15:15.374243</v>
      </c>
      <c r="C559">
        <v>-62</v>
      </c>
    </row>
    <row r="560" spans="1:3" x14ac:dyDescent="0.25">
      <c r="A560">
        <v>37</v>
      </c>
      <c r="B560" t="str">
        <f>"3:15:16.610007"</f>
        <v>3:15:16.610007</v>
      </c>
      <c r="C560">
        <v>-72</v>
      </c>
    </row>
    <row r="561" spans="1:3" x14ac:dyDescent="0.25">
      <c r="A561">
        <v>38</v>
      </c>
      <c r="B561" t="str">
        <f>"3:15:16.610704"</f>
        <v>3:15:16.610704</v>
      </c>
      <c r="C561">
        <v>-63</v>
      </c>
    </row>
    <row r="562" spans="1:3" x14ac:dyDescent="0.25">
      <c r="A562">
        <v>39</v>
      </c>
      <c r="B562" t="str">
        <f>"3:15:16.611401"</f>
        <v>3:15:16.611401</v>
      </c>
      <c r="C562">
        <v>-62</v>
      </c>
    </row>
    <row r="563" spans="1:3" x14ac:dyDescent="0.25">
      <c r="A563">
        <v>37</v>
      </c>
      <c r="B563" t="str">
        <f>"3:15:17.866021"</f>
        <v>3:15:17.866021</v>
      </c>
      <c r="C563">
        <v>-72</v>
      </c>
    </row>
    <row r="564" spans="1:3" x14ac:dyDescent="0.25">
      <c r="A564">
        <v>38</v>
      </c>
      <c r="B564" t="str">
        <f>"3:15:17.866717"</f>
        <v>3:15:17.866717</v>
      </c>
      <c r="C564">
        <v>-63</v>
      </c>
    </row>
    <row r="565" spans="1:3" x14ac:dyDescent="0.25">
      <c r="A565">
        <v>39</v>
      </c>
      <c r="B565" t="str">
        <f>"3:15:17.867414"</f>
        <v>3:15:17.867414</v>
      </c>
      <c r="C565">
        <v>-62</v>
      </c>
    </row>
    <row r="566" spans="1:3" x14ac:dyDescent="0.25">
      <c r="A566">
        <v>37</v>
      </c>
      <c r="B566" t="str">
        <f>"3:15:19.129430"</f>
        <v>3:15:19.129430</v>
      </c>
      <c r="C566">
        <v>-72</v>
      </c>
    </row>
    <row r="567" spans="1:3" x14ac:dyDescent="0.25">
      <c r="A567">
        <v>38</v>
      </c>
      <c r="B567" t="str">
        <f>"3:15:19.130127"</f>
        <v>3:15:19.130127</v>
      </c>
      <c r="C567">
        <v>-63</v>
      </c>
    </row>
    <row r="568" spans="1:3" x14ac:dyDescent="0.25">
      <c r="A568">
        <v>39</v>
      </c>
      <c r="B568" t="str">
        <f>"3:15:19.130824"</f>
        <v>3:15:19.130824</v>
      </c>
      <c r="C568">
        <v>-62</v>
      </c>
    </row>
    <row r="569" spans="1:3" x14ac:dyDescent="0.25">
      <c r="A569">
        <v>37</v>
      </c>
      <c r="B569" t="str">
        <f>"3:15:20.339513"</f>
        <v>3:15:20.339513</v>
      </c>
      <c r="C569">
        <v>-72</v>
      </c>
    </row>
    <row r="570" spans="1:3" x14ac:dyDescent="0.25">
      <c r="A570">
        <v>38</v>
      </c>
      <c r="B570" t="str">
        <f>"3:15:20.340210"</f>
        <v>3:15:20.340210</v>
      </c>
      <c r="C570">
        <v>-64</v>
      </c>
    </row>
    <row r="571" spans="1:3" x14ac:dyDescent="0.25">
      <c r="A571">
        <v>39</v>
      </c>
      <c r="B571" t="str">
        <f>"3:15:20.340907"</f>
        <v>3:15:20.340907</v>
      </c>
      <c r="C571">
        <v>-62</v>
      </c>
    </row>
    <row r="572" spans="1:3" x14ac:dyDescent="0.25">
      <c r="A572">
        <v>37</v>
      </c>
      <c r="B572" t="str">
        <f>"3:15:21.594155"</f>
        <v>3:15:21.594155</v>
      </c>
      <c r="C572">
        <v>-72</v>
      </c>
    </row>
    <row r="573" spans="1:3" x14ac:dyDescent="0.25">
      <c r="A573">
        <v>38</v>
      </c>
      <c r="B573" t="str">
        <f>"3:15:21.594851"</f>
        <v>3:15:21.594851</v>
      </c>
      <c r="C573">
        <v>-63</v>
      </c>
    </row>
    <row r="574" spans="1:3" x14ac:dyDescent="0.25">
      <c r="A574">
        <v>39</v>
      </c>
      <c r="B574" t="str">
        <f>"3:15:21.595549"</f>
        <v>3:15:21.595549</v>
      </c>
      <c r="C574">
        <v>-62</v>
      </c>
    </row>
    <row r="575" spans="1:3" x14ac:dyDescent="0.25">
      <c r="A575">
        <v>37</v>
      </c>
      <c r="B575" t="str">
        <f>"3:15:22.839428"</f>
        <v>3:15:22.839428</v>
      </c>
      <c r="C575">
        <v>-72</v>
      </c>
    </row>
    <row r="576" spans="1:3" x14ac:dyDescent="0.25">
      <c r="A576">
        <v>38</v>
      </c>
      <c r="B576" t="str">
        <f>"3:15:22.840125"</f>
        <v>3:15:22.840125</v>
      </c>
      <c r="C576">
        <v>-64</v>
      </c>
    </row>
    <row r="577" spans="1:3" x14ac:dyDescent="0.25">
      <c r="A577">
        <v>39</v>
      </c>
      <c r="B577" t="str">
        <f>"3:15:22.840822"</f>
        <v>3:15:22.840822</v>
      </c>
      <c r="C577">
        <v>-62</v>
      </c>
    </row>
    <row r="578" spans="1:3" x14ac:dyDescent="0.25">
      <c r="A578">
        <v>39</v>
      </c>
      <c r="B578" t="str">
        <f>"3:15:22.841324"</f>
        <v>3:15:22.841324</v>
      </c>
      <c r="C578">
        <v>-67</v>
      </c>
    </row>
    <row r="579" spans="1:3" x14ac:dyDescent="0.25">
      <c r="A579">
        <v>39</v>
      </c>
      <c r="B579" t="str">
        <f>"3:15:22.841650"</f>
        <v>3:15:22.841650</v>
      </c>
      <c r="C579">
        <v>-61</v>
      </c>
    </row>
    <row r="580" spans="1:3" x14ac:dyDescent="0.25">
      <c r="A580">
        <v>37</v>
      </c>
      <c r="B580" t="str">
        <f>"3:15:24.080251"</f>
        <v>3:15:24.080251</v>
      </c>
      <c r="C580">
        <v>-71</v>
      </c>
    </row>
    <row r="581" spans="1:3" x14ac:dyDescent="0.25">
      <c r="A581">
        <v>38</v>
      </c>
      <c r="B581" t="str">
        <f>"3:15:24.080948"</f>
        <v>3:15:24.080948</v>
      </c>
      <c r="C581">
        <v>-64</v>
      </c>
    </row>
    <row r="582" spans="1:3" x14ac:dyDescent="0.25">
      <c r="A582">
        <v>39</v>
      </c>
      <c r="B582" t="str">
        <f>"3:15:24.081645"</f>
        <v>3:15:24.081645</v>
      </c>
      <c r="C582">
        <v>-62</v>
      </c>
    </row>
    <row r="583" spans="1:3" x14ac:dyDescent="0.25">
      <c r="A583">
        <v>38</v>
      </c>
      <c r="B583" t="str">
        <f>"3:15:25.339334"</f>
        <v>3:15:25.339334</v>
      </c>
      <c r="C583">
        <v>-64</v>
      </c>
    </row>
    <row r="584" spans="1:3" x14ac:dyDescent="0.25">
      <c r="A584">
        <v>39</v>
      </c>
      <c r="B584" t="str">
        <f>"3:15:25.340031"</f>
        <v>3:15:25.340031</v>
      </c>
      <c r="C584">
        <v>-62</v>
      </c>
    </row>
    <row r="585" spans="1:3" x14ac:dyDescent="0.25">
      <c r="A585">
        <v>37</v>
      </c>
      <c r="B585" t="str">
        <f>"3:15:26.572352"</f>
        <v>3:15:26.572352</v>
      </c>
      <c r="C585">
        <v>-72</v>
      </c>
    </row>
    <row r="586" spans="1:3" x14ac:dyDescent="0.25">
      <c r="A586">
        <v>38</v>
      </c>
      <c r="B586" t="str">
        <f>"3:15:26.573049"</f>
        <v>3:15:26.573049</v>
      </c>
      <c r="C586">
        <v>-63</v>
      </c>
    </row>
    <row r="587" spans="1:3" x14ac:dyDescent="0.25">
      <c r="A587">
        <v>39</v>
      </c>
      <c r="B587" t="str">
        <f>"3:15:26.573746"</f>
        <v>3:15:26.573746</v>
      </c>
      <c r="C587">
        <v>-62</v>
      </c>
    </row>
    <row r="588" spans="1:3" x14ac:dyDescent="0.25">
      <c r="A588">
        <v>37</v>
      </c>
      <c r="B588" t="str">
        <f>"3:15:27.845606"</f>
        <v>3:15:27.845606</v>
      </c>
      <c r="C588">
        <v>-71</v>
      </c>
    </row>
    <row r="589" spans="1:3" x14ac:dyDescent="0.25">
      <c r="A589">
        <v>38</v>
      </c>
      <c r="B589" t="str">
        <f>"3:15:27.846303"</f>
        <v>3:15:27.846303</v>
      </c>
      <c r="C589">
        <v>-63</v>
      </c>
    </row>
    <row r="590" spans="1:3" x14ac:dyDescent="0.25">
      <c r="A590">
        <v>39</v>
      </c>
      <c r="B590" t="str">
        <f>"3:15:27.847000"</f>
        <v>3:15:27.847000</v>
      </c>
      <c r="C590">
        <v>-62</v>
      </c>
    </row>
    <row r="591" spans="1:3" x14ac:dyDescent="0.25">
      <c r="A591">
        <v>37</v>
      </c>
      <c r="B591" t="str">
        <f>"3:15:30.305786"</f>
        <v>3:15:30.305786</v>
      </c>
      <c r="C591">
        <v>-72</v>
      </c>
    </row>
    <row r="592" spans="1:3" x14ac:dyDescent="0.25">
      <c r="A592">
        <v>38</v>
      </c>
      <c r="B592" t="str">
        <f>"3:15:30.306483"</f>
        <v>3:15:30.306483</v>
      </c>
      <c r="C592">
        <v>-64</v>
      </c>
    </row>
    <row r="593" spans="1:3" x14ac:dyDescent="0.25">
      <c r="A593">
        <v>39</v>
      </c>
      <c r="B593" t="str">
        <f>"3:15:30.307180"</f>
        <v>3:15:30.307180</v>
      </c>
      <c r="C593">
        <v>-62</v>
      </c>
    </row>
    <row r="594" spans="1:3" x14ac:dyDescent="0.25">
      <c r="A594">
        <v>37</v>
      </c>
      <c r="B594" t="str">
        <f>"3:15:31.543243"</f>
        <v>3:15:31.543243</v>
      </c>
      <c r="C594">
        <v>-72</v>
      </c>
    </row>
    <row r="595" spans="1:3" x14ac:dyDescent="0.25">
      <c r="A595">
        <v>38</v>
      </c>
      <c r="B595" t="str">
        <f>"3:15:31.543940"</f>
        <v>3:15:31.543940</v>
      </c>
      <c r="C595">
        <v>-64</v>
      </c>
    </row>
    <row r="596" spans="1:3" x14ac:dyDescent="0.25">
      <c r="A596">
        <v>39</v>
      </c>
      <c r="B596" t="str">
        <f>"3:15:31.544637"</f>
        <v>3:15:31.544637</v>
      </c>
      <c r="C596">
        <v>-62</v>
      </c>
    </row>
    <row r="597" spans="1:3" x14ac:dyDescent="0.25">
      <c r="A597">
        <v>37</v>
      </c>
      <c r="B597" t="str">
        <f>"3:15:32.790545"</f>
        <v>3:15:32.790545</v>
      </c>
      <c r="C597">
        <v>-73</v>
      </c>
    </row>
    <row r="598" spans="1:3" x14ac:dyDescent="0.25">
      <c r="A598">
        <v>38</v>
      </c>
      <c r="B598" t="str">
        <f>"3:15:32.791242"</f>
        <v>3:15:32.791242</v>
      </c>
      <c r="C598">
        <v>-63</v>
      </c>
    </row>
    <row r="599" spans="1:3" x14ac:dyDescent="0.25">
      <c r="A599">
        <v>39</v>
      </c>
      <c r="B599" t="str">
        <f>"3:15:32.791939"</f>
        <v>3:15:32.791939</v>
      </c>
      <c r="C599">
        <v>-62</v>
      </c>
    </row>
    <row r="600" spans="1:3" x14ac:dyDescent="0.25">
      <c r="A600">
        <v>37</v>
      </c>
      <c r="B600" t="str">
        <f>"3:15:34.060639"</f>
        <v>3:15:34.060639</v>
      </c>
      <c r="C600">
        <v>-72</v>
      </c>
    </row>
    <row r="601" spans="1:3" x14ac:dyDescent="0.25">
      <c r="A601">
        <v>38</v>
      </c>
      <c r="B601" t="str">
        <f>"3:15:34.061336"</f>
        <v>3:15:34.061336</v>
      </c>
      <c r="C601">
        <v>-63</v>
      </c>
    </row>
    <row r="602" spans="1:3" x14ac:dyDescent="0.25">
      <c r="A602">
        <v>39</v>
      </c>
      <c r="B602" t="str">
        <f>"3:15:34.062033"</f>
        <v>3:15:34.062033</v>
      </c>
      <c r="C602">
        <v>-62</v>
      </c>
    </row>
    <row r="603" spans="1:3" x14ac:dyDescent="0.25">
      <c r="A603">
        <v>37</v>
      </c>
      <c r="B603" t="str">
        <f>"3:15:35.296622"</f>
        <v>3:15:35.296622</v>
      </c>
      <c r="C603">
        <v>-72</v>
      </c>
    </row>
    <row r="604" spans="1:3" x14ac:dyDescent="0.25">
      <c r="A604">
        <v>37</v>
      </c>
      <c r="B604" t="str">
        <f>"3:15:35.297124"</f>
        <v>3:15:35.297124</v>
      </c>
      <c r="C604">
        <v>-64</v>
      </c>
    </row>
    <row r="605" spans="1:3" x14ac:dyDescent="0.25">
      <c r="A605">
        <v>37</v>
      </c>
      <c r="B605" t="str">
        <f>"3:15:35.297451"</f>
        <v>3:15:35.297451</v>
      </c>
      <c r="C605">
        <v>-72</v>
      </c>
    </row>
    <row r="606" spans="1:3" x14ac:dyDescent="0.25">
      <c r="A606">
        <v>38</v>
      </c>
      <c r="B606" t="str">
        <f>"3:15:35.297722"</f>
        <v>3:15:35.297722</v>
      </c>
      <c r="C606">
        <v>-63</v>
      </c>
    </row>
    <row r="607" spans="1:3" x14ac:dyDescent="0.25">
      <c r="A607">
        <v>39</v>
      </c>
      <c r="B607" t="str">
        <f>"3:15:35.298419"</f>
        <v>3:15:35.298419</v>
      </c>
      <c r="C607">
        <v>-62</v>
      </c>
    </row>
    <row r="608" spans="1:3" x14ac:dyDescent="0.25">
      <c r="A608">
        <v>37</v>
      </c>
      <c r="B608" t="str">
        <f>"3:15:36.528779"</f>
        <v>3:15:36.528779</v>
      </c>
      <c r="C608">
        <v>-72</v>
      </c>
    </row>
    <row r="609" spans="1:3" x14ac:dyDescent="0.25">
      <c r="A609">
        <v>38</v>
      </c>
      <c r="B609" t="str">
        <f>"3:15:36.529476"</f>
        <v>3:15:36.529476</v>
      </c>
      <c r="C609">
        <v>-63</v>
      </c>
    </row>
    <row r="610" spans="1:3" x14ac:dyDescent="0.25">
      <c r="A610">
        <v>39</v>
      </c>
      <c r="B610" t="str">
        <f>"3:15:36.530173"</f>
        <v>3:15:36.530173</v>
      </c>
      <c r="C610">
        <v>-62</v>
      </c>
    </row>
    <row r="611" spans="1:3" x14ac:dyDescent="0.25">
      <c r="A611">
        <v>37</v>
      </c>
      <c r="B611" t="str">
        <f>"3:15:39.024311"</f>
        <v>3:15:39.024311</v>
      </c>
      <c r="C611">
        <v>-72</v>
      </c>
    </row>
    <row r="612" spans="1:3" x14ac:dyDescent="0.25">
      <c r="A612">
        <v>38</v>
      </c>
      <c r="B612" t="str">
        <f>"3:15:39.025008"</f>
        <v>3:15:39.025008</v>
      </c>
      <c r="C612">
        <v>-63</v>
      </c>
    </row>
    <row r="613" spans="1:3" x14ac:dyDescent="0.25">
      <c r="A613">
        <v>39</v>
      </c>
      <c r="B613" t="str">
        <f>"3:15:39.025705"</f>
        <v>3:15:39.025705</v>
      </c>
      <c r="C613">
        <v>-62</v>
      </c>
    </row>
    <row r="614" spans="1:3" x14ac:dyDescent="0.25">
      <c r="A614">
        <v>37</v>
      </c>
      <c r="B614" t="str">
        <f>"3:15:40.262348"</f>
        <v>3:15:40.262348</v>
      </c>
      <c r="C614">
        <v>-72</v>
      </c>
    </row>
    <row r="615" spans="1:3" x14ac:dyDescent="0.25">
      <c r="A615">
        <v>38</v>
      </c>
      <c r="B615" t="str">
        <f>"3:15:40.263045"</f>
        <v>3:15:40.263045</v>
      </c>
      <c r="C615">
        <v>-63</v>
      </c>
    </row>
    <row r="616" spans="1:3" x14ac:dyDescent="0.25">
      <c r="A616">
        <v>39</v>
      </c>
      <c r="B616" t="str">
        <f>"3:15:40.263742"</f>
        <v>3:15:40.263742</v>
      </c>
      <c r="C616">
        <v>-62</v>
      </c>
    </row>
    <row r="617" spans="1:3" x14ac:dyDescent="0.25">
      <c r="A617">
        <v>37</v>
      </c>
      <c r="B617" t="str">
        <f>"3:15:41.524458"</f>
        <v>3:15:41.524458</v>
      </c>
      <c r="C617">
        <v>-72</v>
      </c>
    </row>
    <row r="618" spans="1:3" x14ac:dyDescent="0.25">
      <c r="A618">
        <v>38</v>
      </c>
      <c r="B618" t="str">
        <f>"3:15:41.525154"</f>
        <v>3:15:41.525154</v>
      </c>
      <c r="C618">
        <v>-63</v>
      </c>
    </row>
    <row r="619" spans="1:3" x14ac:dyDescent="0.25">
      <c r="A619">
        <v>39</v>
      </c>
      <c r="B619" t="str">
        <f>"3:15:41.525851"</f>
        <v>3:15:41.525851</v>
      </c>
      <c r="C619">
        <v>-62</v>
      </c>
    </row>
    <row r="620" spans="1:3" x14ac:dyDescent="0.25">
      <c r="A620">
        <v>39</v>
      </c>
      <c r="B620" t="str">
        <f>"3:15:41.526354"</f>
        <v>3:15:41.526354</v>
      </c>
      <c r="C620">
        <v>-67</v>
      </c>
    </row>
    <row r="621" spans="1:3" x14ac:dyDescent="0.25">
      <c r="A621">
        <v>39</v>
      </c>
      <c r="B621" t="str">
        <f>"3:15:41.526680"</f>
        <v>3:15:41.526680</v>
      </c>
      <c r="C621">
        <v>-61</v>
      </c>
    </row>
    <row r="622" spans="1:3" x14ac:dyDescent="0.25">
      <c r="A622">
        <v>37</v>
      </c>
      <c r="B622" t="str">
        <f>"3:15:42.770483"</f>
        <v>3:15:42.770483</v>
      </c>
      <c r="C622">
        <v>-72</v>
      </c>
    </row>
    <row r="623" spans="1:3" x14ac:dyDescent="0.25">
      <c r="A623">
        <v>38</v>
      </c>
      <c r="B623" t="str">
        <f>"3:15:42.771180"</f>
        <v>3:15:42.771180</v>
      </c>
      <c r="C623">
        <v>-63</v>
      </c>
    </row>
    <row r="624" spans="1:3" x14ac:dyDescent="0.25">
      <c r="A624">
        <v>39</v>
      </c>
      <c r="B624" t="str">
        <f>"3:15:42.771877"</f>
        <v>3:15:42.771877</v>
      </c>
      <c r="C624">
        <v>-62</v>
      </c>
    </row>
    <row r="625" spans="1:3" x14ac:dyDescent="0.25">
      <c r="A625">
        <v>37</v>
      </c>
      <c r="B625" t="str">
        <f>"3:15:44.011259"</f>
        <v>3:15:44.011259</v>
      </c>
      <c r="C625">
        <v>-72</v>
      </c>
    </row>
    <row r="626" spans="1:3" x14ac:dyDescent="0.25">
      <c r="A626">
        <v>38</v>
      </c>
      <c r="B626" t="str">
        <f>"3:15:44.011956"</f>
        <v>3:15:44.011956</v>
      </c>
      <c r="C626">
        <v>-63</v>
      </c>
    </row>
    <row r="627" spans="1:3" x14ac:dyDescent="0.25">
      <c r="A627">
        <v>39</v>
      </c>
      <c r="B627" t="str">
        <f>"3:15:44.012653"</f>
        <v>3:15:44.012653</v>
      </c>
      <c r="C627">
        <v>-62</v>
      </c>
    </row>
    <row r="628" spans="1:3" x14ac:dyDescent="0.25">
      <c r="A628">
        <v>37</v>
      </c>
      <c r="B628" t="str">
        <f>"3:15:46.494526"</f>
        <v>3:15:46.494526</v>
      </c>
      <c r="C628">
        <v>-72</v>
      </c>
    </row>
    <row r="629" spans="1:3" x14ac:dyDescent="0.25">
      <c r="A629">
        <v>38</v>
      </c>
      <c r="B629" t="str">
        <f>"3:15:46.495223"</f>
        <v>3:15:46.495223</v>
      </c>
      <c r="C629">
        <v>-64</v>
      </c>
    </row>
    <row r="630" spans="1:3" x14ac:dyDescent="0.25">
      <c r="A630">
        <v>39</v>
      </c>
      <c r="B630" t="str">
        <f>"3:15:46.495920"</f>
        <v>3:15:46.495920</v>
      </c>
      <c r="C630">
        <v>-62</v>
      </c>
    </row>
    <row r="631" spans="1:3" x14ac:dyDescent="0.25">
      <c r="A631">
        <v>37</v>
      </c>
      <c r="B631" t="str">
        <f>"3:15:47.752246"</f>
        <v>3:15:47.752246</v>
      </c>
      <c r="C631">
        <v>-73</v>
      </c>
    </row>
    <row r="632" spans="1:3" x14ac:dyDescent="0.25">
      <c r="A632">
        <v>38</v>
      </c>
      <c r="B632" t="str">
        <f>"3:15:47.752943"</f>
        <v>3:15:47.752943</v>
      </c>
      <c r="C632">
        <v>-63</v>
      </c>
    </row>
    <row r="633" spans="1:3" x14ac:dyDescent="0.25">
      <c r="A633">
        <v>38</v>
      </c>
      <c r="B633" t="str">
        <f>"3:15:47.753446"</f>
        <v>3:15:47.753446</v>
      </c>
      <c r="C633">
        <v>-64</v>
      </c>
    </row>
    <row r="634" spans="1:3" x14ac:dyDescent="0.25">
      <c r="A634">
        <v>38</v>
      </c>
      <c r="B634" t="str">
        <f>"3:15:47.753772"</f>
        <v>3:15:47.753772</v>
      </c>
      <c r="C634">
        <v>-63</v>
      </c>
    </row>
    <row r="635" spans="1:3" x14ac:dyDescent="0.25">
      <c r="A635">
        <v>39</v>
      </c>
      <c r="B635" t="str">
        <f>"3:15:47.754043"</f>
        <v>3:15:47.754043</v>
      </c>
      <c r="C635">
        <v>-61</v>
      </c>
    </row>
    <row r="636" spans="1:3" x14ac:dyDescent="0.25">
      <c r="A636">
        <v>37</v>
      </c>
      <c r="B636" t="str">
        <f>"3:15:48.984435"</f>
        <v>3:15:48.984435</v>
      </c>
      <c r="C636">
        <v>-72</v>
      </c>
    </row>
    <row r="637" spans="1:3" x14ac:dyDescent="0.25">
      <c r="A637">
        <v>38</v>
      </c>
      <c r="B637" t="str">
        <f>"3:15:48.985132"</f>
        <v>3:15:48.985132</v>
      </c>
      <c r="C637">
        <v>-63</v>
      </c>
    </row>
    <row r="638" spans="1:3" x14ac:dyDescent="0.25">
      <c r="A638">
        <v>39</v>
      </c>
      <c r="B638" t="str">
        <f>"3:15:48.985829"</f>
        <v>3:15:48.985829</v>
      </c>
      <c r="C638">
        <v>-62</v>
      </c>
    </row>
    <row r="639" spans="1:3" x14ac:dyDescent="0.25">
      <c r="A639">
        <v>38</v>
      </c>
      <c r="B639" t="str">
        <f>"3:15:50.235957"</f>
        <v>3:15:50.235957</v>
      </c>
      <c r="C639">
        <v>-64</v>
      </c>
    </row>
    <row r="640" spans="1:3" x14ac:dyDescent="0.25">
      <c r="A640">
        <v>39</v>
      </c>
      <c r="B640" t="str">
        <f>"3:15:50.236654"</f>
        <v>3:15:50.236654</v>
      </c>
      <c r="C640">
        <v>-62</v>
      </c>
    </row>
    <row r="641" spans="1:3" x14ac:dyDescent="0.25">
      <c r="A641">
        <v>37</v>
      </c>
      <c r="B641" t="str">
        <f>"3:15:52.713884"</f>
        <v>3:15:52.713884</v>
      </c>
      <c r="C641">
        <v>-75</v>
      </c>
    </row>
    <row r="642" spans="1:3" x14ac:dyDescent="0.25">
      <c r="A642">
        <v>38</v>
      </c>
      <c r="B642" t="str">
        <f>"3:15:52.714581"</f>
        <v>3:15:52.714581</v>
      </c>
      <c r="C642">
        <v>-62</v>
      </c>
    </row>
    <row r="643" spans="1:3" x14ac:dyDescent="0.25">
      <c r="A643">
        <v>39</v>
      </c>
      <c r="B643" t="str">
        <f>"3:15:52.715278"</f>
        <v>3:15:52.715278</v>
      </c>
      <c r="C643">
        <v>-62</v>
      </c>
    </row>
    <row r="644" spans="1:3" x14ac:dyDescent="0.25">
      <c r="A644">
        <v>37</v>
      </c>
      <c r="B644" t="str">
        <f>"3:15:53.969373"</f>
        <v>3:15:53.969373</v>
      </c>
      <c r="C644">
        <v>-72</v>
      </c>
    </row>
    <row r="645" spans="1:3" x14ac:dyDescent="0.25">
      <c r="A645">
        <v>37</v>
      </c>
      <c r="B645" t="str">
        <f>"3:15:53.969876"</f>
        <v>3:15:53.969876</v>
      </c>
      <c r="C645">
        <v>-64</v>
      </c>
    </row>
    <row r="646" spans="1:3" x14ac:dyDescent="0.25">
      <c r="A646">
        <v>37</v>
      </c>
      <c r="B646" t="str">
        <f>"3:15:53.970201"</f>
        <v>3:15:53.970201</v>
      </c>
      <c r="C646">
        <v>-73</v>
      </c>
    </row>
    <row r="647" spans="1:3" x14ac:dyDescent="0.25">
      <c r="A647">
        <v>38</v>
      </c>
      <c r="B647" t="str">
        <f>"3:15:53.970472"</f>
        <v>3:15:53.970472</v>
      </c>
      <c r="C647">
        <v>-63</v>
      </c>
    </row>
    <row r="648" spans="1:3" x14ac:dyDescent="0.25">
      <c r="A648">
        <v>39</v>
      </c>
      <c r="B648" t="str">
        <f>"3:15:53.971169"</f>
        <v>3:15:53.971169</v>
      </c>
      <c r="C648">
        <v>-62</v>
      </c>
    </row>
    <row r="649" spans="1:3" x14ac:dyDescent="0.25">
      <c r="A649">
        <v>38</v>
      </c>
      <c r="B649" t="str">
        <f>"3:15:55.241791"</f>
        <v>3:15:55.241791</v>
      </c>
      <c r="C649">
        <v>-64</v>
      </c>
    </row>
    <row r="650" spans="1:3" x14ac:dyDescent="0.25">
      <c r="A650">
        <v>39</v>
      </c>
      <c r="B650" t="str">
        <f>"3:15:55.242488"</f>
        <v>3:15:55.242488</v>
      </c>
      <c r="C650">
        <v>-62</v>
      </c>
    </row>
    <row r="651" spans="1:3" x14ac:dyDescent="0.25">
      <c r="A651">
        <v>37</v>
      </c>
      <c r="B651" t="str">
        <f>"3:15:56.453854"</f>
        <v>3:15:56.453854</v>
      </c>
      <c r="C651">
        <v>-72</v>
      </c>
    </row>
    <row r="652" spans="1:3" x14ac:dyDescent="0.25">
      <c r="A652">
        <v>38</v>
      </c>
      <c r="B652" t="str">
        <f>"3:15:56.454551"</f>
        <v>3:15:56.454551</v>
      </c>
      <c r="C652">
        <v>-63</v>
      </c>
    </row>
    <row r="653" spans="1:3" x14ac:dyDescent="0.25">
      <c r="A653">
        <v>39</v>
      </c>
      <c r="B653" t="str">
        <f>"3:15:56.455248"</f>
        <v>3:15:56.455248</v>
      </c>
      <c r="C653">
        <v>-62</v>
      </c>
    </row>
    <row r="654" spans="1:3" x14ac:dyDescent="0.25">
      <c r="A654">
        <v>39</v>
      </c>
      <c r="B654" t="str">
        <f>"3:15:57.693828"</f>
        <v>3:15:57.693828</v>
      </c>
      <c r="C654">
        <v>-62</v>
      </c>
    </row>
    <row r="655" spans="1:3" x14ac:dyDescent="0.25">
      <c r="A655">
        <v>39</v>
      </c>
      <c r="B655" t="str">
        <f>"3:15:58.938811"</f>
        <v>3:15:58.938811</v>
      </c>
      <c r="C655">
        <v>-62</v>
      </c>
    </row>
    <row r="656" spans="1:3" x14ac:dyDescent="0.25">
      <c r="A656">
        <v>38</v>
      </c>
      <c r="B656" t="str">
        <f>"3:16:00.185612"</f>
        <v>3:16:00.185612</v>
      </c>
      <c r="C656">
        <v>-63</v>
      </c>
    </row>
    <row r="657" spans="1:3" x14ac:dyDescent="0.25">
      <c r="A657">
        <v>39</v>
      </c>
      <c r="B657" t="str">
        <f>"3:16:00.186309"</f>
        <v>3:16:00.186309</v>
      </c>
      <c r="C657">
        <v>-62</v>
      </c>
    </row>
    <row r="658" spans="1:3" x14ac:dyDescent="0.25">
      <c r="A658">
        <v>39</v>
      </c>
      <c r="B658" t="str">
        <f>"3:16:03.942681"</f>
        <v>3:16:03.942681</v>
      </c>
      <c r="C658">
        <v>-62</v>
      </c>
    </row>
    <row r="659" spans="1:3" x14ac:dyDescent="0.25">
      <c r="A659">
        <v>37</v>
      </c>
      <c r="B659" t="str">
        <f>"3:16:05.158052"</f>
        <v>3:16:05.158052</v>
      </c>
      <c r="C659">
        <v>-73</v>
      </c>
    </row>
    <row r="660" spans="1:3" x14ac:dyDescent="0.25">
      <c r="A660">
        <v>38</v>
      </c>
      <c r="B660" t="str">
        <f>"3:16:05.158749"</f>
        <v>3:16:05.158749</v>
      </c>
      <c r="C660">
        <v>-63</v>
      </c>
    </row>
    <row r="661" spans="1:3" x14ac:dyDescent="0.25">
      <c r="A661">
        <v>39</v>
      </c>
      <c r="B661" t="str">
        <f>"3:16:05.159446"</f>
        <v>3:16:05.159446</v>
      </c>
      <c r="C661">
        <v>-62</v>
      </c>
    </row>
    <row r="662" spans="1:3" x14ac:dyDescent="0.25">
      <c r="A662">
        <v>37</v>
      </c>
      <c r="B662" t="str">
        <f>"3:16:06.405983"</f>
        <v>3:16:06.405983</v>
      </c>
      <c r="C662">
        <v>-72</v>
      </c>
    </row>
    <row r="663" spans="1:3" x14ac:dyDescent="0.25">
      <c r="A663">
        <v>38</v>
      </c>
      <c r="B663" t="str">
        <f>"3:16:06.406680"</f>
        <v>3:16:06.406680</v>
      </c>
      <c r="C663">
        <v>-63</v>
      </c>
    </row>
    <row r="664" spans="1:3" x14ac:dyDescent="0.25">
      <c r="A664">
        <v>39</v>
      </c>
      <c r="B664" t="str">
        <f>"3:16:06.407377"</f>
        <v>3:16:06.407377</v>
      </c>
      <c r="C664">
        <v>-62</v>
      </c>
    </row>
    <row r="665" spans="1:3" x14ac:dyDescent="0.25">
      <c r="A665">
        <v>37</v>
      </c>
      <c r="B665" t="str">
        <f>"3:16:07.647784"</f>
        <v>3:16:07.647784</v>
      </c>
      <c r="C665">
        <v>-72</v>
      </c>
    </row>
    <row r="666" spans="1:3" x14ac:dyDescent="0.25">
      <c r="A666">
        <v>38</v>
      </c>
      <c r="B666" t="str">
        <f>"3:16:07.648481"</f>
        <v>3:16:07.648481</v>
      </c>
      <c r="C666">
        <v>-63</v>
      </c>
    </row>
    <row r="667" spans="1:3" x14ac:dyDescent="0.25">
      <c r="A667">
        <v>39</v>
      </c>
      <c r="B667" t="str">
        <f>"3:16:07.649178"</f>
        <v>3:16:07.649178</v>
      </c>
      <c r="C667">
        <v>-62</v>
      </c>
    </row>
    <row r="668" spans="1:3" x14ac:dyDescent="0.25">
      <c r="A668">
        <v>37</v>
      </c>
      <c r="B668" t="str">
        <f>"3:16:08.894663"</f>
        <v>3:16:08.894663</v>
      </c>
      <c r="C668">
        <v>-73</v>
      </c>
    </row>
    <row r="669" spans="1:3" x14ac:dyDescent="0.25">
      <c r="A669">
        <v>38</v>
      </c>
      <c r="B669" t="str">
        <f>"3:16:08.895360"</f>
        <v>3:16:08.895360</v>
      </c>
      <c r="C669">
        <v>-63</v>
      </c>
    </row>
    <row r="670" spans="1:3" x14ac:dyDescent="0.25">
      <c r="A670">
        <v>39</v>
      </c>
      <c r="B670" t="str">
        <f>"3:16:08.896057"</f>
        <v>3:16:08.896057</v>
      </c>
      <c r="C670">
        <v>-62</v>
      </c>
    </row>
    <row r="671" spans="1:3" x14ac:dyDescent="0.25">
      <c r="A671">
        <v>37</v>
      </c>
      <c r="B671" t="str">
        <f>"3:16:11.384545"</f>
        <v>3:16:11.384545</v>
      </c>
      <c r="C671">
        <v>-73</v>
      </c>
    </row>
    <row r="672" spans="1:3" x14ac:dyDescent="0.25">
      <c r="A672">
        <v>38</v>
      </c>
      <c r="B672" t="str">
        <f>"3:16:11.385242"</f>
        <v>3:16:11.385242</v>
      </c>
      <c r="C672">
        <v>-63</v>
      </c>
    </row>
    <row r="673" spans="1:3" x14ac:dyDescent="0.25">
      <c r="A673">
        <v>39</v>
      </c>
      <c r="B673" t="str">
        <f>"3:16:11.385939"</f>
        <v>3:16:11.385939</v>
      </c>
      <c r="C673">
        <v>-62</v>
      </c>
    </row>
    <row r="674" spans="1:3" x14ac:dyDescent="0.25">
      <c r="A674">
        <v>37</v>
      </c>
      <c r="B674" t="str">
        <f>"3:16:12.629574"</f>
        <v>3:16:12.629574</v>
      </c>
      <c r="C674">
        <v>-73</v>
      </c>
    </row>
    <row r="675" spans="1:3" x14ac:dyDescent="0.25">
      <c r="A675">
        <v>38</v>
      </c>
      <c r="B675" t="str">
        <f>"3:16:12.630271"</f>
        <v>3:16:12.630271</v>
      </c>
      <c r="C675">
        <v>-63</v>
      </c>
    </row>
    <row r="676" spans="1:3" x14ac:dyDescent="0.25">
      <c r="A676">
        <v>39</v>
      </c>
      <c r="B676" t="str">
        <f>"3:16:12.630968"</f>
        <v>3:16:12.630968</v>
      </c>
      <c r="C676">
        <v>-62</v>
      </c>
    </row>
    <row r="677" spans="1:3" x14ac:dyDescent="0.25">
      <c r="A677">
        <v>38</v>
      </c>
      <c r="B677" t="str">
        <f>"3:16:13.912071"</f>
        <v>3:16:13.912071</v>
      </c>
      <c r="C677">
        <v>-63</v>
      </c>
    </row>
    <row r="678" spans="1:3" x14ac:dyDescent="0.25">
      <c r="A678">
        <v>37</v>
      </c>
      <c r="B678" t="str">
        <f>"3:16:15.128156"</f>
        <v>3:16:15.128156</v>
      </c>
      <c r="C678">
        <v>-73</v>
      </c>
    </row>
    <row r="679" spans="1:3" x14ac:dyDescent="0.25">
      <c r="A679">
        <v>38</v>
      </c>
      <c r="B679" t="str">
        <f>"3:16:15.128853"</f>
        <v>3:16:15.128853</v>
      </c>
      <c r="C679">
        <v>-63</v>
      </c>
    </row>
    <row r="680" spans="1:3" x14ac:dyDescent="0.25">
      <c r="A680">
        <v>39</v>
      </c>
      <c r="B680" t="str">
        <f>"3:16:15.129550"</f>
        <v>3:16:15.129550</v>
      </c>
      <c r="C680">
        <v>-62</v>
      </c>
    </row>
    <row r="681" spans="1:3" x14ac:dyDescent="0.25">
      <c r="A681">
        <v>37</v>
      </c>
      <c r="B681" t="str">
        <f>"3:16:16.374336"</f>
        <v>3:16:16.374336</v>
      </c>
      <c r="C681">
        <v>-72</v>
      </c>
    </row>
    <row r="682" spans="1:3" x14ac:dyDescent="0.25">
      <c r="A682">
        <v>38</v>
      </c>
      <c r="B682" t="str">
        <f>"3:16:16.375033"</f>
        <v>3:16:16.375033</v>
      </c>
      <c r="C682">
        <v>-63</v>
      </c>
    </row>
    <row r="683" spans="1:3" x14ac:dyDescent="0.25">
      <c r="A683">
        <v>39</v>
      </c>
      <c r="B683" t="str">
        <f>"3:16:16.375730"</f>
        <v>3:16:16.375730</v>
      </c>
      <c r="C683">
        <v>-62</v>
      </c>
    </row>
    <row r="684" spans="1:3" x14ac:dyDescent="0.25">
      <c r="A684">
        <v>37</v>
      </c>
      <c r="B684" t="str">
        <f>"3:16:17.616765"</f>
        <v>3:16:17.616765</v>
      </c>
      <c r="C684">
        <v>-73</v>
      </c>
    </row>
    <row r="685" spans="1:3" x14ac:dyDescent="0.25">
      <c r="A685">
        <v>38</v>
      </c>
      <c r="B685" t="str">
        <f>"3:16:17.617462"</f>
        <v>3:16:17.617462</v>
      </c>
      <c r="C685">
        <v>-63</v>
      </c>
    </row>
    <row r="686" spans="1:3" x14ac:dyDescent="0.25">
      <c r="A686">
        <v>39</v>
      </c>
      <c r="B686" t="str">
        <f>"3:16:17.618159"</f>
        <v>3:16:17.618159</v>
      </c>
      <c r="C686">
        <v>-62</v>
      </c>
    </row>
    <row r="687" spans="1:3" x14ac:dyDescent="0.25">
      <c r="A687">
        <v>37</v>
      </c>
      <c r="B687" t="str">
        <f>"3:16:18.856195"</f>
        <v>3:16:18.856195</v>
      </c>
      <c r="C687">
        <v>-73</v>
      </c>
    </row>
    <row r="688" spans="1:3" x14ac:dyDescent="0.25">
      <c r="A688">
        <v>38</v>
      </c>
      <c r="B688" t="str">
        <f>"3:16:18.856891"</f>
        <v>3:16:18.856891</v>
      </c>
      <c r="C688">
        <v>-63</v>
      </c>
    </row>
    <row r="689" spans="1:3" x14ac:dyDescent="0.25">
      <c r="A689">
        <v>39</v>
      </c>
      <c r="B689" t="str">
        <f>"3:16:18.857589"</f>
        <v>3:16:18.857589</v>
      </c>
      <c r="C689">
        <v>-62</v>
      </c>
    </row>
    <row r="690" spans="1:3" x14ac:dyDescent="0.25">
      <c r="A690">
        <v>37</v>
      </c>
      <c r="B690" t="str">
        <f>"3:16:20.104874"</f>
        <v>3:16:20.104874</v>
      </c>
      <c r="C690">
        <v>-73</v>
      </c>
    </row>
    <row r="691" spans="1:3" x14ac:dyDescent="0.25">
      <c r="A691">
        <v>38</v>
      </c>
      <c r="B691" t="str">
        <f>"3:16:20.105571"</f>
        <v>3:16:20.105571</v>
      </c>
      <c r="C691">
        <v>-64</v>
      </c>
    </row>
    <row r="692" spans="1:3" x14ac:dyDescent="0.25">
      <c r="A692">
        <v>39</v>
      </c>
      <c r="B692" t="str">
        <f>"3:16:20.106268"</f>
        <v>3:16:20.106268</v>
      </c>
      <c r="C692">
        <v>-62</v>
      </c>
    </row>
    <row r="693" spans="1:3" x14ac:dyDescent="0.25">
      <c r="A693">
        <v>38</v>
      </c>
      <c r="B693" t="str">
        <f>"3:16:21.355079"</f>
        <v>3:16:21.355079</v>
      </c>
      <c r="C693">
        <v>-63</v>
      </c>
    </row>
    <row r="694" spans="1:3" x14ac:dyDescent="0.25">
      <c r="A694">
        <v>39</v>
      </c>
      <c r="B694" t="str">
        <f>"3:16:21.355776"</f>
        <v>3:16:21.355776</v>
      </c>
      <c r="C694">
        <v>-62</v>
      </c>
    </row>
    <row r="695" spans="1:3" x14ac:dyDescent="0.25">
      <c r="A695">
        <v>37</v>
      </c>
      <c r="B695" t="str">
        <f>"3:16:22.587569"</f>
        <v>3:16:22.587569</v>
      </c>
      <c r="C695">
        <v>-73</v>
      </c>
    </row>
    <row r="696" spans="1:3" x14ac:dyDescent="0.25">
      <c r="A696">
        <v>38</v>
      </c>
      <c r="B696" t="str">
        <f>"3:16:22.588266"</f>
        <v>3:16:22.588266</v>
      </c>
      <c r="C696">
        <v>-63</v>
      </c>
    </row>
    <row r="697" spans="1:3" x14ac:dyDescent="0.25">
      <c r="A697">
        <v>39</v>
      </c>
      <c r="B697" t="str">
        <f>"3:16:22.588963"</f>
        <v>3:16:22.588963</v>
      </c>
      <c r="C697">
        <v>-62</v>
      </c>
    </row>
    <row r="698" spans="1:3" x14ac:dyDescent="0.25">
      <c r="A698">
        <v>38</v>
      </c>
      <c r="B698" t="str">
        <f>"3:16:23.836282"</f>
        <v>3:16:23.836282</v>
      </c>
      <c r="C698">
        <v>-63</v>
      </c>
    </row>
    <row r="699" spans="1:3" x14ac:dyDescent="0.25">
      <c r="A699">
        <v>39</v>
      </c>
      <c r="B699" t="str">
        <f>"3:16:23.836979"</f>
        <v>3:16:23.836979</v>
      </c>
      <c r="C699">
        <v>-61</v>
      </c>
    </row>
    <row r="700" spans="1:3" x14ac:dyDescent="0.25">
      <c r="A700">
        <v>37</v>
      </c>
      <c r="B700" t="str">
        <f>"3:16:25.081715"</f>
        <v>3:16:25.081715</v>
      </c>
      <c r="C700">
        <v>-73</v>
      </c>
    </row>
    <row r="701" spans="1:3" x14ac:dyDescent="0.25">
      <c r="A701">
        <v>38</v>
      </c>
      <c r="B701" t="str">
        <f>"3:16:25.082412"</f>
        <v>3:16:25.082412</v>
      </c>
      <c r="C701">
        <v>-63</v>
      </c>
    </row>
    <row r="702" spans="1:3" x14ac:dyDescent="0.25">
      <c r="A702">
        <v>39</v>
      </c>
      <c r="B702" t="str">
        <f>"3:16:25.083109"</f>
        <v>3:16:25.083109</v>
      </c>
      <c r="C702">
        <v>-62</v>
      </c>
    </row>
    <row r="703" spans="1:3" x14ac:dyDescent="0.25">
      <c r="A703">
        <v>37</v>
      </c>
      <c r="B703" t="str">
        <f>"3:16:26.339280"</f>
        <v>3:16:26.339280</v>
      </c>
      <c r="C703">
        <v>-73</v>
      </c>
    </row>
    <row r="704" spans="1:3" x14ac:dyDescent="0.25">
      <c r="A704">
        <v>38</v>
      </c>
      <c r="B704" t="str">
        <f>"3:16:26.339977"</f>
        <v>3:16:26.339977</v>
      </c>
      <c r="C704">
        <v>-63</v>
      </c>
    </row>
    <row r="705" spans="1:3" x14ac:dyDescent="0.25">
      <c r="A705">
        <v>39</v>
      </c>
      <c r="B705" t="str">
        <f>"3:16:26.340674"</f>
        <v>3:16:26.340674</v>
      </c>
      <c r="C705">
        <v>-62</v>
      </c>
    </row>
    <row r="706" spans="1:3" x14ac:dyDescent="0.25">
      <c r="A706">
        <v>37</v>
      </c>
      <c r="B706" t="str">
        <f>"3:16:27.582247"</f>
        <v>3:16:27.582247</v>
      </c>
      <c r="C706">
        <v>-73</v>
      </c>
    </row>
    <row r="707" spans="1:3" x14ac:dyDescent="0.25">
      <c r="A707">
        <v>38</v>
      </c>
      <c r="B707" t="str">
        <f>"3:16:27.582943"</f>
        <v>3:16:27.582943</v>
      </c>
      <c r="C707">
        <v>-63</v>
      </c>
    </row>
    <row r="708" spans="1:3" x14ac:dyDescent="0.25">
      <c r="A708">
        <v>39</v>
      </c>
      <c r="B708" t="str">
        <f>"3:16:27.583641"</f>
        <v>3:16:27.583641</v>
      </c>
      <c r="C708">
        <v>-62</v>
      </c>
    </row>
    <row r="709" spans="1:3" x14ac:dyDescent="0.25">
      <c r="A709">
        <v>37</v>
      </c>
      <c r="B709" t="str">
        <f>"3:16:28.828326"</f>
        <v>3:16:28.828326</v>
      </c>
      <c r="C709">
        <v>-73</v>
      </c>
    </row>
    <row r="710" spans="1:3" x14ac:dyDescent="0.25">
      <c r="A710">
        <v>38</v>
      </c>
      <c r="B710" t="str">
        <f>"3:16:28.829023"</f>
        <v>3:16:28.829023</v>
      </c>
      <c r="C710">
        <v>-63</v>
      </c>
    </row>
    <row r="711" spans="1:3" x14ac:dyDescent="0.25">
      <c r="A711">
        <v>39</v>
      </c>
      <c r="B711" t="str">
        <f>"3:16:28.829720"</f>
        <v>3:16:28.829720</v>
      </c>
      <c r="C711">
        <v>-62</v>
      </c>
    </row>
    <row r="712" spans="1:3" x14ac:dyDescent="0.25">
      <c r="A712">
        <v>37</v>
      </c>
      <c r="B712" t="str">
        <f>"3:16:30.064960"</f>
        <v>3:16:30.064960</v>
      </c>
      <c r="C712">
        <v>-73</v>
      </c>
    </row>
    <row r="713" spans="1:3" x14ac:dyDescent="0.25">
      <c r="A713">
        <v>38</v>
      </c>
      <c r="B713" t="str">
        <f>"3:16:30.065657"</f>
        <v>3:16:30.065657</v>
      </c>
      <c r="C713">
        <v>-63</v>
      </c>
    </row>
    <row r="714" spans="1:3" x14ac:dyDescent="0.25">
      <c r="A714">
        <v>39</v>
      </c>
      <c r="B714" t="str">
        <f>"3:16:30.066354"</f>
        <v>3:16:30.066354</v>
      </c>
      <c r="C714">
        <v>-62</v>
      </c>
    </row>
    <row r="715" spans="1:3" x14ac:dyDescent="0.25">
      <c r="A715">
        <v>37</v>
      </c>
      <c r="B715" t="str">
        <f>"3:16:31.321758"</f>
        <v>3:16:31.321758</v>
      </c>
      <c r="C715">
        <v>-72</v>
      </c>
    </row>
    <row r="716" spans="1:3" x14ac:dyDescent="0.25">
      <c r="A716">
        <v>38</v>
      </c>
      <c r="B716" t="str">
        <f>"3:16:31.322455"</f>
        <v>3:16:31.322455</v>
      </c>
      <c r="C716">
        <v>-64</v>
      </c>
    </row>
    <row r="717" spans="1:3" x14ac:dyDescent="0.25">
      <c r="A717">
        <v>39</v>
      </c>
      <c r="B717" t="str">
        <f>"3:16:31.323152"</f>
        <v>3:16:31.323152</v>
      </c>
      <c r="C717">
        <v>-62</v>
      </c>
    </row>
    <row r="718" spans="1:3" x14ac:dyDescent="0.25">
      <c r="A718">
        <v>37</v>
      </c>
      <c r="B718" t="str">
        <f>"3:16:32.558156"</f>
        <v>3:16:32.558156</v>
      </c>
      <c r="C718">
        <v>-73</v>
      </c>
    </row>
    <row r="719" spans="1:3" x14ac:dyDescent="0.25">
      <c r="A719">
        <v>38</v>
      </c>
      <c r="B719" t="str">
        <f>"3:16:32.558853"</f>
        <v>3:16:32.558853</v>
      </c>
      <c r="C719">
        <v>-63</v>
      </c>
    </row>
    <row r="720" spans="1:3" x14ac:dyDescent="0.25">
      <c r="A720">
        <v>39</v>
      </c>
      <c r="B720" t="str">
        <f>"3:16:32.559550"</f>
        <v>3:16:32.559550</v>
      </c>
      <c r="C720">
        <v>-62</v>
      </c>
    </row>
    <row r="721" spans="1:3" x14ac:dyDescent="0.25">
      <c r="A721">
        <v>37</v>
      </c>
      <c r="B721" t="str">
        <f>"3:16:35.050592"</f>
        <v>3:16:35.050592</v>
      </c>
      <c r="C721">
        <v>-73</v>
      </c>
    </row>
    <row r="722" spans="1:3" x14ac:dyDescent="0.25">
      <c r="A722">
        <v>38</v>
      </c>
      <c r="B722" t="str">
        <f>"3:16:35.051289"</f>
        <v>3:16:35.051289</v>
      </c>
      <c r="C722">
        <v>-63</v>
      </c>
    </row>
    <row r="723" spans="1:3" x14ac:dyDescent="0.25">
      <c r="A723">
        <v>39</v>
      </c>
      <c r="B723" t="str">
        <f>"3:16:35.051986"</f>
        <v>3:16:35.051986</v>
      </c>
      <c r="C723">
        <v>-62</v>
      </c>
    </row>
    <row r="724" spans="1:3" x14ac:dyDescent="0.25">
      <c r="A724">
        <v>37</v>
      </c>
      <c r="B724" t="str">
        <f>"3:16:36.297707"</f>
        <v>3:16:36.297707</v>
      </c>
      <c r="C724">
        <v>-73</v>
      </c>
    </row>
    <row r="725" spans="1:3" x14ac:dyDescent="0.25">
      <c r="A725">
        <v>38</v>
      </c>
      <c r="B725" t="str">
        <f>"3:16:36.298403"</f>
        <v>3:16:36.298403</v>
      </c>
      <c r="C725">
        <v>-63</v>
      </c>
    </row>
    <row r="726" spans="1:3" x14ac:dyDescent="0.25">
      <c r="A726">
        <v>39</v>
      </c>
      <c r="B726" t="str">
        <f>"3:16:36.299101"</f>
        <v>3:16:36.299101</v>
      </c>
      <c r="C726">
        <v>-62</v>
      </c>
    </row>
    <row r="727" spans="1:3" x14ac:dyDescent="0.25">
      <c r="A727">
        <v>37</v>
      </c>
      <c r="B727" t="str">
        <f>"3:16:37.552374"</f>
        <v>3:16:37.552374</v>
      </c>
      <c r="C727">
        <v>-73</v>
      </c>
    </row>
    <row r="728" spans="1:3" x14ac:dyDescent="0.25">
      <c r="A728">
        <v>38</v>
      </c>
      <c r="B728" t="str">
        <f>"3:16:37.553071"</f>
        <v>3:16:37.553071</v>
      </c>
      <c r="C728">
        <v>-63</v>
      </c>
    </row>
    <row r="729" spans="1:3" x14ac:dyDescent="0.25">
      <c r="A729">
        <v>39</v>
      </c>
      <c r="B729" t="str">
        <f>"3:16:37.553768"</f>
        <v>3:16:37.553768</v>
      </c>
      <c r="C729">
        <v>-62</v>
      </c>
    </row>
    <row r="730" spans="1:3" x14ac:dyDescent="0.25">
      <c r="A730">
        <v>38</v>
      </c>
      <c r="B730" t="str">
        <f>"3:16:38.804493"</f>
        <v>3:16:38.804493</v>
      </c>
      <c r="C730">
        <v>-63</v>
      </c>
    </row>
    <row r="731" spans="1:3" x14ac:dyDescent="0.25">
      <c r="A731">
        <v>39</v>
      </c>
      <c r="B731" t="str">
        <f>"3:16:38.805190"</f>
        <v>3:16:38.805190</v>
      </c>
      <c r="C731">
        <v>-62</v>
      </c>
    </row>
    <row r="732" spans="1:3" x14ac:dyDescent="0.25">
      <c r="A732">
        <v>37</v>
      </c>
      <c r="B732" t="str">
        <f>"3:16:40.027956"</f>
        <v>3:16:40.027956</v>
      </c>
      <c r="C732">
        <v>-73</v>
      </c>
    </row>
    <row r="733" spans="1:3" x14ac:dyDescent="0.25">
      <c r="A733">
        <v>38</v>
      </c>
      <c r="B733" t="str">
        <f>"3:16:40.028653"</f>
        <v>3:16:40.028653</v>
      </c>
      <c r="C733">
        <v>-63</v>
      </c>
    </row>
    <row r="734" spans="1:3" x14ac:dyDescent="0.25">
      <c r="A734">
        <v>39</v>
      </c>
      <c r="B734" t="str">
        <f>"3:16:40.029350"</f>
        <v>3:16:40.029350</v>
      </c>
      <c r="C734">
        <v>-62</v>
      </c>
    </row>
    <row r="735" spans="1:3" x14ac:dyDescent="0.25">
      <c r="A735">
        <v>37</v>
      </c>
      <c r="B735" t="str">
        <f>"3:16:41.288585"</f>
        <v>3:16:41.288585</v>
      </c>
      <c r="C735">
        <v>-73</v>
      </c>
    </row>
    <row r="736" spans="1:3" x14ac:dyDescent="0.25">
      <c r="A736">
        <v>38</v>
      </c>
      <c r="B736" t="str">
        <f>"3:16:41.289282"</f>
        <v>3:16:41.289282</v>
      </c>
      <c r="C736">
        <v>-63</v>
      </c>
    </row>
    <row r="737" spans="1:3" x14ac:dyDescent="0.25">
      <c r="A737">
        <v>39</v>
      </c>
      <c r="B737" t="str">
        <f>"3:16:41.289979"</f>
        <v>3:16:41.289979</v>
      </c>
      <c r="C737">
        <v>-62</v>
      </c>
    </row>
    <row r="738" spans="1:3" x14ac:dyDescent="0.25">
      <c r="A738">
        <v>37</v>
      </c>
      <c r="B738" t="str">
        <f>"3:16:42.520105"</f>
        <v>3:16:42.520105</v>
      </c>
      <c r="C738">
        <v>-73</v>
      </c>
    </row>
    <row r="739" spans="1:3" x14ac:dyDescent="0.25">
      <c r="A739">
        <v>39</v>
      </c>
      <c r="B739" t="str">
        <f>"3:16:42.521499"</f>
        <v>3:16:42.521499</v>
      </c>
      <c r="C739">
        <v>-62</v>
      </c>
    </row>
    <row r="740" spans="1:3" x14ac:dyDescent="0.25">
      <c r="A740">
        <v>37</v>
      </c>
      <c r="B740" t="str">
        <f>"3:16:43.790417"</f>
        <v>3:16:43.790417</v>
      </c>
      <c r="C740">
        <v>-73</v>
      </c>
    </row>
    <row r="741" spans="1:3" x14ac:dyDescent="0.25">
      <c r="A741">
        <v>38</v>
      </c>
      <c r="B741" t="str">
        <f>"3:16:43.791114"</f>
        <v>3:16:43.791114</v>
      </c>
      <c r="C741">
        <v>-62</v>
      </c>
    </row>
    <row r="742" spans="1:3" x14ac:dyDescent="0.25">
      <c r="A742">
        <v>39</v>
      </c>
      <c r="B742" t="str">
        <f>"3:16:43.791811"</f>
        <v>3:16:43.791811</v>
      </c>
      <c r="C742">
        <v>-62</v>
      </c>
    </row>
    <row r="743" spans="1:3" x14ac:dyDescent="0.25">
      <c r="A743">
        <v>37</v>
      </c>
      <c r="B743" t="str">
        <f>"3:16:45.021520"</f>
        <v>3:16:45.021520</v>
      </c>
      <c r="C743">
        <v>-73</v>
      </c>
    </row>
    <row r="744" spans="1:3" x14ac:dyDescent="0.25">
      <c r="A744">
        <v>38</v>
      </c>
      <c r="B744" t="str">
        <f>"3:16:45.022217"</f>
        <v>3:16:45.022217</v>
      </c>
      <c r="C744">
        <v>-63</v>
      </c>
    </row>
    <row r="745" spans="1:3" x14ac:dyDescent="0.25">
      <c r="A745">
        <v>39</v>
      </c>
      <c r="B745" t="str">
        <f>"3:16:45.022914"</f>
        <v>3:16:45.022914</v>
      </c>
      <c r="C745">
        <v>-62</v>
      </c>
    </row>
    <row r="746" spans="1:3" x14ac:dyDescent="0.25">
      <c r="A746">
        <v>37</v>
      </c>
      <c r="B746" t="str">
        <f>"3:16:46.259790"</f>
        <v>3:16:46.259790</v>
      </c>
      <c r="C746">
        <v>-72</v>
      </c>
    </row>
    <row r="747" spans="1:3" x14ac:dyDescent="0.25">
      <c r="A747">
        <v>38</v>
      </c>
      <c r="B747" t="str">
        <f>"3:16:46.260487"</f>
        <v>3:16:46.260487</v>
      </c>
      <c r="C747">
        <v>-63</v>
      </c>
    </row>
    <row r="748" spans="1:3" x14ac:dyDescent="0.25">
      <c r="A748">
        <v>39</v>
      </c>
      <c r="B748" t="str">
        <f>"3:16:46.261184"</f>
        <v>3:16:46.261184</v>
      </c>
      <c r="C748">
        <v>-62</v>
      </c>
    </row>
    <row r="749" spans="1:3" x14ac:dyDescent="0.25">
      <c r="A749">
        <v>37</v>
      </c>
      <c r="B749" t="str">
        <f>"3:16:47.511905"</f>
        <v>3:16:47.511905</v>
      </c>
      <c r="C749">
        <v>-73</v>
      </c>
    </row>
    <row r="750" spans="1:3" x14ac:dyDescent="0.25">
      <c r="A750">
        <v>38</v>
      </c>
      <c r="B750" t="str">
        <f>"3:16:47.512602"</f>
        <v>3:16:47.512602</v>
      </c>
      <c r="C750">
        <v>-64</v>
      </c>
    </row>
    <row r="751" spans="1:3" x14ac:dyDescent="0.25">
      <c r="A751">
        <v>39</v>
      </c>
      <c r="B751" t="str">
        <f>"3:16:47.513299"</f>
        <v>3:16:47.513299</v>
      </c>
      <c r="C751">
        <v>-62</v>
      </c>
    </row>
    <row r="752" spans="1:3" x14ac:dyDescent="0.25">
      <c r="A752">
        <v>39</v>
      </c>
      <c r="B752" t="str">
        <f>"3:16:48.749825"</f>
        <v>3:16:48.749825</v>
      </c>
      <c r="C752">
        <v>-60</v>
      </c>
    </row>
    <row r="753" spans="1:3" x14ac:dyDescent="0.25">
      <c r="A753">
        <v>38</v>
      </c>
      <c r="B753" t="str">
        <f>"3:16:50.017689"</f>
        <v>3:16:50.017689</v>
      </c>
      <c r="C753">
        <v>-63</v>
      </c>
    </row>
    <row r="754" spans="1:3" x14ac:dyDescent="0.25">
      <c r="A754">
        <v>39</v>
      </c>
      <c r="B754" t="str">
        <f>"3:16:50.018386"</f>
        <v>3:16:50.018386</v>
      </c>
      <c r="C754">
        <v>-62</v>
      </c>
    </row>
    <row r="755" spans="1:3" x14ac:dyDescent="0.25">
      <c r="A755">
        <v>37</v>
      </c>
      <c r="B755" t="str">
        <f>"3:16:51.239655"</f>
        <v>3:16:51.239655</v>
      </c>
      <c r="C755">
        <v>-73</v>
      </c>
    </row>
    <row r="756" spans="1:3" x14ac:dyDescent="0.25">
      <c r="A756">
        <v>38</v>
      </c>
      <c r="B756" t="str">
        <f>"3:16:51.240352"</f>
        <v>3:16:51.240352</v>
      </c>
      <c r="C756">
        <v>-63</v>
      </c>
    </row>
    <row r="757" spans="1:3" x14ac:dyDescent="0.25">
      <c r="A757">
        <v>39</v>
      </c>
      <c r="B757" t="str">
        <f>"3:16:51.241049"</f>
        <v>3:16:51.241049</v>
      </c>
      <c r="C757">
        <v>-62</v>
      </c>
    </row>
    <row r="758" spans="1:3" x14ac:dyDescent="0.25">
      <c r="A758">
        <v>37</v>
      </c>
      <c r="B758" t="str">
        <f>"3:16:52.497365"</f>
        <v>3:16:52.497365</v>
      </c>
      <c r="C758">
        <v>-73</v>
      </c>
    </row>
    <row r="759" spans="1:3" x14ac:dyDescent="0.25">
      <c r="A759">
        <v>38</v>
      </c>
      <c r="B759" t="str">
        <f>"3:16:52.498062"</f>
        <v>3:16:52.498062</v>
      </c>
      <c r="C759">
        <v>-64</v>
      </c>
    </row>
    <row r="760" spans="1:3" x14ac:dyDescent="0.25">
      <c r="A760">
        <v>39</v>
      </c>
      <c r="B760" t="str">
        <f>"3:16:52.498759"</f>
        <v>3:16:52.498759</v>
      </c>
      <c r="C760">
        <v>-62</v>
      </c>
    </row>
    <row r="761" spans="1:3" x14ac:dyDescent="0.25">
      <c r="A761">
        <v>37</v>
      </c>
      <c r="B761" t="str">
        <f>"3:16:53.757290"</f>
        <v>3:16:53.757290</v>
      </c>
      <c r="C761">
        <v>-73</v>
      </c>
    </row>
    <row r="762" spans="1:3" x14ac:dyDescent="0.25">
      <c r="A762">
        <v>38</v>
      </c>
      <c r="B762" t="str">
        <f>"3:16:53.757987"</f>
        <v>3:16:53.757987</v>
      </c>
      <c r="C762">
        <v>-63</v>
      </c>
    </row>
    <row r="763" spans="1:3" x14ac:dyDescent="0.25">
      <c r="A763">
        <v>39</v>
      </c>
      <c r="B763" t="str">
        <f>"3:16:53.758684"</f>
        <v>3:16:53.758684</v>
      </c>
      <c r="C763">
        <v>-62</v>
      </c>
    </row>
    <row r="764" spans="1:3" x14ac:dyDescent="0.25">
      <c r="A764">
        <v>37</v>
      </c>
      <c r="B764" t="str">
        <f>"3:16:54.968647"</f>
        <v>3:16:54.968647</v>
      </c>
      <c r="C764">
        <v>-73</v>
      </c>
    </row>
    <row r="765" spans="1:3" x14ac:dyDescent="0.25">
      <c r="A765">
        <v>38</v>
      </c>
      <c r="B765" t="str">
        <f>"3:16:54.969344"</f>
        <v>3:16:54.969344</v>
      </c>
      <c r="C765">
        <v>-63</v>
      </c>
    </row>
    <row r="766" spans="1:3" x14ac:dyDescent="0.25">
      <c r="A766">
        <v>39</v>
      </c>
      <c r="B766" t="str">
        <f>"3:16:54.970041"</f>
        <v>3:16:54.970041</v>
      </c>
      <c r="C766">
        <v>-62</v>
      </c>
    </row>
    <row r="767" spans="1:3" x14ac:dyDescent="0.25">
      <c r="A767">
        <v>39</v>
      </c>
      <c r="B767" t="str">
        <f>"3:16:56.227121"</f>
        <v>3:16:56.227121</v>
      </c>
      <c r="C767">
        <v>-62</v>
      </c>
    </row>
    <row r="768" spans="1:3" x14ac:dyDescent="0.25">
      <c r="A768">
        <v>37</v>
      </c>
      <c r="B768" t="str">
        <f>"3:16:57.501493"</f>
        <v>3:16:57.501493</v>
      </c>
      <c r="C768">
        <v>-73</v>
      </c>
    </row>
    <row r="769" spans="1:3" x14ac:dyDescent="0.25">
      <c r="A769">
        <v>38</v>
      </c>
      <c r="B769" t="str">
        <f>"3:16:57.502190"</f>
        <v>3:16:57.502190</v>
      </c>
      <c r="C769">
        <v>-63</v>
      </c>
    </row>
    <row r="770" spans="1:3" x14ac:dyDescent="0.25">
      <c r="A770">
        <v>39</v>
      </c>
      <c r="B770" t="str">
        <f>"3:16:57.502887"</f>
        <v>3:16:57.502887</v>
      </c>
      <c r="C770">
        <v>-62</v>
      </c>
    </row>
    <row r="771" spans="1:3" x14ac:dyDescent="0.25">
      <c r="A771">
        <v>39</v>
      </c>
      <c r="B771" t="str">
        <f>"3:16:58.729946"</f>
        <v>3:16:58.729946</v>
      </c>
      <c r="C771">
        <v>-62</v>
      </c>
    </row>
    <row r="772" spans="1:3" x14ac:dyDescent="0.25">
      <c r="A772">
        <v>37</v>
      </c>
      <c r="B772" t="str">
        <f>"3:17:01.207684"</f>
        <v>3:17:01.207684</v>
      </c>
      <c r="C772">
        <v>-74</v>
      </c>
    </row>
    <row r="773" spans="1:3" x14ac:dyDescent="0.25">
      <c r="A773">
        <v>38</v>
      </c>
      <c r="B773" t="str">
        <f>"3:17:01.208381"</f>
        <v>3:17:01.208381</v>
      </c>
      <c r="C773">
        <v>-63</v>
      </c>
    </row>
    <row r="774" spans="1:3" x14ac:dyDescent="0.25">
      <c r="A774">
        <v>39</v>
      </c>
      <c r="B774" t="str">
        <f>"3:17:01.209078"</f>
        <v>3:17:01.209078</v>
      </c>
      <c r="C774">
        <v>-62</v>
      </c>
    </row>
    <row r="775" spans="1:3" x14ac:dyDescent="0.25">
      <c r="A775">
        <v>37</v>
      </c>
      <c r="B775" t="str">
        <f>"3:17:02.451866"</f>
        <v>3:17:02.451866</v>
      </c>
      <c r="C775">
        <v>-73</v>
      </c>
    </row>
    <row r="776" spans="1:3" x14ac:dyDescent="0.25">
      <c r="A776">
        <v>38</v>
      </c>
      <c r="B776" t="str">
        <f>"3:17:02.452563"</f>
        <v>3:17:02.452563</v>
      </c>
      <c r="C776">
        <v>-63</v>
      </c>
    </row>
    <row r="777" spans="1:3" x14ac:dyDescent="0.25">
      <c r="A777">
        <v>39</v>
      </c>
      <c r="B777" t="str">
        <f>"3:17:02.453260"</f>
        <v>3:17:02.453260</v>
      </c>
      <c r="C777">
        <v>-62</v>
      </c>
    </row>
    <row r="778" spans="1:3" x14ac:dyDescent="0.25">
      <c r="A778">
        <v>37</v>
      </c>
      <c r="B778" t="str">
        <f>"3:17:04.943775"</f>
        <v>3:17:04.943775</v>
      </c>
      <c r="C778">
        <v>-73</v>
      </c>
    </row>
    <row r="779" spans="1:3" x14ac:dyDescent="0.25">
      <c r="A779">
        <v>38</v>
      </c>
      <c r="B779" t="str">
        <f>"3:17:04.944472"</f>
        <v>3:17:04.944472</v>
      </c>
      <c r="C779">
        <v>-63</v>
      </c>
    </row>
    <row r="780" spans="1:3" x14ac:dyDescent="0.25">
      <c r="A780">
        <v>39</v>
      </c>
      <c r="B780" t="str">
        <f>"3:17:04.945169"</f>
        <v>3:17:04.945169</v>
      </c>
      <c r="C780">
        <v>-62</v>
      </c>
    </row>
    <row r="781" spans="1:3" x14ac:dyDescent="0.25">
      <c r="A781">
        <v>37</v>
      </c>
      <c r="B781" t="str">
        <f>"3:17:06.183054"</f>
        <v>3:17:06.183054</v>
      </c>
      <c r="C781">
        <v>-73</v>
      </c>
    </row>
    <row r="782" spans="1:3" x14ac:dyDescent="0.25">
      <c r="A782">
        <v>38</v>
      </c>
      <c r="B782" t="str">
        <f>"3:17:06.183751"</f>
        <v>3:17:06.183751</v>
      </c>
      <c r="C782">
        <v>-63</v>
      </c>
    </row>
    <row r="783" spans="1:3" x14ac:dyDescent="0.25">
      <c r="A783">
        <v>39</v>
      </c>
      <c r="B783" t="str">
        <f>"3:17:06.184448"</f>
        <v>3:17:06.184448</v>
      </c>
      <c r="C783">
        <v>-62</v>
      </c>
    </row>
    <row r="784" spans="1:3" x14ac:dyDescent="0.25">
      <c r="A784">
        <v>37</v>
      </c>
      <c r="B784" t="str">
        <f>"3:17:07.438133"</f>
        <v>3:17:07.438133</v>
      </c>
      <c r="C784">
        <v>-73</v>
      </c>
    </row>
    <row r="785" spans="1:3" x14ac:dyDescent="0.25">
      <c r="A785">
        <v>38</v>
      </c>
      <c r="B785" t="str">
        <f>"3:17:07.438830"</f>
        <v>3:17:07.438830</v>
      </c>
      <c r="C785">
        <v>-63</v>
      </c>
    </row>
    <row r="786" spans="1:3" x14ac:dyDescent="0.25">
      <c r="A786">
        <v>39</v>
      </c>
      <c r="B786" t="str">
        <f>"3:17:07.439527"</f>
        <v>3:17:07.439527</v>
      </c>
      <c r="C786">
        <v>-62</v>
      </c>
    </row>
    <row r="787" spans="1:3" x14ac:dyDescent="0.25">
      <c r="A787">
        <v>37</v>
      </c>
      <c r="B787" t="str">
        <f>"3:17:08.670227"</f>
        <v>3:17:08.670227</v>
      </c>
      <c r="C787">
        <v>-74</v>
      </c>
    </row>
    <row r="788" spans="1:3" x14ac:dyDescent="0.25">
      <c r="A788">
        <v>38</v>
      </c>
      <c r="B788" t="str">
        <f>"3:17:08.670924"</f>
        <v>3:17:08.670924</v>
      </c>
      <c r="C788">
        <v>-63</v>
      </c>
    </row>
    <row r="789" spans="1:3" x14ac:dyDescent="0.25">
      <c r="A789">
        <v>39</v>
      </c>
      <c r="B789" t="str">
        <f>"3:17:08.671621"</f>
        <v>3:17:08.671621</v>
      </c>
      <c r="C789">
        <v>-62</v>
      </c>
    </row>
    <row r="790" spans="1:3" x14ac:dyDescent="0.25">
      <c r="A790">
        <v>37</v>
      </c>
      <c r="B790" t="str">
        <f>"3:17:09.915589"</f>
        <v>3:17:09.915589</v>
      </c>
      <c r="C790">
        <v>-73</v>
      </c>
    </row>
    <row r="791" spans="1:3" x14ac:dyDescent="0.25">
      <c r="A791">
        <v>38</v>
      </c>
      <c r="B791" t="str">
        <f>"3:17:09.916286"</f>
        <v>3:17:09.916286</v>
      </c>
      <c r="C791">
        <v>-63</v>
      </c>
    </row>
    <row r="792" spans="1:3" x14ac:dyDescent="0.25">
      <c r="A792">
        <v>39</v>
      </c>
      <c r="B792" t="str">
        <f>"3:17:09.916983"</f>
        <v>3:17:09.916983</v>
      </c>
      <c r="C792">
        <v>-62</v>
      </c>
    </row>
    <row r="793" spans="1:3" x14ac:dyDescent="0.25">
      <c r="A793">
        <v>37</v>
      </c>
      <c r="B793" t="str">
        <f>"3:17:11.160937"</f>
        <v>3:17:11.160937</v>
      </c>
      <c r="C793">
        <v>-73</v>
      </c>
    </row>
    <row r="794" spans="1:3" x14ac:dyDescent="0.25">
      <c r="A794">
        <v>38</v>
      </c>
      <c r="B794" t="str">
        <f>"3:17:11.161634"</f>
        <v>3:17:11.161634</v>
      </c>
      <c r="C794">
        <v>-63</v>
      </c>
    </row>
    <row r="795" spans="1:3" x14ac:dyDescent="0.25">
      <c r="A795">
        <v>39</v>
      </c>
      <c r="B795" t="str">
        <f>"3:17:11.162331"</f>
        <v>3:17:11.162331</v>
      </c>
      <c r="C795">
        <v>-62</v>
      </c>
    </row>
    <row r="796" spans="1:3" x14ac:dyDescent="0.25">
      <c r="A796">
        <v>37</v>
      </c>
      <c r="B796" t="str">
        <f>"3:17:12.415210"</f>
        <v>3:17:12.415210</v>
      </c>
      <c r="C796">
        <v>-74</v>
      </c>
    </row>
    <row r="797" spans="1:3" x14ac:dyDescent="0.25">
      <c r="A797">
        <v>38</v>
      </c>
      <c r="B797" t="str">
        <f>"3:17:12.415907"</f>
        <v>3:17:12.415907</v>
      </c>
      <c r="C797">
        <v>-63</v>
      </c>
    </row>
    <row r="798" spans="1:3" x14ac:dyDescent="0.25">
      <c r="A798">
        <v>39</v>
      </c>
      <c r="B798" t="str">
        <f>"3:17:12.416604"</f>
        <v>3:17:12.416604</v>
      </c>
      <c r="C798">
        <v>-62</v>
      </c>
    </row>
    <row r="799" spans="1:3" x14ac:dyDescent="0.25">
      <c r="A799">
        <v>38</v>
      </c>
      <c r="B799" t="str">
        <f>"3:17:13.682302"</f>
        <v>3:17:13.682302</v>
      </c>
      <c r="C799">
        <v>-62</v>
      </c>
    </row>
    <row r="800" spans="1:3" x14ac:dyDescent="0.25">
      <c r="A800">
        <v>39</v>
      </c>
      <c r="B800" t="str">
        <f>"3:17:13.682999"</f>
        <v>3:17:13.682999</v>
      </c>
      <c r="C800">
        <v>-62</v>
      </c>
    </row>
    <row r="801" spans="1:3" x14ac:dyDescent="0.25">
      <c r="A801">
        <v>37</v>
      </c>
      <c r="B801" t="str">
        <f>"3:17:14.898539"</f>
        <v>3:17:14.898539</v>
      </c>
      <c r="C801">
        <v>-74</v>
      </c>
    </row>
    <row r="802" spans="1:3" x14ac:dyDescent="0.25">
      <c r="A802">
        <v>38</v>
      </c>
      <c r="B802" t="str">
        <f>"3:17:14.899236"</f>
        <v>3:17:14.899236</v>
      </c>
      <c r="C802">
        <v>-63</v>
      </c>
    </row>
    <row r="803" spans="1:3" x14ac:dyDescent="0.25">
      <c r="A803">
        <v>39</v>
      </c>
      <c r="B803" t="str">
        <f>"3:17:14.899933"</f>
        <v>3:17:14.899933</v>
      </c>
      <c r="C803">
        <v>-62</v>
      </c>
    </row>
    <row r="804" spans="1:3" x14ac:dyDescent="0.25">
      <c r="A804">
        <v>38</v>
      </c>
      <c r="B804" t="str">
        <f>"3:17:16.146670"</f>
        <v>3:17:16.146670</v>
      </c>
      <c r="C804">
        <v>-63</v>
      </c>
    </row>
    <row r="805" spans="1:3" x14ac:dyDescent="0.25">
      <c r="A805">
        <v>39</v>
      </c>
      <c r="B805" t="str">
        <f>"3:17:16.147367"</f>
        <v>3:17:16.147367</v>
      </c>
      <c r="C805">
        <v>-62</v>
      </c>
    </row>
    <row r="806" spans="1:3" x14ac:dyDescent="0.25">
      <c r="A806">
        <v>37</v>
      </c>
      <c r="B806" t="str">
        <f>"3:17:17.395168"</f>
        <v>3:17:17.395168</v>
      </c>
      <c r="C806">
        <v>-75</v>
      </c>
    </row>
    <row r="807" spans="1:3" x14ac:dyDescent="0.25">
      <c r="A807">
        <v>38</v>
      </c>
      <c r="B807" t="str">
        <f>"3:17:17.395864"</f>
        <v>3:17:17.395864</v>
      </c>
      <c r="C807">
        <v>-64</v>
      </c>
    </row>
    <row r="808" spans="1:3" x14ac:dyDescent="0.25">
      <c r="A808">
        <v>39</v>
      </c>
      <c r="B808" t="str">
        <f>"3:17:17.396562"</f>
        <v>3:17:17.396562</v>
      </c>
      <c r="C808">
        <v>-62</v>
      </c>
    </row>
    <row r="809" spans="1:3" x14ac:dyDescent="0.25">
      <c r="A809">
        <v>37</v>
      </c>
      <c r="B809" t="str">
        <f>"3:17:18.640936"</f>
        <v>3:17:18.640936</v>
      </c>
      <c r="C809">
        <v>-74</v>
      </c>
    </row>
    <row r="810" spans="1:3" x14ac:dyDescent="0.25">
      <c r="A810">
        <v>38</v>
      </c>
      <c r="B810" t="str">
        <f>"3:17:18.641633"</f>
        <v>3:17:18.641633</v>
      </c>
      <c r="C810">
        <v>-63</v>
      </c>
    </row>
    <row r="811" spans="1:3" x14ac:dyDescent="0.25">
      <c r="A811">
        <v>39</v>
      </c>
      <c r="B811" t="str">
        <f>"3:17:18.642330"</f>
        <v>3:17:18.642330</v>
      </c>
      <c r="C811">
        <v>-62</v>
      </c>
    </row>
    <row r="812" spans="1:3" x14ac:dyDescent="0.25">
      <c r="A812">
        <v>37</v>
      </c>
      <c r="B812" t="str">
        <f>"3:17:19.888103"</f>
        <v>3:17:19.888103</v>
      </c>
      <c r="C812">
        <v>-73</v>
      </c>
    </row>
    <row r="813" spans="1:3" x14ac:dyDescent="0.25">
      <c r="A813">
        <v>38</v>
      </c>
      <c r="B813" t="str">
        <f>"3:17:19.888800"</f>
        <v>3:17:19.888800</v>
      </c>
      <c r="C813">
        <v>-63</v>
      </c>
    </row>
    <row r="814" spans="1:3" x14ac:dyDescent="0.25">
      <c r="A814">
        <v>39</v>
      </c>
      <c r="B814" t="str">
        <f>"3:17:19.889497"</f>
        <v>3:17:19.889497</v>
      </c>
      <c r="C814">
        <v>-62</v>
      </c>
    </row>
    <row r="815" spans="1:3" x14ac:dyDescent="0.25">
      <c r="A815">
        <v>37</v>
      </c>
      <c r="B815" t="str">
        <f>"3:17:21.127759"</f>
        <v>3:17:21.127759</v>
      </c>
      <c r="C815">
        <v>-73</v>
      </c>
    </row>
    <row r="816" spans="1:3" x14ac:dyDescent="0.25">
      <c r="A816">
        <v>38</v>
      </c>
      <c r="B816" t="str">
        <f>"3:17:21.128456"</f>
        <v>3:17:21.128456</v>
      </c>
      <c r="C816">
        <v>-63</v>
      </c>
    </row>
    <row r="817" spans="1:3" x14ac:dyDescent="0.25">
      <c r="A817">
        <v>39</v>
      </c>
      <c r="B817" t="str">
        <f>"3:17:21.129153"</f>
        <v>3:17:21.129153</v>
      </c>
      <c r="C817">
        <v>-62</v>
      </c>
    </row>
    <row r="818" spans="1:3" x14ac:dyDescent="0.25">
      <c r="A818">
        <v>37</v>
      </c>
      <c r="B818" t="str">
        <f>"3:17:22.372186"</f>
        <v>3:17:22.372186</v>
      </c>
      <c r="C818">
        <v>-74</v>
      </c>
    </row>
    <row r="819" spans="1:3" x14ac:dyDescent="0.25">
      <c r="A819">
        <v>38</v>
      </c>
      <c r="B819" t="str">
        <f>"3:17:22.372883"</f>
        <v>3:17:22.372883</v>
      </c>
      <c r="C819">
        <v>-63</v>
      </c>
    </row>
    <row r="820" spans="1:3" x14ac:dyDescent="0.25">
      <c r="A820">
        <v>39</v>
      </c>
      <c r="B820" t="str">
        <f>"3:17:22.373580"</f>
        <v>3:17:22.373580</v>
      </c>
      <c r="C820">
        <v>-62</v>
      </c>
    </row>
    <row r="821" spans="1:3" x14ac:dyDescent="0.25">
      <c r="A821">
        <v>38</v>
      </c>
      <c r="B821" t="str">
        <f>"3:17:23.628526"</f>
        <v>3:17:23.628526</v>
      </c>
      <c r="C821">
        <v>-64</v>
      </c>
    </row>
    <row r="822" spans="1:3" x14ac:dyDescent="0.25">
      <c r="A822">
        <v>39</v>
      </c>
      <c r="B822" t="str">
        <f>"3:17:23.629223"</f>
        <v>3:17:23.629223</v>
      </c>
      <c r="C822">
        <v>-62</v>
      </c>
    </row>
    <row r="823" spans="1:3" x14ac:dyDescent="0.25">
      <c r="A823">
        <v>38</v>
      </c>
      <c r="B823" t="str">
        <f>"3:17:24.862988"</f>
        <v>3:17:24.862988</v>
      </c>
      <c r="C823">
        <v>-65</v>
      </c>
    </row>
    <row r="824" spans="1:3" x14ac:dyDescent="0.25">
      <c r="A824">
        <v>39</v>
      </c>
      <c r="B824" t="str">
        <f>"3:17:24.863685"</f>
        <v>3:17:24.863685</v>
      </c>
      <c r="C824">
        <v>-62</v>
      </c>
    </row>
    <row r="825" spans="1:3" x14ac:dyDescent="0.25">
      <c r="A825">
        <v>37</v>
      </c>
      <c r="B825" t="str">
        <f>"3:17:26.115669"</f>
        <v>3:17:26.115669</v>
      </c>
      <c r="C825">
        <v>-74</v>
      </c>
    </row>
    <row r="826" spans="1:3" x14ac:dyDescent="0.25">
      <c r="A826">
        <v>38</v>
      </c>
      <c r="B826" t="str">
        <f>"3:17:26.116366"</f>
        <v>3:17:26.116366</v>
      </c>
      <c r="C826">
        <v>-63</v>
      </c>
    </row>
    <row r="827" spans="1:3" x14ac:dyDescent="0.25">
      <c r="A827">
        <v>39</v>
      </c>
      <c r="B827" t="str">
        <f>"3:17:26.117063"</f>
        <v>3:17:26.117063</v>
      </c>
      <c r="C827">
        <v>-62</v>
      </c>
    </row>
    <row r="828" spans="1:3" x14ac:dyDescent="0.25">
      <c r="A828">
        <v>37</v>
      </c>
      <c r="B828" t="str">
        <f>"3:17:27.349896"</f>
        <v>3:17:27.349896</v>
      </c>
      <c r="C828">
        <v>-73</v>
      </c>
    </row>
    <row r="829" spans="1:3" x14ac:dyDescent="0.25">
      <c r="A829">
        <v>39</v>
      </c>
      <c r="B829" t="str">
        <f>"3:17:27.351290"</f>
        <v>3:17:27.351290</v>
      </c>
      <c r="C829">
        <v>-62</v>
      </c>
    </row>
    <row r="830" spans="1:3" x14ac:dyDescent="0.25">
      <c r="A830">
        <v>37</v>
      </c>
      <c r="B830" t="str">
        <f>"3:17:28.598352"</f>
        <v>3:17:28.598352</v>
      </c>
      <c r="C830">
        <v>-73</v>
      </c>
    </row>
    <row r="831" spans="1:3" x14ac:dyDescent="0.25">
      <c r="A831">
        <v>38</v>
      </c>
      <c r="B831" t="str">
        <f>"3:17:28.599049"</f>
        <v>3:17:28.599049</v>
      </c>
      <c r="C831">
        <v>-63</v>
      </c>
    </row>
    <row r="832" spans="1:3" x14ac:dyDescent="0.25">
      <c r="A832">
        <v>39</v>
      </c>
      <c r="B832" t="str">
        <f>"3:17:28.599746"</f>
        <v>3:17:28.599746</v>
      </c>
      <c r="C832">
        <v>-62</v>
      </c>
    </row>
    <row r="833" spans="1:3" x14ac:dyDescent="0.25">
      <c r="A833">
        <v>37</v>
      </c>
      <c r="B833" t="str">
        <f>"3:17:29.848951"</f>
        <v>3:17:29.848951</v>
      </c>
      <c r="C833">
        <v>-73</v>
      </c>
    </row>
    <row r="834" spans="1:3" x14ac:dyDescent="0.25">
      <c r="A834">
        <v>38</v>
      </c>
      <c r="B834" t="str">
        <f>"3:17:29.849648"</f>
        <v>3:17:29.849648</v>
      </c>
      <c r="C834">
        <v>-63</v>
      </c>
    </row>
    <row r="835" spans="1:3" x14ac:dyDescent="0.25">
      <c r="A835">
        <v>39</v>
      </c>
      <c r="B835" t="str">
        <f>"3:17:29.850345"</f>
        <v>3:17:29.850345</v>
      </c>
      <c r="C835">
        <v>-62</v>
      </c>
    </row>
    <row r="836" spans="1:3" x14ac:dyDescent="0.25">
      <c r="A836">
        <v>37</v>
      </c>
      <c r="B836" t="str">
        <f>"3:17:31.090928"</f>
        <v>3:17:31.090928</v>
      </c>
      <c r="C836">
        <v>-76</v>
      </c>
    </row>
    <row r="837" spans="1:3" x14ac:dyDescent="0.25">
      <c r="A837">
        <v>38</v>
      </c>
      <c r="B837" t="str">
        <f>"3:17:31.091625"</f>
        <v>3:17:31.091625</v>
      </c>
      <c r="C837">
        <v>-65</v>
      </c>
    </row>
    <row r="838" spans="1:3" x14ac:dyDescent="0.25">
      <c r="A838">
        <v>39</v>
      </c>
      <c r="B838" t="str">
        <f>"3:17:31.092322"</f>
        <v>3:17:31.092322</v>
      </c>
      <c r="C838">
        <v>-62</v>
      </c>
    </row>
    <row r="839" spans="1:3" x14ac:dyDescent="0.25">
      <c r="A839">
        <v>37</v>
      </c>
      <c r="B839" t="str">
        <f>"3:17:32.342574"</f>
        <v>3:17:32.342574</v>
      </c>
      <c r="C839">
        <v>-74</v>
      </c>
    </row>
    <row r="840" spans="1:3" x14ac:dyDescent="0.25">
      <c r="A840">
        <v>38</v>
      </c>
      <c r="B840" t="str">
        <f>"3:17:32.343271"</f>
        <v>3:17:32.343271</v>
      </c>
      <c r="C840">
        <v>-63</v>
      </c>
    </row>
    <row r="841" spans="1:3" x14ac:dyDescent="0.25">
      <c r="A841">
        <v>39</v>
      </c>
      <c r="B841" t="str">
        <f>"3:17:32.343968"</f>
        <v>3:17:32.343968</v>
      </c>
      <c r="C841">
        <v>-62</v>
      </c>
    </row>
    <row r="842" spans="1:3" x14ac:dyDescent="0.25">
      <c r="A842">
        <v>37</v>
      </c>
      <c r="B842" t="str">
        <f>"3:17:33.593442"</f>
        <v>3:17:33.593442</v>
      </c>
      <c r="C842">
        <v>-74</v>
      </c>
    </row>
    <row r="843" spans="1:3" x14ac:dyDescent="0.25">
      <c r="A843">
        <v>38</v>
      </c>
      <c r="B843" t="str">
        <f>"3:17:33.594139"</f>
        <v>3:17:33.594139</v>
      </c>
      <c r="C843">
        <v>-63</v>
      </c>
    </row>
    <row r="844" spans="1:3" x14ac:dyDescent="0.25">
      <c r="A844">
        <v>39</v>
      </c>
      <c r="B844" t="str">
        <f>"3:17:33.594836"</f>
        <v>3:17:33.594836</v>
      </c>
      <c r="C844">
        <v>-62</v>
      </c>
    </row>
    <row r="845" spans="1:3" x14ac:dyDescent="0.25">
      <c r="A845">
        <v>37</v>
      </c>
      <c r="B845" t="str">
        <f>"3:17:34.829676"</f>
        <v>3:17:34.829676</v>
      </c>
      <c r="C845">
        <v>-73</v>
      </c>
    </row>
    <row r="846" spans="1:3" x14ac:dyDescent="0.25">
      <c r="A846">
        <v>38</v>
      </c>
      <c r="B846" t="str">
        <f>"3:17:34.830373"</f>
        <v>3:17:34.830373</v>
      </c>
      <c r="C846">
        <v>-63</v>
      </c>
    </row>
    <row r="847" spans="1:3" x14ac:dyDescent="0.25">
      <c r="A847">
        <v>39</v>
      </c>
      <c r="B847" t="str">
        <f>"3:17:34.831070"</f>
        <v>3:17:34.831070</v>
      </c>
      <c r="C847">
        <v>-62</v>
      </c>
    </row>
    <row r="848" spans="1:3" x14ac:dyDescent="0.25">
      <c r="A848">
        <v>39</v>
      </c>
      <c r="B848" t="str">
        <f>"3:17:34.831573"</f>
        <v>3:17:34.831573</v>
      </c>
      <c r="C848">
        <v>-67</v>
      </c>
    </row>
    <row r="849" spans="1:3" x14ac:dyDescent="0.25">
      <c r="A849">
        <v>37</v>
      </c>
      <c r="B849" t="str">
        <f>"3:17:36.071255"</f>
        <v>3:17:36.071255</v>
      </c>
      <c r="C849">
        <v>-73</v>
      </c>
    </row>
    <row r="850" spans="1:3" x14ac:dyDescent="0.25">
      <c r="A850">
        <v>38</v>
      </c>
      <c r="B850" t="str">
        <f>"3:17:36.071952"</f>
        <v>3:17:36.071952</v>
      </c>
      <c r="C850">
        <v>-63</v>
      </c>
    </row>
    <row r="851" spans="1:3" x14ac:dyDescent="0.25">
      <c r="A851">
        <v>39</v>
      </c>
      <c r="B851" t="str">
        <f>"3:17:36.072649"</f>
        <v>3:17:36.072649</v>
      </c>
      <c r="C851">
        <v>-62</v>
      </c>
    </row>
    <row r="852" spans="1:3" x14ac:dyDescent="0.25">
      <c r="A852">
        <v>37</v>
      </c>
      <c r="B852" t="str">
        <f>"3:17:37.311082"</f>
        <v>3:17:37.311082</v>
      </c>
      <c r="C852">
        <v>-74</v>
      </c>
    </row>
    <row r="853" spans="1:3" x14ac:dyDescent="0.25">
      <c r="A853">
        <v>38</v>
      </c>
      <c r="B853" t="str">
        <f>"3:17:37.311779"</f>
        <v>3:17:37.311779</v>
      </c>
      <c r="C853">
        <v>-63</v>
      </c>
    </row>
    <row r="854" spans="1:3" x14ac:dyDescent="0.25">
      <c r="A854">
        <v>39</v>
      </c>
      <c r="B854" t="str">
        <f>"3:17:37.312476"</f>
        <v>3:17:37.312476</v>
      </c>
      <c r="C854">
        <v>-62</v>
      </c>
    </row>
    <row r="855" spans="1:3" x14ac:dyDescent="0.25">
      <c r="A855">
        <v>39</v>
      </c>
      <c r="B855" t="str">
        <f>"3:17:38.569004"</f>
        <v>3:17:38.569004</v>
      </c>
      <c r="C855">
        <v>-61</v>
      </c>
    </row>
    <row r="856" spans="1:3" x14ac:dyDescent="0.25">
      <c r="A856">
        <v>37</v>
      </c>
      <c r="B856" t="str">
        <f>"3:17:39.809437"</f>
        <v>3:17:39.809437</v>
      </c>
      <c r="C856">
        <v>-73</v>
      </c>
    </row>
    <row r="857" spans="1:3" x14ac:dyDescent="0.25">
      <c r="A857">
        <v>38</v>
      </c>
      <c r="B857" t="str">
        <f>"3:17:39.810134"</f>
        <v>3:17:39.810134</v>
      </c>
      <c r="C857">
        <v>-64</v>
      </c>
    </row>
    <row r="858" spans="1:3" x14ac:dyDescent="0.25">
      <c r="A858">
        <v>39</v>
      </c>
      <c r="B858" t="str">
        <f>"3:17:39.810831"</f>
        <v>3:17:39.810831</v>
      </c>
      <c r="C858">
        <v>-62</v>
      </c>
    </row>
    <row r="859" spans="1:3" x14ac:dyDescent="0.25">
      <c r="A859">
        <v>37</v>
      </c>
      <c r="B859" t="str">
        <f>"3:17:41.055865"</f>
        <v>3:17:41.055865</v>
      </c>
      <c r="C859">
        <v>-73</v>
      </c>
    </row>
    <row r="860" spans="1:3" x14ac:dyDescent="0.25">
      <c r="A860">
        <v>38</v>
      </c>
      <c r="B860" t="str">
        <f>"3:17:41.056562"</f>
        <v>3:17:41.056562</v>
      </c>
      <c r="C860">
        <v>-63</v>
      </c>
    </row>
    <row r="861" spans="1:3" x14ac:dyDescent="0.25">
      <c r="A861">
        <v>39</v>
      </c>
      <c r="B861" t="str">
        <f>"3:17:41.057259"</f>
        <v>3:17:41.057259</v>
      </c>
      <c r="C861">
        <v>-62</v>
      </c>
    </row>
    <row r="862" spans="1:3" x14ac:dyDescent="0.25">
      <c r="A862">
        <v>37</v>
      </c>
      <c r="B862" t="str">
        <f>"3:17:42.293292"</f>
        <v>3:17:42.293292</v>
      </c>
      <c r="C862">
        <v>-74</v>
      </c>
    </row>
    <row r="863" spans="1:3" x14ac:dyDescent="0.25">
      <c r="A863">
        <v>38</v>
      </c>
      <c r="B863" t="str">
        <f>"3:17:42.293989"</f>
        <v>3:17:42.293989</v>
      </c>
      <c r="C863">
        <v>-63</v>
      </c>
    </row>
    <row r="864" spans="1:3" x14ac:dyDescent="0.25">
      <c r="A864">
        <v>39</v>
      </c>
      <c r="B864" t="str">
        <f>"3:17:42.294686"</f>
        <v>3:17:42.294686</v>
      </c>
      <c r="C864">
        <v>-62</v>
      </c>
    </row>
    <row r="865" spans="1:3" x14ac:dyDescent="0.25">
      <c r="A865">
        <v>37</v>
      </c>
      <c r="B865" t="str">
        <f>"3:17:43.533485"</f>
        <v>3:17:43.533485</v>
      </c>
      <c r="C865">
        <v>-75</v>
      </c>
    </row>
    <row r="866" spans="1:3" x14ac:dyDescent="0.25">
      <c r="A866">
        <v>38</v>
      </c>
      <c r="B866" t="str">
        <f>"3:17:43.534181"</f>
        <v>3:17:43.534181</v>
      </c>
      <c r="C866">
        <v>-63</v>
      </c>
    </row>
    <row r="867" spans="1:3" x14ac:dyDescent="0.25">
      <c r="A867">
        <v>39</v>
      </c>
      <c r="B867" t="str">
        <f>"3:17:43.534879"</f>
        <v>3:17:43.534879</v>
      </c>
      <c r="C867">
        <v>-62</v>
      </c>
    </row>
    <row r="868" spans="1:3" x14ac:dyDescent="0.25">
      <c r="A868">
        <v>37</v>
      </c>
      <c r="B868" t="str">
        <f>"3:17:44.816056"</f>
        <v>3:17:44.816056</v>
      </c>
      <c r="C868">
        <v>-74</v>
      </c>
    </row>
    <row r="869" spans="1:3" x14ac:dyDescent="0.25">
      <c r="A869">
        <v>38</v>
      </c>
      <c r="B869" t="str">
        <f>"3:17:44.816753"</f>
        <v>3:17:44.816753</v>
      </c>
      <c r="C869">
        <v>-63</v>
      </c>
    </row>
    <row r="870" spans="1:3" x14ac:dyDescent="0.25">
      <c r="A870">
        <v>39</v>
      </c>
      <c r="B870" t="str">
        <f>"3:17:44.817450"</f>
        <v>3:17:44.817450</v>
      </c>
      <c r="C870">
        <v>-62</v>
      </c>
    </row>
    <row r="871" spans="1:3" x14ac:dyDescent="0.25">
      <c r="A871">
        <v>37</v>
      </c>
      <c r="B871" t="str">
        <f>"3:17:46.024923"</f>
        <v>3:17:46.024923</v>
      </c>
      <c r="C871">
        <v>-74</v>
      </c>
    </row>
    <row r="872" spans="1:3" x14ac:dyDescent="0.25">
      <c r="A872">
        <v>38</v>
      </c>
      <c r="B872" t="str">
        <f>"3:17:46.025619"</f>
        <v>3:17:46.025619</v>
      </c>
      <c r="C872">
        <v>-63</v>
      </c>
    </row>
    <row r="873" spans="1:3" x14ac:dyDescent="0.25">
      <c r="A873">
        <v>39</v>
      </c>
      <c r="B873" t="str">
        <f>"3:17:46.026316"</f>
        <v>3:17:46.026316</v>
      </c>
      <c r="C873">
        <v>-62</v>
      </c>
    </row>
    <row r="874" spans="1:3" x14ac:dyDescent="0.25">
      <c r="A874">
        <v>37</v>
      </c>
      <c r="B874" t="str">
        <f>"3:17:47.273350"</f>
        <v>3:17:47.273350</v>
      </c>
      <c r="C874">
        <v>-74</v>
      </c>
    </row>
    <row r="875" spans="1:3" x14ac:dyDescent="0.25">
      <c r="A875">
        <v>38</v>
      </c>
      <c r="B875" t="str">
        <f>"3:17:47.274047"</f>
        <v>3:17:47.274047</v>
      </c>
      <c r="C875">
        <v>-63</v>
      </c>
    </row>
    <row r="876" spans="1:3" x14ac:dyDescent="0.25">
      <c r="A876">
        <v>39</v>
      </c>
      <c r="B876" t="str">
        <f>"3:17:47.274744"</f>
        <v>3:17:47.274744</v>
      </c>
      <c r="C876">
        <v>-62</v>
      </c>
    </row>
    <row r="877" spans="1:3" x14ac:dyDescent="0.25">
      <c r="A877">
        <v>37</v>
      </c>
      <c r="B877" t="str">
        <f>"3:17:48.514927"</f>
        <v>3:17:48.514927</v>
      </c>
      <c r="C877">
        <v>-75</v>
      </c>
    </row>
    <row r="878" spans="1:3" x14ac:dyDescent="0.25">
      <c r="A878">
        <v>38</v>
      </c>
      <c r="B878" t="str">
        <f>"3:17:48.515624"</f>
        <v>3:17:48.515624</v>
      </c>
      <c r="C878">
        <v>-63</v>
      </c>
    </row>
    <row r="879" spans="1:3" x14ac:dyDescent="0.25">
      <c r="A879">
        <v>39</v>
      </c>
      <c r="B879" t="str">
        <f>"3:17:48.516321"</f>
        <v>3:17:48.516321</v>
      </c>
      <c r="C879">
        <v>-62</v>
      </c>
    </row>
    <row r="880" spans="1:3" x14ac:dyDescent="0.25">
      <c r="A880">
        <v>37</v>
      </c>
      <c r="B880" t="str">
        <f>"3:17:49.780537"</f>
        <v>3:17:49.780537</v>
      </c>
      <c r="C880">
        <v>-74</v>
      </c>
    </row>
    <row r="881" spans="1:3" x14ac:dyDescent="0.25">
      <c r="A881">
        <v>38</v>
      </c>
      <c r="B881" t="str">
        <f>"3:17:49.781234"</f>
        <v>3:17:49.781234</v>
      </c>
      <c r="C881">
        <v>-63</v>
      </c>
    </row>
    <row r="882" spans="1:3" x14ac:dyDescent="0.25">
      <c r="A882">
        <v>39</v>
      </c>
      <c r="B882" t="str">
        <f>"3:17:49.781931"</f>
        <v>3:17:49.781931</v>
      </c>
      <c r="C882">
        <v>-62</v>
      </c>
    </row>
    <row r="883" spans="1:3" x14ac:dyDescent="0.25">
      <c r="A883">
        <v>37</v>
      </c>
      <c r="B883" t="str">
        <f>"3:17:51.000406"</f>
        <v>3:17:51.000406</v>
      </c>
      <c r="C883">
        <v>-74</v>
      </c>
    </row>
    <row r="884" spans="1:3" x14ac:dyDescent="0.25">
      <c r="A884">
        <v>38</v>
      </c>
      <c r="B884" t="str">
        <f>"3:17:51.001103"</f>
        <v>3:17:51.001103</v>
      </c>
      <c r="C884">
        <v>-63</v>
      </c>
    </row>
    <row r="885" spans="1:3" x14ac:dyDescent="0.25">
      <c r="A885">
        <v>39</v>
      </c>
      <c r="B885" t="str">
        <f>"3:17:51.001800"</f>
        <v>3:17:51.001800</v>
      </c>
      <c r="C885">
        <v>-62</v>
      </c>
    </row>
    <row r="886" spans="1:3" x14ac:dyDescent="0.25">
      <c r="A886">
        <v>38</v>
      </c>
      <c r="B886" t="str">
        <f>"3:17:52.249031"</f>
        <v>3:17:52.249031</v>
      </c>
      <c r="C886">
        <v>-64</v>
      </c>
    </row>
    <row r="887" spans="1:3" x14ac:dyDescent="0.25">
      <c r="A887">
        <v>39</v>
      </c>
      <c r="B887" t="str">
        <f>"3:17:52.249728"</f>
        <v>3:17:52.249728</v>
      </c>
      <c r="C887">
        <v>-62</v>
      </c>
    </row>
    <row r="888" spans="1:3" x14ac:dyDescent="0.25">
      <c r="A888">
        <v>37</v>
      </c>
      <c r="B888" t="str">
        <f>"3:17:53.492663"</f>
        <v>3:17:53.492663</v>
      </c>
      <c r="C888">
        <v>-75</v>
      </c>
    </row>
    <row r="889" spans="1:3" x14ac:dyDescent="0.25">
      <c r="A889">
        <v>38</v>
      </c>
      <c r="B889" t="str">
        <f>"3:17:53.493360"</f>
        <v>3:17:53.493360</v>
      </c>
      <c r="C889">
        <v>-64</v>
      </c>
    </row>
    <row r="890" spans="1:3" x14ac:dyDescent="0.25">
      <c r="A890">
        <v>39</v>
      </c>
      <c r="B890" t="str">
        <f>"3:17:53.494057"</f>
        <v>3:17:53.494057</v>
      </c>
      <c r="C890">
        <v>-62</v>
      </c>
    </row>
    <row r="891" spans="1:3" x14ac:dyDescent="0.25">
      <c r="A891">
        <v>37</v>
      </c>
      <c r="B891" t="str">
        <f>"3:17:54.742946"</f>
        <v>3:17:54.742946</v>
      </c>
      <c r="C891">
        <v>-73</v>
      </c>
    </row>
    <row r="892" spans="1:3" x14ac:dyDescent="0.25">
      <c r="A892">
        <v>38</v>
      </c>
      <c r="B892" t="str">
        <f>"3:17:54.743643"</f>
        <v>3:17:54.743643</v>
      </c>
      <c r="C892">
        <v>-63</v>
      </c>
    </row>
    <row r="893" spans="1:3" x14ac:dyDescent="0.25">
      <c r="A893">
        <v>39</v>
      </c>
      <c r="B893" t="str">
        <f>"3:17:54.744340"</f>
        <v>3:17:54.744340</v>
      </c>
      <c r="C893">
        <v>-62</v>
      </c>
    </row>
    <row r="894" spans="1:3" x14ac:dyDescent="0.25">
      <c r="A894">
        <v>37</v>
      </c>
      <c r="B894" t="str">
        <f>"3:17:55.971164"</f>
        <v>3:17:55.971164</v>
      </c>
      <c r="C894">
        <v>-75</v>
      </c>
    </row>
    <row r="895" spans="1:3" x14ac:dyDescent="0.25">
      <c r="A895">
        <v>38</v>
      </c>
      <c r="B895" t="str">
        <f>"3:17:55.971861"</f>
        <v>3:17:55.971861</v>
      </c>
      <c r="C895">
        <v>-63</v>
      </c>
    </row>
    <row r="896" spans="1:3" x14ac:dyDescent="0.25">
      <c r="A896">
        <v>39</v>
      </c>
      <c r="B896" t="str">
        <f>"3:17:55.972558"</f>
        <v>3:17:55.972558</v>
      </c>
      <c r="C896">
        <v>-62</v>
      </c>
    </row>
    <row r="897" spans="1:3" x14ac:dyDescent="0.25">
      <c r="A897">
        <v>37</v>
      </c>
      <c r="B897" t="str">
        <f>"3:17:57.251641"</f>
        <v>3:17:57.251641</v>
      </c>
      <c r="C897">
        <v>-74</v>
      </c>
    </row>
    <row r="898" spans="1:3" x14ac:dyDescent="0.25">
      <c r="A898">
        <v>38</v>
      </c>
      <c r="B898" t="str">
        <f>"3:17:57.252338"</f>
        <v>3:17:57.252338</v>
      </c>
      <c r="C898">
        <v>-63</v>
      </c>
    </row>
    <row r="899" spans="1:3" x14ac:dyDescent="0.25">
      <c r="A899">
        <v>39</v>
      </c>
      <c r="B899" t="str">
        <f>"3:17:57.253035"</f>
        <v>3:17:57.253035</v>
      </c>
      <c r="C899">
        <v>-62</v>
      </c>
    </row>
    <row r="900" spans="1:3" x14ac:dyDescent="0.25">
      <c r="A900">
        <v>37</v>
      </c>
      <c r="B900" t="str">
        <f>"3:17:58.463543"</f>
        <v>3:17:58.463543</v>
      </c>
      <c r="C900">
        <v>-74</v>
      </c>
    </row>
    <row r="901" spans="1:3" x14ac:dyDescent="0.25">
      <c r="A901">
        <v>38</v>
      </c>
      <c r="B901" t="str">
        <f>"3:17:58.464240"</f>
        <v>3:17:58.464240</v>
      </c>
      <c r="C901">
        <v>-64</v>
      </c>
    </row>
    <row r="902" spans="1:3" x14ac:dyDescent="0.25">
      <c r="A902">
        <v>39</v>
      </c>
      <c r="B902" t="str">
        <f>"3:17:58.464937"</f>
        <v>3:17:58.464937</v>
      </c>
      <c r="C902">
        <v>-62</v>
      </c>
    </row>
    <row r="903" spans="1:3" x14ac:dyDescent="0.25">
      <c r="A903">
        <v>37</v>
      </c>
      <c r="B903" t="str">
        <f>"3:17:59.710911"</f>
        <v>3:17:59.710911</v>
      </c>
      <c r="C903">
        <v>-74</v>
      </c>
    </row>
    <row r="904" spans="1:3" x14ac:dyDescent="0.25">
      <c r="A904">
        <v>38</v>
      </c>
      <c r="B904" t="str">
        <f>"3:17:59.711608"</f>
        <v>3:17:59.711608</v>
      </c>
      <c r="C904">
        <v>-63</v>
      </c>
    </row>
    <row r="905" spans="1:3" x14ac:dyDescent="0.25">
      <c r="A905">
        <v>39</v>
      </c>
      <c r="B905" t="str">
        <f>"3:17:59.712305"</f>
        <v>3:17:59.712305</v>
      </c>
      <c r="C905">
        <v>-62</v>
      </c>
    </row>
    <row r="906" spans="1:3" x14ac:dyDescent="0.25">
      <c r="A906">
        <v>37</v>
      </c>
      <c r="B906" t="str">
        <f>"3:18:00.956022"</f>
        <v>3:18:00.956022</v>
      </c>
      <c r="C906">
        <v>-74</v>
      </c>
    </row>
    <row r="907" spans="1:3" x14ac:dyDescent="0.25">
      <c r="A907">
        <v>38</v>
      </c>
      <c r="B907" t="str">
        <f>"3:18:00.956719"</f>
        <v>3:18:00.956719</v>
      </c>
      <c r="C907">
        <v>-63</v>
      </c>
    </row>
    <row r="908" spans="1:3" x14ac:dyDescent="0.25">
      <c r="A908">
        <v>39</v>
      </c>
      <c r="B908" t="str">
        <f>"3:18:00.957416"</f>
        <v>3:18:00.957416</v>
      </c>
      <c r="C908">
        <v>-62</v>
      </c>
    </row>
    <row r="909" spans="1:3" x14ac:dyDescent="0.25">
      <c r="A909">
        <v>37</v>
      </c>
      <c r="B909" t="str">
        <f>"3:18:02.202100"</f>
        <v>3:18:02.202100</v>
      </c>
      <c r="C909">
        <v>-75</v>
      </c>
    </row>
    <row r="910" spans="1:3" x14ac:dyDescent="0.25">
      <c r="A910">
        <v>38</v>
      </c>
      <c r="B910" t="str">
        <f>"3:18:02.202797"</f>
        <v>3:18:02.202797</v>
      </c>
      <c r="C910">
        <v>-64</v>
      </c>
    </row>
    <row r="911" spans="1:3" x14ac:dyDescent="0.25">
      <c r="A911">
        <v>39</v>
      </c>
      <c r="B911" t="str">
        <f>"3:18:02.203494"</f>
        <v>3:18:02.203494</v>
      </c>
      <c r="C911">
        <v>-62</v>
      </c>
    </row>
    <row r="912" spans="1:3" x14ac:dyDescent="0.25">
      <c r="A912">
        <v>37</v>
      </c>
      <c r="B912" t="str">
        <f>"3:18:03.467906"</f>
        <v>3:18:03.467906</v>
      </c>
      <c r="C912">
        <v>-75</v>
      </c>
    </row>
    <row r="913" spans="1:3" x14ac:dyDescent="0.25">
      <c r="A913">
        <v>38</v>
      </c>
      <c r="B913" t="str">
        <f>"3:18:03.468603"</f>
        <v>3:18:03.468603</v>
      </c>
      <c r="C913">
        <v>-63</v>
      </c>
    </row>
    <row r="914" spans="1:3" x14ac:dyDescent="0.25">
      <c r="A914">
        <v>39</v>
      </c>
      <c r="B914" t="str">
        <f>"3:18:03.469300"</f>
        <v>3:18:03.469300</v>
      </c>
      <c r="C914">
        <v>-62</v>
      </c>
    </row>
    <row r="915" spans="1:3" x14ac:dyDescent="0.25">
      <c r="A915">
        <v>37</v>
      </c>
      <c r="B915" t="str">
        <f>"3:18:04.677907"</f>
        <v>3:18:04.677907</v>
      </c>
      <c r="C915">
        <v>-74</v>
      </c>
    </row>
    <row r="916" spans="1:3" x14ac:dyDescent="0.25">
      <c r="A916">
        <v>38</v>
      </c>
      <c r="B916" t="str">
        <f>"3:18:04.678604"</f>
        <v>3:18:04.678604</v>
      </c>
      <c r="C916">
        <v>-63</v>
      </c>
    </row>
    <row r="917" spans="1:3" x14ac:dyDescent="0.25">
      <c r="A917">
        <v>39</v>
      </c>
      <c r="B917" t="str">
        <f>"3:18:04.679301"</f>
        <v>3:18:04.679301</v>
      </c>
      <c r="C917">
        <v>-62</v>
      </c>
    </row>
    <row r="918" spans="1:3" x14ac:dyDescent="0.25">
      <c r="A918">
        <v>37</v>
      </c>
      <c r="B918" t="str">
        <f>"3:18:05.928756"</f>
        <v>3:18:05.928756</v>
      </c>
      <c r="C918">
        <v>-75</v>
      </c>
    </row>
    <row r="919" spans="1:3" x14ac:dyDescent="0.25">
      <c r="A919">
        <v>38</v>
      </c>
      <c r="B919" t="str">
        <f>"3:18:05.929453"</f>
        <v>3:18:05.929453</v>
      </c>
      <c r="C919">
        <v>-64</v>
      </c>
    </row>
    <row r="920" spans="1:3" x14ac:dyDescent="0.25">
      <c r="A920">
        <v>39</v>
      </c>
      <c r="B920" t="str">
        <f>"3:18:05.930150"</f>
        <v>3:18:05.930150</v>
      </c>
      <c r="C920">
        <v>-62</v>
      </c>
    </row>
    <row r="921" spans="1:3" x14ac:dyDescent="0.25">
      <c r="A921">
        <v>38</v>
      </c>
      <c r="B921" t="str">
        <f>"3:18:07.186928"</f>
        <v>3:18:07.186928</v>
      </c>
      <c r="C921">
        <v>-62</v>
      </c>
    </row>
    <row r="922" spans="1:3" x14ac:dyDescent="0.25">
      <c r="A922">
        <v>39</v>
      </c>
      <c r="B922" t="str">
        <f>"3:18:07.187625"</f>
        <v>3:18:07.187625</v>
      </c>
      <c r="C922">
        <v>-62</v>
      </c>
    </row>
    <row r="923" spans="1:3" x14ac:dyDescent="0.25">
      <c r="A923">
        <v>37</v>
      </c>
      <c r="B923" t="str">
        <f>"3:18:08.424435"</f>
        <v>3:18:08.424435</v>
      </c>
      <c r="C923">
        <v>-75</v>
      </c>
    </row>
    <row r="924" spans="1:3" x14ac:dyDescent="0.25">
      <c r="A924">
        <v>38</v>
      </c>
      <c r="B924" t="str">
        <f>"3:18:08.425132"</f>
        <v>3:18:08.425132</v>
      </c>
      <c r="C924">
        <v>-63</v>
      </c>
    </row>
    <row r="925" spans="1:3" x14ac:dyDescent="0.25">
      <c r="A925">
        <v>39</v>
      </c>
      <c r="B925" t="str">
        <f>"3:18:08.425829"</f>
        <v>3:18:08.425829</v>
      </c>
      <c r="C925">
        <v>-62</v>
      </c>
    </row>
    <row r="926" spans="1:3" x14ac:dyDescent="0.25">
      <c r="A926">
        <v>37</v>
      </c>
      <c r="B926" t="str">
        <f>"3:18:09.664263"</f>
        <v>3:18:09.664263</v>
      </c>
      <c r="C926">
        <v>-74</v>
      </c>
    </row>
    <row r="927" spans="1:3" x14ac:dyDescent="0.25">
      <c r="A927">
        <v>38</v>
      </c>
      <c r="B927" t="str">
        <f>"3:18:09.664960"</f>
        <v>3:18:09.664960</v>
      </c>
      <c r="C927">
        <v>-63</v>
      </c>
    </row>
    <row r="928" spans="1:3" x14ac:dyDescent="0.25">
      <c r="A928">
        <v>39</v>
      </c>
      <c r="B928" t="str">
        <f>"3:18:09.665657"</f>
        <v>3:18:09.665657</v>
      </c>
      <c r="C928">
        <v>-62</v>
      </c>
    </row>
    <row r="929" spans="1:3" x14ac:dyDescent="0.25">
      <c r="A929">
        <v>37</v>
      </c>
      <c r="B929" t="str">
        <f>"3:18:10.902390"</f>
        <v>3:18:10.902390</v>
      </c>
      <c r="C929">
        <v>-75</v>
      </c>
    </row>
    <row r="930" spans="1:3" x14ac:dyDescent="0.25">
      <c r="A930">
        <v>38</v>
      </c>
      <c r="B930" t="str">
        <f>"3:18:10.903087"</f>
        <v>3:18:10.903087</v>
      </c>
      <c r="C930">
        <v>-63</v>
      </c>
    </row>
    <row r="931" spans="1:3" x14ac:dyDescent="0.25">
      <c r="A931">
        <v>39</v>
      </c>
      <c r="B931" t="str">
        <f>"3:18:10.903784"</f>
        <v>3:18:10.903784</v>
      </c>
      <c r="C931">
        <v>-62</v>
      </c>
    </row>
    <row r="932" spans="1:3" x14ac:dyDescent="0.25">
      <c r="A932">
        <v>37</v>
      </c>
      <c r="B932" t="str">
        <f>"3:18:12.156668"</f>
        <v>3:18:12.156668</v>
      </c>
      <c r="C932">
        <v>-75</v>
      </c>
    </row>
    <row r="933" spans="1:3" x14ac:dyDescent="0.25">
      <c r="A933">
        <v>38</v>
      </c>
      <c r="B933" t="str">
        <f>"3:18:12.157365"</f>
        <v>3:18:12.157365</v>
      </c>
      <c r="C933">
        <v>-64</v>
      </c>
    </row>
    <row r="934" spans="1:3" x14ac:dyDescent="0.25">
      <c r="A934">
        <v>39</v>
      </c>
      <c r="B934" t="str">
        <f>"3:18:12.158062"</f>
        <v>3:18:12.158062</v>
      </c>
      <c r="C934">
        <v>-62</v>
      </c>
    </row>
    <row r="935" spans="1:3" x14ac:dyDescent="0.25">
      <c r="A935">
        <v>37</v>
      </c>
      <c r="B935" t="str">
        <f>"3:18:13.404364"</f>
        <v>3:18:13.404364</v>
      </c>
      <c r="C935">
        <v>-75</v>
      </c>
    </row>
    <row r="936" spans="1:3" x14ac:dyDescent="0.25">
      <c r="A936">
        <v>38</v>
      </c>
      <c r="B936" t="str">
        <f>"3:18:13.405061"</f>
        <v>3:18:13.405061</v>
      </c>
      <c r="C936">
        <v>-64</v>
      </c>
    </row>
    <row r="937" spans="1:3" x14ac:dyDescent="0.25">
      <c r="A937">
        <v>39</v>
      </c>
      <c r="B937" t="str">
        <f>"3:18:13.405758"</f>
        <v>3:18:13.405758</v>
      </c>
      <c r="C937">
        <v>-62</v>
      </c>
    </row>
    <row r="938" spans="1:3" x14ac:dyDescent="0.25">
      <c r="A938">
        <v>37</v>
      </c>
      <c r="B938" t="str">
        <f>"3:18:14.642062"</f>
        <v>3:18:14.642062</v>
      </c>
      <c r="C938">
        <v>-74</v>
      </c>
    </row>
    <row r="939" spans="1:3" x14ac:dyDescent="0.25">
      <c r="A939">
        <v>38</v>
      </c>
      <c r="B939" t="str">
        <f>"3:18:14.642759"</f>
        <v>3:18:14.642759</v>
      </c>
      <c r="C939">
        <v>-64</v>
      </c>
    </row>
    <row r="940" spans="1:3" x14ac:dyDescent="0.25">
      <c r="A940">
        <v>39</v>
      </c>
      <c r="B940" t="str">
        <f>"3:18:14.643456"</f>
        <v>3:18:14.643456</v>
      </c>
      <c r="C940">
        <v>-62</v>
      </c>
    </row>
    <row r="941" spans="1:3" x14ac:dyDescent="0.25">
      <c r="A941">
        <v>37</v>
      </c>
      <c r="B941" t="str">
        <f>"3:18:15.887989"</f>
        <v>3:18:15.887989</v>
      </c>
      <c r="C941">
        <v>-75</v>
      </c>
    </row>
    <row r="942" spans="1:3" x14ac:dyDescent="0.25">
      <c r="A942">
        <v>38</v>
      </c>
      <c r="B942" t="str">
        <f>"3:18:15.888686"</f>
        <v>3:18:15.888686</v>
      </c>
      <c r="C942">
        <v>-63</v>
      </c>
    </row>
    <row r="943" spans="1:3" x14ac:dyDescent="0.25">
      <c r="A943">
        <v>39</v>
      </c>
      <c r="B943" t="str">
        <f>"3:18:15.889383"</f>
        <v>3:18:15.889383</v>
      </c>
      <c r="C943">
        <v>-62</v>
      </c>
    </row>
    <row r="944" spans="1:3" x14ac:dyDescent="0.25">
      <c r="A944">
        <v>37</v>
      </c>
      <c r="B944" t="str">
        <f>"3:18:17.150269"</f>
        <v>3:18:17.150269</v>
      </c>
      <c r="C944">
        <v>-75</v>
      </c>
    </row>
    <row r="945" spans="1:3" x14ac:dyDescent="0.25">
      <c r="A945">
        <v>38</v>
      </c>
      <c r="B945" t="str">
        <f>"3:18:17.150966"</f>
        <v>3:18:17.150966</v>
      </c>
      <c r="C945">
        <v>-63</v>
      </c>
    </row>
    <row r="946" spans="1:3" x14ac:dyDescent="0.25">
      <c r="A946">
        <v>39</v>
      </c>
      <c r="B946" t="str">
        <f>"3:18:17.151663"</f>
        <v>3:18:17.151663</v>
      </c>
      <c r="C946">
        <v>-62</v>
      </c>
    </row>
    <row r="947" spans="1:3" x14ac:dyDescent="0.25">
      <c r="A947">
        <v>37</v>
      </c>
      <c r="B947" t="str">
        <f>"3:18:18.378768"</f>
        <v>3:18:18.378768</v>
      </c>
      <c r="C947">
        <v>-75</v>
      </c>
    </row>
    <row r="948" spans="1:3" x14ac:dyDescent="0.25">
      <c r="A948">
        <v>38</v>
      </c>
      <c r="B948" t="str">
        <f>"3:18:18.379465"</f>
        <v>3:18:18.379465</v>
      </c>
      <c r="C948">
        <v>-63</v>
      </c>
    </row>
    <row r="949" spans="1:3" x14ac:dyDescent="0.25">
      <c r="A949">
        <v>39</v>
      </c>
      <c r="B949" t="str">
        <f>"3:18:18.380162"</f>
        <v>3:18:18.380162</v>
      </c>
      <c r="C949">
        <v>-62</v>
      </c>
    </row>
    <row r="950" spans="1:3" x14ac:dyDescent="0.25">
      <c r="A950">
        <v>37</v>
      </c>
      <c r="B950" t="str">
        <f>"3:18:20.880097"</f>
        <v>3:18:20.880097</v>
      </c>
      <c r="C950">
        <v>-74</v>
      </c>
    </row>
    <row r="951" spans="1:3" x14ac:dyDescent="0.25">
      <c r="A951">
        <v>38</v>
      </c>
      <c r="B951" t="str">
        <f>"3:18:20.880794"</f>
        <v>3:18:20.880794</v>
      </c>
      <c r="C951">
        <v>-63</v>
      </c>
    </row>
    <row r="952" spans="1:3" x14ac:dyDescent="0.25">
      <c r="A952">
        <v>39</v>
      </c>
      <c r="B952" t="str">
        <f>"3:18:20.881491"</f>
        <v>3:18:20.881491</v>
      </c>
      <c r="C952">
        <v>-62</v>
      </c>
    </row>
    <row r="953" spans="1:3" x14ac:dyDescent="0.25">
      <c r="A953">
        <v>37</v>
      </c>
      <c r="B953" t="str">
        <f>"3:18:22.128099"</f>
        <v>3:18:22.128099</v>
      </c>
      <c r="C953">
        <v>-75</v>
      </c>
    </row>
    <row r="954" spans="1:3" x14ac:dyDescent="0.25">
      <c r="A954">
        <v>38</v>
      </c>
      <c r="B954" t="str">
        <f>"3:18:22.128796"</f>
        <v>3:18:22.128796</v>
      </c>
      <c r="C954">
        <v>-63</v>
      </c>
    </row>
    <row r="955" spans="1:3" x14ac:dyDescent="0.25">
      <c r="A955">
        <v>39</v>
      </c>
      <c r="B955" t="str">
        <f>"3:18:22.129493"</f>
        <v>3:18:22.129493</v>
      </c>
      <c r="C955">
        <v>-62</v>
      </c>
    </row>
    <row r="956" spans="1:3" x14ac:dyDescent="0.25">
      <c r="A956">
        <v>37</v>
      </c>
      <c r="B956" t="str">
        <f>"3:18:23.372348"</f>
        <v>3:18:23.372348</v>
      </c>
      <c r="C956">
        <v>-75</v>
      </c>
    </row>
    <row r="957" spans="1:3" x14ac:dyDescent="0.25">
      <c r="A957">
        <v>38</v>
      </c>
      <c r="B957" t="str">
        <f>"3:18:23.373045"</f>
        <v>3:18:23.373045</v>
      </c>
      <c r="C957">
        <v>-63</v>
      </c>
    </row>
    <row r="958" spans="1:3" x14ac:dyDescent="0.25">
      <c r="A958">
        <v>39</v>
      </c>
      <c r="B958" t="str">
        <f>"3:18:23.373742"</f>
        <v>3:18:23.373742</v>
      </c>
      <c r="C958">
        <v>-62</v>
      </c>
    </row>
    <row r="959" spans="1:3" x14ac:dyDescent="0.25">
      <c r="A959">
        <v>37</v>
      </c>
      <c r="B959" t="str">
        <f>"3:18:24.617982"</f>
        <v>3:18:24.617982</v>
      </c>
      <c r="C959">
        <v>-75</v>
      </c>
    </row>
    <row r="960" spans="1:3" x14ac:dyDescent="0.25">
      <c r="A960">
        <v>38</v>
      </c>
      <c r="B960" t="str">
        <f>"3:18:24.618679"</f>
        <v>3:18:24.618679</v>
      </c>
      <c r="C960">
        <v>-63</v>
      </c>
    </row>
    <row r="961" spans="1:3" x14ac:dyDescent="0.25">
      <c r="A961">
        <v>39</v>
      </c>
      <c r="B961" t="str">
        <f>"3:18:24.619376"</f>
        <v>3:18:24.619376</v>
      </c>
      <c r="C961">
        <v>-62</v>
      </c>
    </row>
    <row r="962" spans="1:3" x14ac:dyDescent="0.25">
      <c r="A962">
        <v>37</v>
      </c>
      <c r="B962" t="str">
        <f>"3:18:25.888629"</f>
        <v>3:18:25.888629</v>
      </c>
      <c r="C962">
        <v>-75</v>
      </c>
    </row>
    <row r="963" spans="1:3" x14ac:dyDescent="0.25">
      <c r="A963">
        <v>38</v>
      </c>
      <c r="B963" t="str">
        <f>"3:18:25.889326"</f>
        <v>3:18:25.889326</v>
      </c>
      <c r="C963">
        <v>-63</v>
      </c>
    </row>
    <row r="964" spans="1:3" x14ac:dyDescent="0.25">
      <c r="A964">
        <v>39</v>
      </c>
      <c r="B964" t="str">
        <f>"3:18:25.890023"</f>
        <v>3:18:25.890023</v>
      </c>
      <c r="C964">
        <v>-62</v>
      </c>
    </row>
    <row r="965" spans="1:3" x14ac:dyDescent="0.25">
      <c r="A965">
        <v>37</v>
      </c>
      <c r="B965" t="str">
        <f>"3:18:27.107735"</f>
        <v>3:18:27.107735</v>
      </c>
      <c r="C965">
        <v>-76</v>
      </c>
    </row>
    <row r="966" spans="1:3" x14ac:dyDescent="0.25">
      <c r="A966">
        <v>38</v>
      </c>
      <c r="B966" t="str">
        <f>"3:18:27.108432"</f>
        <v>3:18:27.108432</v>
      </c>
      <c r="C966">
        <v>-63</v>
      </c>
    </row>
    <row r="967" spans="1:3" x14ac:dyDescent="0.25">
      <c r="A967">
        <v>39</v>
      </c>
      <c r="B967" t="str">
        <f>"3:18:27.109129"</f>
        <v>3:18:27.109129</v>
      </c>
      <c r="C967">
        <v>-62</v>
      </c>
    </row>
    <row r="968" spans="1:3" x14ac:dyDescent="0.25">
      <c r="A968">
        <v>37</v>
      </c>
      <c r="B968" t="str">
        <f>"3:18:28.345536"</f>
        <v>3:18:28.345536</v>
      </c>
      <c r="C968">
        <v>-75</v>
      </c>
    </row>
    <row r="969" spans="1:3" x14ac:dyDescent="0.25">
      <c r="A969">
        <v>38</v>
      </c>
      <c r="B969" t="str">
        <f>"3:18:28.346233"</f>
        <v>3:18:28.346233</v>
      </c>
      <c r="C969">
        <v>-63</v>
      </c>
    </row>
    <row r="970" spans="1:3" x14ac:dyDescent="0.25">
      <c r="A970">
        <v>39</v>
      </c>
      <c r="B970" t="str">
        <f>"3:18:28.346930"</f>
        <v>3:18:28.346930</v>
      </c>
      <c r="C970">
        <v>-61</v>
      </c>
    </row>
    <row r="971" spans="1:3" x14ac:dyDescent="0.25">
      <c r="A971">
        <v>37</v>
      </c>
      <c r="B971" t="str">
        <f>"3:18:29.588018"</f>
        <v>3:18:29.588018</v>
      </c>
      <c r="C971">
        <v>-75</v>
      </c>
    </row>
    <row r="972" spans="1:3" x14ac:dyDescent="0.25">
      <c r="A972">
        <v>38</v>
      </c>
      <c r="B972" t="str">
        <f>"3:18:29.588715"</f>
        <v>3:18:29.588715</v>
      </c>
      <c r="C972">
        <v>-63</v>
      </c>
    </row>
    <row r="973" spans="1:3" x14ac:dyDescent="0.25">
      <c r="A973">
        <v>39</v>
      </c>
      <c r="B973" t="str">
        <f>"3:18:29.589412"</f>
        <v>3:18:29.589412</v>
      </c>
      <c r="C973">
        <v>-61</v>
      </c>
    </row>
    <row r="974" spans="1:3" x14ac:dyDescent="0.25">
      <c r="A974">
        <v>37</v>
      </c>
      <c r="B974" t="str">
        <f>"3:18:30.848905"</f>
        <v>3:18:30.848905</v>
      </c>
      <c r="C974">
        <v>-75</v>
      </c>
    </row>
    <row r="975" spans="1:3" x14ac:dyDescent="0.25">
      <c r="A975">
        <v>38</v>
      </c>
      <c r="B975" t="str">
        <f>"3:18:30.849602"</f>
        <v>3:18:30.849602</v>
      </c>
      <c r="C975">
        <v>-63</v>
      </c>
    </row>
    <row r="976" spans="1:3" x14ac:dyDescent="0.25">
      <c r="A976">
        <v>39</v>
      </c>
      <c r="B976" t="str">
        <f>"3:18:30.850299"</f>
        <v>3:18:30.850299</v>
      </c>
      <c r="C976">
        <v>-61</v>
      </c>
    </row>
    <row r="977" spans="1:3" x14ac:dyDescent="0.25">
      <c r="A977">
        <v>37</v>
      </c>
      <c r="B977" t="str">
        <f>"3:18:32.087167"</f>
        <v>3:18:32.087167</v>
      </c>
      <c r="C977">
        <v>-75</v>
      </c>
    </row>
    <row r="978" spans="1:3" x14ac:dyDescent="0.25">
      <c r="A978">
        <v>38</v>
      </c>
      <c r="B978" t="str">
        <f>"3:18:32.087864"</f>
        <v>3:18:32.087864</v>
      </c>
      <c r="C978">
        <v>-63</v>
      </c>
    </row>
    <row r="979" spans="1:3" x14ac:dyDescent="0.25">
      <c r="A979">
        <v>39</v>
      </c>
      <c r="B979" t="str">
        <f>"3:18:32.088561"</f>
        <v>3:18:32.088561</v>
      </c>
      <c r="C979">
        <v>-61</v>
      </c>
    </row>
    <row r="980" spans="1:3" x14ac:dyDescent="0.25">
      <c r="A980">
        <v>37</v>
      </c>
      <c r="B980" t="str">
        <f>"3:18:33.333398"</f>
        <v>3:18:33.333398</v>
      </c>
      <c r="C980">
        <v>-76</v>
      </c>
    </row>
    <row r="981" spans="1:3" x14ac:dyDescent="0.25">
      <c r="A981">
        <v>38</v>
      </c>
      <c r="B981" t="str">
        <f>"3:18:33.334095"</f>
        <v>3:18:33.334095</v>
      </c>
      <c r="C981">
        <v>-63</v>
      </c>
    </row>
    <row r="982" spans="1:3" x14ac:dyDescent="0.25">
      <c r="A982">
        <v>39</v>
      </c>
      <c r="B982" t="str">
        <f>"3:18:33.334792"</f>
        <v>3:18:33.334792</v>
      </c>
      <c r="C982">
        <v>-61</v>
      </c>
    </row>
    <row r="983" spans="1:3" x14ac:dyDescent="0.25">
      <c r="A983">
        <v>37</v>
      </c>
      <c r="B983" t="str">
        <f>"3:18:34.578367"</f>
        <v>3:18:34.578367</v>
      </c>
      <c r="C983">
        <v>-75</v>
      </c>
    </row>
    <row r="984" spans="1:3" x14ac:dyDescent="0.25">
      <c r="A984">
        <v>38</v>
      </c>
      <c r="B984" t="str">
        <f>"3:18:34.579064"</f>
        <v>3:18:34.579064</v>
      </c>
      <c r="C984">
        <v>-63</v>
      </c>
    </row>
    <row r="985" spans="1:3" x14ac:dyDescent="0.25">
      <c r="A985">
        <v>39</v>
      </c>
      <c r="B985" t="str">
        <f>"3:18:34.579761"</f>
        <v>3:18:34.579761</v>
      </c>
      <c r="C985">
        <v>-62</v>
      </c>
    </row>
    <row r="986" spans="1:3" x14ac:dyDescent="0.25">
      <c r="A986">
        <v>37</v>
      </c>
      <c r="B986" t="str">
        <f>"3:18:35.811647"</f>
        <v>3:18:35.811647</v>
      </c>
      <c r="C986">
        <v>-76</v>
      </c>
    </row>
    <row r="987" spans="1:3" x14ac:dyDescent="0.25">
      <c r="A987">
        <v>38</v>
      </c>
      <c r="B987" t="str">
        <f>"3:18:35.812344"</f>
        <v>3:18:35.812344</v>
      </c>
      <c r="C987">
        <v>-63</v>
      </c>
    </row>
    <row r="988" spans="1:3" x14ac:dyDescent="0.25">
      <c r="A988">
        <v>39</v>
      </c>
      <c r="B988" t="str">
        <f>"3:18:35.813041"</f>
        <v>3:18:35.813041</v>
      </c>
      <c r="C988">
        <v>-61</v>
      </c>
    </row>
    <row r="989" spans="1:3" x14ac:dyDescent="0.25">
      <c r="A989">
        <v>37</v>
      </c>
      <c r="B989" t="str">
        <f>"3:18:38.311126"</f>
        <v>3:18:38.311126</v>
      </c>
      <c r="C989">
        <v>-75</v>
      </c>
    </row>
    <row r="990" spans="1:3" x14ac:dyDescent="0.25">
      <c r="A990">
        <v>38</v>
      </c>
      <c r="B990" t="str">
        <f>"3:18:38.311823"</f>
        <v>3:18:38.311823</v>
      </c>
      <c r="C990">
        <v>-63</v>
      </c>
    </row>
    <row r="991" spans="1:3" x14ac:dyDescent="0.25">
      <c r="A991">
        <v>39</v>
      </c>
      <c r="B991" t="str">
        <f>"3:18:38.312520"</f>
        <v>3:18:38.312520</v>
      </c>
      <c r="C991">
        <v>-61</v>
      </c>
    </row>
    <row r="992" spans="1:3" x14ac:dyDescent="0.25">
      <c r="A992">
        <v>37</v>
      </c>
      <c r="B992" t="str">
        <f>"3:18:39.552354"</f>
        <v>3:18:39.552354</v>
      </c>
      <c r="C992">
        <v>-75</v>
      </c>
    </row>
    <row r="993" spans="1:3" x14ac:dyDescent="0.25">
      <c r="A993">
        <v>38</v>
      </c>
      <c r="B993" t="str">
        <f>"3:18:39.553051"</f>
        <v>3:18:39.553051</v>
      </c>
      <c r="C993">
        <v>-63</v>
      </c>
    </row>
    <row r="994" spans="1:3" x14ac:dyDescent="0.25">
      <c r="A994">
        <v>39</v>
      </c>
      <c r="B994" t="str">
        <f>"3:18:39.553748"</f>
        <v>3:18:39.553748</v>
      </c>
      <c r="C994">
        <v>-62</v>
      </c>
    </row>
    <row r="995" spans="1:3" x14ac:dyDescent="0.25">
      <c r="A995">
        <v>37</v>
      </c>
      <c r="B995" t="str">
        <f>"3:18:40.791359"</f>
        <v>3:18:40.791359</v>
      </c>
      <c r="C995">
        <v>-75</v>
      </c>
    </row>
    <row r="996" spans="1:3" x14ac:dyDescent="0.25">
      <c r="A996">
        <v>38</v>
      </c>
      <c r="B996" t="str">
        <f>"3:18:40.792056"</f>
        <v>3:18:40.792056</v>
      </c>
      <c r="C996">
        <v>-63</v>
      </c>
    </row>
    <row r="997" spans="1:3" x14ac:dyDescent="0.25">
      <c r="A997">
        <v>39</v>
      </c>
      <c r="B997" t="str">
        <f>"3:18:40.792753"</f>
        <v>3:18:40.792753</v>
      </c>
      <c r="C997">
        <v>-62</v>
      </c>
    </row>
    <row r="998" spans="1:3" x14ac:dyDescent="0.25">
      <c r="A998">
        <v>37</v>
      </c>
      <c r="B998" t="str">
        <f>"3:18:42.032637"</f>
        <v>3:18:42.032637</v>
      </c>
      <c r="C998">
        <v>-76</v>
      </c>
    </row>
    <row r="999" spans="1:3" x14ac:dyDescent="0.25">
      <c r="A999">
        <v>38</v>
      </c>
      <c r="B999" t="str">
        <f>"3:18:42.033334"</f>
        <v>3:18:42.033334</v>
      </c>
      <c r="C999">
        <v>-63</v>
      </c>
    </row>
    <row r="1000" spans="1:3" x14ac:dyDescent="0.25">
      <c r="A1000">
        <v>39</v>
      </c>
      <c r="B1000" t="str">
        <f>"3:18:42.034031"</f>
        <v>3:18:42.034031</v>
      </c>
      <c r="C1000">
        <v>-62</v>
      </c>
    </row>
    <row r="1001" spans="1:3" x14ac:dyDescent="0.25">
      <c r="A1001">
        <v>37</v>
      </c>
      <c r="B1001" t="str">
        <f>"3:18:43.274964"</f>
        <v>3:18:43.274964</v>
      </c>
      <c r="C1001">
        <v>-75</v>
      </c>
    </row>
    <row r="1002" spans="1:3" x14ac:dyDescent="0.25">
      <c r="A1002">
        <v>38</v>
      </c>
      <c r="B1002" t="str">
        <f>"3:18:43.275661"</f>
        <v>3:18:43.275661</v>
      </c>
      <c r="C1002">
        <v>-63</v>
      </c>
    </row>
    <row r="1003" spans="1:3" x14ac:dyDescent="0.25">
      <c r="A1003">
        <v>39</v>
      </c>
      <c r="B1003" t="str">
        <f>"3:18:43.276358"</f>
        <v>3:18:43.276358</v>
      </c>
      <c r="C1003">
        <v>-62</v>
      </c>
    </row>
    <row r="1004" spans="1:3" x14ac:dyDescent="0.25">
      <c r="A1004">
        <v>37</v>
      </c>
      <c r="B1004" t="str">
        <f>"3:18:44.526242"</f>
        <v>3:18:44.526242</v>
      </c>
      <c r="C1004">
        <v>-75</v>
      </c>
    </row>
    <row r="1005" spans="1:3" x14ac:dyDescent="0.25">
      <c r="A1005">
        <v>38</v>
      </c>
      <c r="B1005" t="str">
        <f>"3:18:44.526939"</f>
        <v>3:18:44.526939</v>
      </c>
      <c r="C1005">
        <v>-63</v>
      </c>
    </row>
    <row r="1006" spans="1:3" x14ac:dyDescent="0.25">
      <c r="A1006">
        <v>39</v>
      </c>
      <c r="B1006" t="str">
        <f>"3:18:44.527636"</f>
        <v>3:18:44.527636</v>
      </c>
      <c r="C1006">
        <v>-61</v>
      </c>
    </row>
    <row r="1007" spans="1:3" x14ac:dyDescent="0.25">
      <c r="A1007">
        <v>37</v>
      </c>
      <c r="B1007" t="str">
        <f>"3:18:45.798576"</f>
        <v>3:18:45.798576</v>
      </c>
      <c r="C1007">
        <v>-75</v>
      </c>
    </row>
    <row r="1008" spans="1:3" x14ac:dyDescent="0.25">
      <c r="A1008">
        <v>38</v>
      </c>
      <c r="B1008" t="str">
        <f>"3:18:45.799273"</f>
        <v>3:18:45.799273</v>
      </c>
      <c r="C1008">
        <v>-63</v>
      </c>
    </row>
    <row r="1009" spans="1:3" x14ac:dyDescent="0.25">
      <c r="A1009">
        <v>39</v>
      </c>
      <c r="B1009" t="str">
        <f>"3:18:45.799970"</f>
        <v>3:18:45.799970</v>
      </c>
      <c r="C1009">
        <v>-62</v>
      </c>
    </row>
    <row r="1010" spans="1:3" x14ac:dyDescent="0.25">
      <c r="A1010">
        <v>37</v>
      </c>
      <c r="B1010" t="str">
        <f>"3:18:47.014521"</f>
        <v>3:18:47.014521</v>
      </c>
      <c r="C1010">
        <v>-77</v>
      </c>
    </row>
    <row r="1011" spans="1:3" x14ac:dyDescent="0.25">
      <c r="A1011">
        <v>38</v>
      </c>
      <c r="B1011" t="str">
        <f>"3:18:47.015218"</f>
        <v>3:18:47.015218</v>
      </c>
      <c r="C1011">
        <v>-63</v>
      </c>
    </row>
    <row r="1012" spans="1:3" x14ac:dyDescent="0.25">
      <c r="A1012">
        <v>39</v>
      </c>
      <c r="B1012" t="str">
        <f>"3:18:47.015915"</f>
        <v>3:18:47.015915</v>
      </c>
      <c r="C1012">
        <v>-62</v>
      </c>
    </row>
    <row r="1013" spans="1:3" x14ac:dyDescent="0.25">
      <c r="A1013">
        <v>37</v>
      </c>
      <c r="B1013" t="str">
        <f>"3:18:48.271398"</f>
        <v>3:18:48.271398</v>
      </c>
      <c r="C1013">
        <v>-76</v>
      </c>
    </row>
    <row r="1014" spans="1:3" x14ac:dyDescent="0.25">
      <c r="A1014">
        <v>38</v>
      </c>
      <c r="B1014" t="str">
        <f>"3:18:48.272095"</f>
        <v>3:18:48.272095</v>
      </c>
      <c r="C1014">
        <v>-63</v>
      </c>
    </row>
    <row r="1015" spans="1:3" x14ac:dyDescent="0.25">
      <c r="A1015">
        <v>39</v>
      </c>
      <c r="B1015" t="str">
        <f>"3:18:48.272792"</f>
        <v>3:18:48.272792</v>
      </c>
      <c r="C1015">
        <v>-61</v>
      </c>
    </row>
    <row r="1016" spans="1:3" x14ac:dyDescent="0.25">
      <c r="A1016">
        <v>38</v>
      </c>
      <c r="B1016" t="str">
        <f>"3:18:49.551132"</f>
        <v>3:18:49.551132</v>
      </c>
      <c r="C1016">
        <v>-63</v>
      </c>
    </row>
    <row r="1017" spans="1:3" x14ac:dyDescent="0.25">
      <c r="A1017">
        <v>39</v>
      </c>
      <c r="B1017" t="str">
        <f>"3:18:49.551829"</f>
        <v>3:18:49.551829</v>
      </c>
      <c r="C1017">
        <v>-61</v>
      </c>
    </row>
    <row r="1018" spans="1:3" x14ac:dyDescent="0.25">
      <c r="A1018">
        <v>37</v>
      </c>
      <c r="B1018" t="str">
        <f>"3:18:50.766615"</f>
        <v>3:18:50.766615</v>
      </c>
      <c r="C1018">
        <v>-76</v>
      </c>
    </row>
    <row r="1019" spans="1:3" x14ac:dyDescent="0.25">
      <c r="A1019">
        <v>38</v>
      </c>
      <c r="B1019" t="str">
        <f>"3:18:50.767312"</f>
        <v>3:18:50.767312</v>
      </c>
      <c r="C1019">
        <v>-63</v>
      </c>
    </row>
    <row r="1020" spans="1:3" x14ac:dyDescent="0.25">
      <c r="A1020">
        <v>39</v>
      </c>
      <c r="B1020" t="str">
        <f>"3:18:50.768009"</f>
        <v>3:18:50.768009</v>
      </c>
      <c r="C1020">
        <v>-61</v>
      </c>
    </row>
    <row r="1021" spans="1:3" x14ac:dyDescent="0.25">
      <c r="A1021">
        <v>37</v>
      </c>
      <c r="B1021" t="str">
        <f>"3:18:51.999057"</f>
        <v>3:18:51.999057</v>
      </c>
      <c r="C1021">
        <v>-77</v>
      </c>
    </row>
    <row r="1022" spans="1:3" x14ac:dyDescent="0.25">
      <c r="A1022">
        <v>38</v>
      </c>
      <c r="B1022" t="str">
        <f>"3:18:51.999754"</f>
        <v>3:18:51.999754</v>
      </c>
      <c r="C1022">
        <v>-63</v>
      </c>
    </row>
    <row r="1023" spans="1:3" x14ac:dyDescent="0.25">
      <c r="A1023">
        <v>39</v>
      </c>
      <c r="B1023" t="str">
        <f>"3:18:52.000451"</f>
        <v>3:18:52.000451</v>
      </c>
      <c r="C1023">
        <v>-61</v>
      </c>
    </row>
    <row r="1024" spans="1:3" x14ac:dyDescent="0.25">
      <c r="A1024">
        <v>38</v>
      </c>
      <c r="B1024" t="str">
        <f>"3:18:53.278075"</f>
        <v>3:18:53.278075</v>
      </c>
      <c r="C1024">
        <v>-63</v>
      </c>
    </row>
    <row r="1025" spans="1:3" x14ac:dyDescent="0.25">
      <c r="A1025">
        <v>39</v>
      </c>
      <c r="B1025" t="str">
        <f>"3:18:53.278773"</f>
        <v>3:18:53.278773</v>
      </c>
      <c r="C1025">
        <v>-61</v>
      </c>
    </row>
    <row r="1026" spans="1:3" x14ac:dyDescent="0.25">
      <c r="A1026">
        <v>37</v>
      </c>
      <c r="B1026" t="str">
        <f>"3:18:54.490412"</f>
        <v>3:18:54.490412</v>
      </c>
      <c r="C1026">
        <v>-76</v>
      </c>
    </row>
    <row r="1027" spans="1:3" x14ac:dyDescent="0.25">
      <c r="A1027">
        <v>38</v>
      </c>
      <c r="B1027" t="str">
        <f>"3:18:54.491109"</f>
        <v>3:18:54.491109</v>
      </c>
      <c r="C1027">
        <v>-63</v>
      </c>
    </row>
    <row r="1028" spans="1:3" x14ac:dyDescent="0.25">
      <c r="A1028">
        <v>39</v>
      </c>
      <c r="B1028" t="str">
        <f>"3:18:54.491806"</f>
        <v>3:18:54.491806</v>
      </c>
      <c r="C1028">
        <v>-61</v>
      </c>
    </row>
    <row r="1029" spans="1:3" x14ac:dyDescent="0.25">
      <c r="A1029">
        <v>37</v>
      </c>
      <c r="B1029" t="str">
        <f>"3:18:55.738645"</f>
        <v>3:18:55.738645</v>
      </c>
      <c r="C1029">
        <v>-77</v>
      </c>
    </row>
    <row r="1030" spans="1:3" x14ac:dyDescent="0.25">
      <c r="A1030">
        <v>38</v>
      </c>
      <c r="B1030" t="str">
        <f>"3:18:55.739341"</f>
        <v>3:18:55.739341</v>
      </c>
      <c r="C1030">
        <v>-63</v>
      </c>
    </row>
    <row r="1031" spans="1:3" x14ac:dyDescent="0.25">
      <c r="A1031">
        <v>39</v>
      </c>
      <c r="B1031" t="str">
        <f>"3:18:55.740038"</f>
        <v>3:18:55.740038</v>
      </c>
      <c r="C1031">
        <v>-61</v>
      </c>
    </row>
    <row r="1032" spans="1:3" x14ac:dyDescent="0.25">
      <c r="A1032">
        <v>37</v>
      </c>
      <c r="B1032" t="str">
        <f>"3:18:56.981989"</f>
        <v>3:18:56.981989</v>
      </c>
      <c r="C1032">
        <v>-78</v>
      </c>
    </row>
    <row r="1033" spans="1:3" x14ac:dyDescent="0.25">
      <c r="A1033">
        <v>38</v>
      </c>
      <c r="B1033" t="str">
        <f>"3:18:56.982686"</f>
        <v>3:18:56.982686</v>
      </c>
      <c r="C1033">
        <v>-63</v>
      </c>
    </row>
    <row r="1034" spans="1:3" x14ac:dyDescent="0.25">
      <c r="A1034">
        <v>39</v>
      </c>
      <c r="B1034" t="str">
        <f>"3:18:56.983383"</f>
        <v>3:18:56.983383</v>
      </c>
      <c r="C1034">
        <v>-61</v>
      </c>
    </row>
    <row r="1035" spans="1:3" x14ac:dyDescent="0.25">
      <c r="A1035">
        <v>37</v>
      </c>
      <c r="B1035" t="str">
        <f>"3:18:58.238016"</f>
        <v>3:18:58.238016</v>
      </c>
      <c r="C1035">
        <v>-77</v>
      </c>
    </row>
    <row r="1036" spans="1:3" x14ac:dyDescent="0.25">
      <c r="A1036">
        <v>38</v>
      </c>
      <c r="B1036" t="str">
        <f>"3:18:58.238713"</f>
        <v>3:18:58.238713</v>
      </c>
      <c r="C1036">
        <v>-63</v>
      </c>
    </row>
    <row r="1037" spans="1:3" x14ac:dyDescent="0.25">
      <c r="A1037">
        <v>39</v>
      </c>
      <c r="B1037" t="str">
        <f>"3:18:58.239411"</f>
        <v>3:18:58.239411</v>
      </c>
      <c r="C1037">
        <v>-61</v>
      </c>
    </row>
    <row r="1038" spans="1:3" x14ac:dyDescent="0.25">
      <c r="A1038">
        <v>37</v>
      </c>
      <c r="B1038" t="str">
        <f>"3:18:59.478297"</f>
        <v>3:18:59.478297</v>
      </c>
      <c r="C1038">
        <v>-78</v>
      </c>
    </row>
    <row r="1039" spans="1:3" x14ac:dyDescent="0.25">
      <c r="A1039">
        <v>38</v>
      </c>
      <c r="B1039" t="str">
        <f>"3:18:59.478994"</f>
        <v>3:18:59.478994</v>
      </c>
      <c r="C1039">
        <v>-63</v>
      </c>
    </row>
    <row r="1040" spans="1:3" x14ac:dyDescent="0.25">
      <c r="A1040">
        <v>39</v>
      </c>
      <c r="B1040" t="str">
        <f>"3:18:59.479691"</f>
        <v>3:18:59.479691</v>
      </c>
      <c r="C1040">
        <v>-61</v>
      </c>
    </row>
    <row r="1041" spans="1:3" x14ac:dyDescent="0.25">
      <c r="A1041">
        <v>37</v>
      </c>
      <c r="B1041" t="str">
        <f>"3:19:00.735543"</f>
        <v>3:19:00.735543</v>
      </c>
      <c r="C1041">
        <v>-78</v>
      </c>
    </row>
    <row r="1042" spans="1:3" x14ac:dyDescent="0.25">
      <c r="A1042">
        <v>38</v>
      </c>
      <c r="B1042" t="str">
        <f>"3:19:00.736239"</f>
        <v>3:19:00.736239</v>
      </c>
      <c r="C1042">
        <v>-63</v>
      </c>
    </row>
    <row r="1043" spans="1:3" x14ac:dyDescent="0.25">
      <c r="A1043">
        <v>39</v>
      </c>
      <c r="B1043" t="str">
        <f>"3:19:00.736937"</f>
        <v>3:19:00.736937</v>
      </c>
      <c r="C1043">
        <v>-61</v>
      </c>
    </row>
    <row r="1044" spans="1:3" x14ac:dyDescent="0.25">
      <c r="A1044">
        <v>37</v>
      </c>
      <c r="B1044" t="str">
        <f>"3:19:01.985086"</f>
        <v>3:19:01.985086</v>
      </c>
      <c r="C1044">
        <v>-77</v>
      </c>
    </row>
    <row r="1045" spans="1:3" x14ac:dyDescent="0.25">
      <c r="A1045">
        <v>38</v>
      </c>
      <c r="B1045" t="str">
        <f>"3:19:01.985783"</f>
        <v>3:19:01.985783</v>
      </c>
      <c r="C1045">
        <v>-63</v>
      </c>
    </row>
    <row r="1046" spans="1:3" x14ac:dyDescent="0.25">
      <c r="A1046">
        <v>39</v>
      </c>
      <c r="B1046" t="str">
        <f>"3:19:01.986480"</f>
        <v>3:19:01.986480</v>
      </c>
      <c r="C1046">
        <v>-61</v>
      </c>
    </row>
    <row r="1047" spans="1:3" x14ac:dyDescent="0.25">
      <c r="A1047">
        <v>37</v>
      </c>
      <c r="B1047" t="str">
        <f>"3:19:03.224000"</f>
        <v>3:19:03.224000</v>
      </c>
      <c r="C1047">
        <v>-77</v>
      </c>
    </row>
    <row r="1048" spans="1:3" x14ac:dyDescent="0.25">
      <c r="A1048">
        <v>38</v>
      </c>
      <c r="B1048" t="str">
        <f>"3:19:03.224697"</f>
        <v>3:19:03.224697</v>
      </c>
      <c r="C1048">
        <v>-63</v>
      </c>
    </row>
    <row r="1049" spans="1:3" x14ac:dyDescent="0.25">
      <c r="A1049">
        <v>39</v>
      </c>
      <c r="B1049" t="str">
        <f>"3:19:03.225394"</f>
        <v>3:19:03.225394</v>
      </c>
      <c r="C1049">
        <v>-61</v>
      </c>
    </row>
    <row r="1050" spans="1:3" x14ac:dyDescent="0.25">
      <c r="A1050">
        <v>37</v>
      </c>
      <c r="B1050" t="str">
        <f>"3:19:04.472350"</f>
        <v>3:19:04.472350</v>
      </c>
      <c r="C1050">
        <v>-78</v>
      </c>
    </row>
    <row r="1051" spans="1:3" x14ac:dyDescent="0.25">
      <c r="A1051">
        <v>38</v>
      </c>
      <c r="B1051" t="str">
        <f>"3:19:04.473047"</f>
        <v>3:19:04.473047</v>
      </c>
      <c r="C1051">
        <v>-63</v>
      </c>
    </row>
    <row r="1052" spans="1:3" x14ac:dyDescent="0.25">
      <c r="A1052">
        <v>39</v>
      </c>
      <c r="B1052" t="str">
        <f>"3:19:04.473744"</f>
        <v>3:19:04.473744</v>
      </c>
      <c r="C1052">
        <v>-61</v>
      </c>
    </row>
    <row r="1053" spans="1:3" x14ac:dyDescent="0.25">
      <c r="A1053">
        <v>37</v>
      </c>
      <c r="B1053" t="str">
        <f>"3:19:05.702657"</f>
        <v>3:19:05.702657</v>
      </c>
      <c r="C1053">
        <v>-78</v>
      </c>
    </row>
    <row r="1054" spans="1:3" x14ac:dyDescent="0.25">
      <c r="A1054">
        <v>38</v>
      </c>
      <c r="B1054" t="str">
        <f>"3:19:05.703354"</f>
        <v>3:19:05.703354</v>
      </c>
      <c r="C1054">
        <v>-63</v>
      </c>
    </row>
    <row r="1055" spans="1:3" x14ac:dyDescent="0.25">
      <c r="A1055">
        <v>39</v>
      </c>
      <c r="B1055" t="str">
        <f>"3:19:05.704051"</f>
        <v>3:19:05.704051</v>
      </c>
      <c r="C1055">
        <v>-61</v>
      </c>
    </row>
    <row r="1056" spans="1:3" x14ac:dyDescent="0.25">
      <c r="A1056">
        <v>37</v>
      </c>
      <c r="B1056" t="str">
        <f>"3:19:06.961829"</f>
        <v>3:19:06.961829</v>
      </c>
      <c r="C1056">
        <v>-78</v>
      </c>
    </row>
    <row r="1057" spans="1:3" x14ac:dyDescent="0.25">
      <c r="A1057">
        <v>38</v>
      </c>
      <c r="B1057" t="str">
        <f>"3:19:06.962526"</f>
        <v>3:19:06.962526</v>
      </c>
      <c r="C1057">
        <v>-63</v>
      </c>
    </row>
    <row r="1058" spans="1:3" x14ac:dyDescent="0.25">
      <c r="A1058">
        <v>39</v>
      </c>
      <c r="B1058" t="str">
        <f>"3:19:06.963223"</f>
        <v>3:19:06.963223</v>
      </c>
      <c r="C1058">
        <v>-61</v>
      </c>
    </row>
    <row r="1059" spans="1:3" x14ac:dyDescent="0.25">
      <c r="A1059">
        <v>37</v>
      </c>
      <c r="B1059" t="str">
        <f>"3:19:08.200956"</f>
        <v>3:19:08.200956</v>
      </c>
      <c r="C1059">
        <v>-78</v>
      </c>
    </row>
    <row r="1060" spans="1:3" x14ac:dyDescent="0.25">
      <c r="A1060">
        <v>38</v>
      </c>
      <c r="B1060" t="str">
        <f>"3:19:08.201653"</f>
        <v>3:19:08.201653</v>
      </c>
      <c r="C1060">
        <v>-63</v>
      </c>
    </row>
    <row r="1061" spans="1:3" x14ac:dyDescent="0.25">
      <c r="A1061">
        <v>39</v>
      </c>
      <c r="B1061" t="str">
        <f>"3:19:08.202350"</f>
        <v>3:19:08.202350</v>
      </c>
      <c r="C1061">
        <v>-61</v>
      </c>
    </row>
    <row r="1062" spans="1:3" x14ac:dyDescent="0.25">
      <c r="A1062">
        <v>37</v>
      </c>
      <c r="B1062" t="str">
        <f>"3:19:10.692419"</f>
        <v>3:19:10.692419</v>
      </c>
      <c r="C1062">
        <v>-78</v>
      </c>
    </row>
    <row r="1063" spans="1:3" x14ac:dyDescent="0.25">
      <c r="A1063">
        <v>38</v>
      </c>
      <c r="B1063" t="str">
        <f>"3:19:10.693116"</f>
        <v>3:19:10.693116</v>
      </c>
      <c r="C1063">
        <v>-63</v>
      </c>
    </row>
    <row r="1064" spans="1:3" x14ac:dyDescent="0.25">
      <c r="A1064">
        <v>39</v>
      </c>
      <c r="B1064" t="str">
        <f>"3:19:10.693813"</f>
        <v>3:19:10.693813</v>
      </c>
      <c r="C1064">
        <v>-61</v>
      </c>
    </row>
    <row r="1065" spans="1:3" x14ac:dyDescent="0.25">
      <c r="A1065">
        <v>37</v>
      </c>
      <c r="B1065" t="str">
        <f>"3:19:13.198483"</f>
        <v>3:19:13.198483</v>
      </c>
      <c r="C1065">
        <v>-77</v>
      </c>
    </row>
    <row r="1066" spans="1:3" x14ac:dyDescent="0.25">
      <c r="A1066">
        <v>39</v>
      </c>
      <c r="B1066" t="str">
        <f>"3:19:13.199877"</f>
        <v>3:19:13.199877</v>
      </c>
      <c r="C1066">
        <v>-61</v>
      </c>
    </row>
    <row r="1067" spans="1:3" x14ac:dyDescent="0.25">
      <c r="A1067">
        <v>38</v>
      </c>
      <c r="B1067" t="str">
        <f>"3:19:14.407769"</f>
        <v>3:19:14.407769</v>
      </c>
      <c r="C1067">
        <v>-67</v>
      </c>
    </row>
    <row r="1068" spans="1:3" x14ac:dyDescent="0.25">
      <c r="A1068">
        <v>39</v>
      </c>
      <c r="B1068" t="str">
        <f>"3:19:14.408466"</f>
        <v>3:19:14.408466</v>
      </c>
      <c r="C1068">
        <v>-61</v>
      </c>
    </row>
    <row r="1069" spans="1:3" x14ac:dyDescent="0.25">
      <c r="A1069">
        <v>38</v>
      </c>
      <c r="B1069" t="str">
        <f>"3:19:15.655613"</f>
        <v>3:19:15.655613</v>
      </c>
      <c r="C1069">
        <v>-63</v>
      </c>
    </row>
    <row r="1070" spans="1:3" x14ac:dyDescent="0.25">
      <c r="A1070">
        <v>39</v>
      </c>
      <c r="B1070" t="str">
        <f>"3:19:15.656310"</f>
        <v>3:19:15.656310</v>
      </c>
      <c r="C1070">
        <v>-61</v>
      </c>
    </row>
    <row r="1071" spans="1:3" x14ac:dyDescent="0.25">
      <c r="A1071">
        <v>37</v>
      </c>
      <c r="B1071" t="str">
        <f>"3:19:16.888643"</f>
        <v>3:19:16.888643</v>
      </c>
      <c r="C1071">
        <v>-79</v>
      </c>
    </row>
    <row r="1072" spans="1:3" x14ac:dyDescent="0.25">
      <c r="A1072">
        <v>38</v>
      </c>
      <c r="B1072" t="str">
        <f>"3:19:16.889340"</f>
        <v>3:19:16.889340</v>
      </c>
      <c r="C1072">
        <v>-63</v>
      </c>
    </row>
    <row r="1073" spans="1:3" x14ac:dyDescent="0.25">
      <c r="A1073">
        <v>39</v>
      </c>
      <c r="B1073" t="str">
        <f>"3:19:16.890037"</f>
        <v>3:19:16.890037</v>
      </c>
      <c r="C1073">
        <v>-61</v>
      </c>
    </row>
    <row r="1074" spans="1:3" x14ac:dyDescent="0.25">
      <c r="A1074">
        <v>38</v>
      </c>
      <c r="B1074" t="str">
        <f>"3:19:18.160293"</f>
        <v>3:19:18.160293</v>
      </c>
      <c r="C1074">
        <v>-66</v>
      </c>
    </row>
    <row r="1075" spans="1:3" x14ac:dyDescent="0.25">
      <c r="A1075">
        <v>39</v>
      </c>
      <c r="B1075" t="str">
        <f>"3:19:18.160990"</f>
        <v>3:19:18.160990</v>
      </c>
      <c r="C1075">
        <v>-61</v>
      </c>
    </row>
    <row r="1076" spans="1:3" x14ac:dyDescent="0.25">
      <c r="A1076">
        <v>37</v>
      </c>
      <c r="B1076" t="str">
        <f>"3:19:19.378322"</f>
        <v>3:19:19.378322</v>
      </c>
      <c r="C1076">
        <v>-79</v>
      </c>
    </row>
    <row r="1077" spans="1:3" x14ac:dyDescent="0.25">
      <c r="A1077">
        <v>38</v>
      </c>
      <c r="B1077" t="str">
        <f>"3:19:19.379019"</f>
        <v>3:19:19.379019</v>
      </c>
      <c r="C1077">
        <v>-63</v>
      </c>
    </row>
    <row r="1078" spans="1:3" x14ac:dyDescent="0.25">
      <c r="A1078">
        <v>39</v>
      </c>
      <c r="B1078" t="str">
        <f>"3:19:19.379716"</f>
        <v>3:19:19.379716</v>
      </c>
      <c r="C1078">
        <v>-61</v>
      </c>
    </row>
    <row r="1079" spans="1:3" x14ac:dyDescent="0.25">
      <c r="A1079">
        <v>38</v>
      </c>
      <c r="B1079" t="str">
        <f>"3:19:20.627630"</f>
        <v>3:19:20.627630</v>
      </c>
      <c r="C1079">
        <v>-63</v>
      </c>
    </row>
    <row r="1080" spans="1:3" x14ac:dyDescent="0.25">
      <c r="A1080">
        <v>39</v>
      </c>
      <c r="B1080" t="str">
        <f>"3:19:20.628327"</f>
        <v>3:19:20.628327</v>
      </c>
      <c r="C1080">
        <v>-62</v>
      </c>
    </row>
    <row r="1081" spans="1:3" x14ac:dyDescent="0.25">
      <c r="A1081">
        <v>37</v>
      </c>
      <c r="B1081" t="str">
        <f>"3:19:21.901004"</f>
        <v>3:19:21.901004</v>
      </c>
      <c r="C1081">
        <v>-78</v>
      </c>
    </row>
    <row r="1082" spans="1:3" x14ac:dyDescent="0.25">
      <c r="A1082">
        <v>38</v>
      </c>
      <c r="B1082" t="str">
        <f>"3:19:21.901701"</f>
        <v>3:19:21.901701</v>
      </c>
      <c r="C1082">
        <v>-63</v>
      </c>
    </row>
    <row r="1083" spans="1:3" x14ac:dyDescent="0.25">
      <c r="A1083">
        <v>39</v>
      </c>
      <c r="B1083" t="str">
        <f>"3:19:21.902398"</f>
        <v>3:19:21.902398</v>
      </c>
      <c r="C1083">
        <v>-62</v>
      </c>
    </row>
    <row r="1084" spans="1:3" x14ac:dyDescent="0.25">
      <c r="A1084">
        <v>38</v>
      </c>
      <c r="B1084" t="str">
        <f>"3:19:23.120300"</f>
        <v>3:19:23.120300</v>
      </c>
      <c r="C1084">
        <v>-63</v>
      </c>
    </row>
    <row r="1085" spans="1:3" x14ac:dyDescent="0.25">
      <c r="A1085">
        <v>39</v>
      </c>
      <c r="B1085" t="str">
        <f>"3:19:23.120997"</f>
        <v>3:19:23.120997</v>
      </c>
      <c r="C1085">
        <v>-61</v>
      </c>
    </row>
    <row r="1086" spans="1:3" x14ac:dyDescent="0.25">
      <c r="A1086">
        <v>37</v>
      </c>
      <c r="B1086" t="str">
        <f>"3:19:25.616869"</f>
        <v>3:19:25.616869</v>
      </c>
      <c r="C1086">
        <v>-79</v>
      </c>
    </row>
    <row r="1087" spans="1:3" x14ac:dyDescent="0.25">
      <c r="A1087">
        <v>38</v>
      </c>
      <c r="B1087" t="str">
        <f>"3:19:25.617566"</f>
        <v>3:19:25.617566</v>
      </c>
      <c r="C1087">
        <v>-63</v>
      </c>
    </row>
    <row r="1088" spans="1:3" x14ac:dyDescent="0.25">
      <c r="A1088">
        <v>39</v>
      </c>
      <c r="B1088" t="str">
        <f>"3:19:25.618263"</f>
        <v>3:19:25.618263</v>
      </c>
      <c r="C1088">
        <v>-61</v>
      </c>
    </row>
    <row r="1089" spans="1:3" x14ac:dyDescent="0.25">
      <c r="A1089">
        <v>37</v>
      </c>
      <c r="B1089" t="str">
        <f>"3:19:26.854415"</f>
        <v>3:19:26.854415</v>
      </c>
      <c r="C1089">
        <v>-81</v>
      </c>
    </row>
    <row r="1090" spans="1:3" x14ac:dyDescent="0.25">
      <c r="A1090">
        <v>38</v>
      </c>
      <c r="B1090" t="str">
        <f>"3:19:26.855112"</f>
        <v>3:19:26.855112</v>
      </c>
      <c r="C1090">
        <v>-63</v>
      </c>
    </row>
    <row r="1091" spans="1:3" x14ac:dyDescent="0.25">
      <c r="A1091">
        <v>39</v>
      </c>
      <c r="B1091" t="str">
        <f>"3:19:26.855809"</f>
        <v>3:19:26.855809</v>
      </c>
      <c r="C1091">
        <v>-61</v>
      </c>
    </row>
    <row r="1092" spans="1:3" x14ac:dyDescent="0.25">
      <c r="A1092">
        <v>37</v>
      </c>
      <c r="B1092" t="str">
        <f>"3:19:28.109693"</f>
        <v>3:19:28.109693</v>
      </c>
      <c r="C1092">
        <v>-80</v>
      </c>
    </row>
    <row r="1093" spans="1:3" x14ac:dyDescent="0.25">
      <c r="A1093">
        <v>38</v>
      </c>
      <c r="B1093" t="str">
        <f>"3:19:28.110390"</f>
        <v>3:19:28.110390</v>
      </c>
      <c r="C1093">
        <v>-64</v>
      </c>
    </row>
    <row r="1094" spans="1:3" x14ac:dyDescent="0.25">
      <c r="A1094">
        <v>39</v>
      </c>
      <c r="B1094" t="str">
        <f>"3:19:28.111087"</f>
        <v>3:19:28.111087</v>
      </c>
      <c r="C1094">
        <v>-61</v>
      </c>
    </row>
    <row r="1095" spans="1:3" x14ac:dyDescent="0.25">
      <c r="A1095">
        <v>37</v>
      </c>
      <c r="B1095" t="str">
        <f>"3:19:29.380431"</f>
        <v>3:19:29.380431</v>
      </c>
      <c r="C1095">
        <v>-79</v>
      </c>
    </row>
    <row r="1096" spans="1:3" x14ac:dyDescent="0.25">
      <c r="A1096">
        <v>38</v>
      </c>
      <c r="B1096" t="str">
        <f>"3:19:29.381128"</f>
        <v>3:19:29.381128</v>
      </c>
      <c r="C1096">
        <v>-63</v>
      </c>
    </row>
    <row r="1097" spans="1:3" x14ac:dyDescent="0.25">
      <c r="A1097">
        <v>39</v>
      </c>
      <c r="B1097" t="str">
        <f>"3:19:29.381825"</f>
        <v>3:19:29.381825</v>
      </c>
      <c r="C1097">
        <v>-61</v>
      </c>
    </row>
    <row r="1098" spans="1:3" x14ac:dyDescent="0.25">
      <c r="A1098">
        <v>37</v>
      </c>
      <c r="B1098" t="str">
        <f>"3:19:30.598172"</f>
        <v>3:19:30.598172</v>
      </c>
      <c r="C1098">
        <v>-79</v>
      </c>
    </row>
    <row r="1099" spans="1:3" x14ac:dyDescent="0.25">
      <c r="A1099">
        <v>38</v>
      </c>
      <c r="B1099" t="str">
        <f>"3:19:30.598869"</f>
        <v>3:19:30.598869</v>
      </c>
      <c r="C1099">
        <v>-63</v>
      </c>
    </row>
    <row r="1100" spans="1:3" x14ac:dyDescent="0.25">
      <c r="A1100">
        <v>39</v>
      </c>
      <c r="B1100" t="str">
        <f>"3:19:30.599566"</f>
        <v>3:19:30.599566</v>
      </c>
      <c r="C1100">
        <v>-62</v>
      </c>
    </row>
    <row r="1101" spans="1:3" x14ac:dyDescent="0.25">
      <c r="A1101">
        <v>37</v>
      </c>
      <c r="B1101" t="str">
        <f>"3:19:31.833778"</f>
        <v>3:19:31.833778</v>
      </c>
      <c r="C1101">
        <v>-79</v>
      </c>
    </row>
    <row r="1102" spans="1:3" x14ac:dyDescent="0.25">
      <c r="A1102">
        <v>38</v>
      </c>
      <c r="B1102" t="str">
        <f>"3:19:31.834475"</f>
        <v>3:19:31.834475</v>
      </c>
      <c r="C1102">
        <v>-63</v>
      </c>
    </row>
    <row r="1103" spans="1:3" x14ac:dyDescent="0.25">
      <c r="A1103">
        <v>39</v>
      </c>
      <c r="B1103" t="str">
        <f>"3:19:31.835172"</f>
        <v>3:19:31.835172</v>
      </c>
      <c r="C1103">
        <v>-62</v>
      </c>
    </row>
    <row r="1104" spans="1:3" x14ac:dyDescent="0.25">
      <c r="A1104">
        <v>37</v>
      </c>
      <c r="B1104" t="str">
        <f>"3:19:33.084801"</f>
        <v>3:19:33.084801</v>
      </c>
      <c r="C1104">
        <v>-79</v>
      </c>
    </row>
    <row r="1105" spans="1:3" x14ac:dyDescent="0.25">
      <c r="A1105">
        <v>38</v>
      </c>
      <c r="B1105" t="str">
        <f>"3:19:33.085498"</f>
        <v>3:19:33.085498</v>
      </c>
      <c r="C1105">
        <v>-63</v>
      </c>
    </row>
    <row r="1106" spans="1:3" x14ac:dyDescent="0.25">
      <c r="A1106">
        <v>39</v>
      </c>
      <c r="B1106" t="str">
        <f>"3:19:33.086195"</f>
        <v>3:19:33.086195</v>
      </c>
      <c r="C1106">
        <v>-61</v>
      </c>
    </row>
    <row r="1107" spans="1:3" x14ac:dyDescent="0.25">
      <c r="A1107">
        <v>37</v>
      </c>
      <c r="B1107" t="str">
        <f>"3:19:34.325328"</f>
        <v>3:19:34.325328</v>
      </c>
      <c r="C1107">
        <v>-79</v>
      </c>
    </row>
    <row r="1108" spans="1:3" x14ac:dyDescent="0.25">
      <c r="A1108">
        <v>38</v>
      </c>
      <c r="B1108" t="str">
        <f>"3:19:34.326025"</f>
        <v>3:19:34.326025</v>
      </c>
      <c r="C1108">
        <v>-63</v>
      </c>
    </row>
    <row r="1109" spans="1:3" x14ac:dyDescent="0.25">
      <c r="A1109">
        <v>39</v>
      </c>
      <c r="B1109" t="str">
        <f>"3:19:34.326722"</f>
        <v>3:19:34.326722</v>
      </c>
      <c r="C1109">
        <v>-61</v>
      </c>
    </row>
    <row r="1110" spans="1:3" x14ac:dyDescent="0.25">
      <c r="A1110">
        <v>37</v>
      </c>
      <c r="B1110" t="str">
        <f>"3:19:35.606092"</f>
        <v>3:19:35.606092</v>
      </c>
      <c r="C1110">
        <v>-79</v>
      </c>
    </row>
    <row r="1111" spans="1:3" x14ac:dyDescent="0.25">
      <c r="A1111">
        <v>38</v>
      </c>
      <c r="B1111" t="str">
        <f>"3:19:35.606789"</f>
        <v>3:19:35.606789</v>
      </c>
      <c r="C1111">
        <v>-63</v>
      </c>
    </row>
    <row r="1112" spans="1:3" x14ac:dyDescent="0.25">
      <c r="A1112">
        <v>39</v>
      </c>
      <c r="B1112" t="str">
        <f>"3:19:35.607486"</f>
        <v>3:19:35.607486</v>
      </c>
      <c r="C1112">
        <v>-61</v>
      </c>
    </row>
    <row r="1113" spans="1:3" x14ac:dyDescent="0.25">
      <c r="A1113">
        <v>38</v>
      </c>
      <c r="B1113" t="str">
        <f>"3:19:36.816754"</f>
        <v>3:19:36.816754</v>
      </c>
      <c r="C1113">
        <v>-63</v>
      </c>
    </row>
    <row r="1114" spans="1:3" x14ac:dyDescent="0.25">
      <c r="A1114">
        <v>39</v>
      </c>
      <c r="B1114" t="str">
        <f>"3:19:36.817451"</f>
        <v>3:19:36.817451</v>
      </c>
      <c r="C1114">
        <v>-61</v>
      </c>
    </row>
    <row r="1115" spans="1:3" x14ac:dyDescent="0.25">
      <c r="A1115">
        <v>38</v>
      </c>
      <c r="B1115" t="str">
        <f>"3:19:38.085004"</f>
        <v>3:19:38.085004</v>
      </c>
      <c r="C1115">
        <v>-63</v>
      </c>
    </row>
    <row r="1116" spans="1:3" x14ac:dyDescent="0.25">
      <c r="A1116">
        <v>39</v>
      </c>
      <c r="B1116" t="str">
        <f>"3:19:38.085701"</f>
        <v>3:19:38.085701</v>
      </c>
      <c r="C1116">
        <v>-61</v>
      </c>
    </row>
    <row r="1117" spans="1:3" x14ac:dyDescent="0.25">
      <c r="A1117">
        <v>37</v>
      </c>
      <c r="B1117" t="str">
        <f>"3:19:39.315636"</f>
        <v>3:19:39.315636</v>
      </c>
      <c r="C1117">
        <v>-79</v>
      </c>
    </row>
    <row r="1118" spans="1:3" x14ac:dyDescent="0.25">
      <c r="A1118">
        <v>38</v>
      </c>
      <c r="B1118" t="str">
        <f>"3:19:39.316333"</f>
        <v>3:19:39.316333</v>
      </c>
      <c r="C1118">
        <v>-63</v>
      </c>
    </row>
    <row r="1119" spans="1:3" x14ac:dyDescent="0.25">
      <c r="A1119">
        <v>39</v>
      </c>
      <c r="B1119" t="str">
        <f>"3:19:39.317030"</f>
        <v>3:19:39.317030</v>
      </c>
      <c r="C1119">
        <v>-62</v>
      </c>
    </row>
    <row r="1120" spans="1:3" x14ac:dyDescent="0.25">
      <c r="A1120">
        <v>37</v>
      </c>
      <c r="B1120" t="str">
        <f>"3:19:40.552464"</f>
        <v>3:19:40.552464</v>
      </c>
      <c r="C1120">
        <v>-81</v>
      </c>
    </row>
    <row r="1121" spans="1:3" x14ac:dyDescent="0.25">
      <c r="A1121">
        <v>38</v>
      </c>
      <c r="B1121" t="str">
        <f>"3:19:40.553161"</f>
        <v>3:19:40.553161</v>
      </c>
      <c r="C1121">
        <v>-63</v>
      </c>
    </row>
    <row r="1122" spans="1:3" x14ac:dyDescent="0.25">
      <c r="A1122">
        <v>39</v>
      </c>
      <c r="B1122" t="str">
        <f>"3:19:40.553858"</f>
        <v>3:19:40.553858</v>
      </c>
      <c r="C1122">
        <v>-62</v>
      </c>
    </row>
    <row r="1123" spans="1:3" x14ac:dyDescent="0.25">
      <c r="A1123">
        <v>38</v>
      </c>
      <c r="B1123" t="str">
        <f>"3:19:41.838652"</f>
        <v>3:19:41.838652</v>
      </c>
      <c r="C1123">
        <v>-63</v>
      </c>
    </row>
    <row r="1124" spans="1:3" x14ac:dyDescent="0.25">
      <c r="A1124">
        <v>39</v>
      </c>
      <c r="B1124" t="str">
        <f>"3:19:41.839349"</f>
        <v>3:19:41.839349</v>
      </c>
      <c r="C1124">
        <v>-62</v>
      </c>
    </row>
    <row r="1125" spans="1:3" x14ac:dyDescent="0.25">
      <c r="A1125">
        <v>37</v>
      </c>
      <c r="B1125" t="str">
        <f>"3:19:43.042143"</f>
        <v>3:19:43.042143</v>
      </c>
      <c r="C1125">
        <v>-80</v>
      </c>
    </row>
    <row r="1126" spans="1:3" x14ac:dyDescent="0.25">
      <c r="A1126">
        <v>38</v>
      </c>
      <c r="B1126" t="str">
        <f>"3:19:43.042840"</f>
        <v>3:19:43.042840</v>
      </c>
      <c r="C1126">
        <v>-63</v>
      </c>
    </row>
    <row r="1127" spans="1:3" x14ac:dyDescent="0.25">
      <c r="A1127">
        <v>39</v>
      </c>
      <c r="B1127" t="str">
        <f>"3:19:43.043537"</f>
        <v>3:19:43.043537</v>
      </c>
      <c r="C1127">
        <v>-62</v>
      </c>
    </row>
    <row r="1128" spans="1:3" x14ac:dyDescent="0.25">
      <c r="A1128">
        <v>39</v>
      </c>
      <c r="B1128" t="str">
        <f>"3:19:44.309144"</f>
        <v>3:19:44.309144</v>
      </c>
      <c r="C1128">
        <v>-62</v>
      </c>
    </row>
    <row r="1129" spans="1:3" x14ac:dyDescent="0.25">
      <c r="A1129">
        <v>38</v>
      </c>
      <c r="B1129" t="str">
        <f>"3:19:45.539707"</f>
        <v>3:19:45.539707</v>
      </c>
      <c r="C1129">
        <v>-63</v>
      </c>
    </row>
    <row r="1130" spans="1:3" x14ac:dyDescent="0.25">
      <c r="A1130">
        <v>39</v>
      </c>
      <c r="B1130" t="str">
        <f>"3:19:45.540404"</f>
        <v>3:19:45.540404</v>
      </c>
      <c r="C1130">
        <v>-62</v>
      </c>
    </row>
    <row r="1131" spans="1:3" x14ac:dyDescent="0.25">
      <c r="A1131">
        <v>37</v>
      </c>
      <c r="B1131" t="str">
        <f>"3:19:46.794073"</f>
        <v>3:19:46.794073</v>
      </c>
      <c r="C1131">
        <v>-81</v>
      </c>
    </row>
    <row r="1132" spans="1:3" x14ac:dyDescent="0.25">
      <c r="A1132">
        <v>38</v>
      </c>
      <c r="B1132" t="str">
        <f>"3:19:46.794770"</f>
        <v>3:19:46.794770</v>
      </c>
      <c r="C1132">
        <v>-63</v>
      </c>
    </row>
    <row r="1133" spans="1:3" x14ac:dyDescent="0.25">
      <c r="A1133">
        <v>39</v>
      </c>
      <c r="B1133" t="str">
        <f>"3:19:46.795467"</f>
        <v>3:19:46.795467</v>
      </c>
      <c r="C1133">
        <v>-61</v>
      </c>
    </row>
    <row r="1134" spans="1:3" x14ac:dyDescent="0.25">
      <c r="A1134">
        <v>38</v>
      </c>
      <c r="B1134" t="str">
        <f>"3:19:48.058295"</f>
        <v>3:19:48.058295</v>
      </c>
      <c r="C1134">
        <v>-65</v>
      </c>
    </row>
    <row r="1135" spans="1:3" x14ac:dyDescent="0.25">
      <c r="A1135">
        <v>39</v>
      </c>
      <c r="B1135" t="str">
        <f>"3:19:48.058992"</f>
        <v>3:19:48.058992</v>
      </c>
      <c r="C1135">
        <v>-61</v>
      </c>
    </row>
    <row r="1136" spans="1:3" x14ac:dyDescent="0.25">
      <c r="A1136">
        <v>38</v>
      </c>
      <c r="B1136" t="str">
        <f>"3:19:49.274677"</f>
        <v>3:19:49.274677</v>
      </c>
      <c r="C1136">
        <v>-63</v>
      </c>
    </row>
    <row r="1137" spans="1:3" x14ac:dyDescent="0.25">
      <c r="A1137">
        <v>39</v>
      </c>
      <c r="B1137" t="str">
        <f>"3:19:49.275374"</f>
        <v>3:19:49.275374</v>
      </c>
      <c r="C1137">
        <v>-61</v>
      </c>
    </row>
    <row r="1138" spans="1:3" x14ac:dyDescent="0.25">
      <c r="A1138">
        <v>37</v>
      </c>
      <c r="B1138" t="str">
        <f>"3:19:50.543048"</f>
        <v>3:19:50.543048</v>
      </c>
      <c r="C1138">
        <v>-80</v>
      </c>
    </row>
    <row r="1139" spans="1:3" x14ac:dyDescent="0.25">
      <c r="A1139">
        <v>38</v>
      </c>
      <c r="B1139" t="str">
        <f>"3:19:50.543745"</f>
        <v>3:19:50.543745</v>
      </c>
      <c r="C1139">
        <v>-63</v>
      </c>
    </row>
    <row r="1140" spans="1:3" x14ac:dyDescent="0.25">
      <c r="A1140">
        <v>39</v>
      </c>
      <c r="B1140" t="str">
        <f>"3:19:50.544442"</f>
        <v>3:19:50.544442</v>
      </c>
      <c r="C1140">
        <v>-62</v>
      </c>
    </row>
    <row r="1141" spans="1:3" x14ac:dyDescent="0.25">
      <c r="A1141">
        <v>37</v>
      </c>
      <c r="B1141" t="str">
        <f>"3:19:51.769483"</f>
        <v>3:19:51.769483</v>
      </c>
      <c r="C1141">
        <v>-81</v>
      </c>
    </row>
    <row r="1142" spans="1:3" x14ac:dyDescent="0.25">
      <c r="A1142">
        <v>38</v>
      </c>
      <c r="B1142" t="str">
        <f>"3:19:51.770179"</f>
        <v>3:19:51.770179</v>
      </c>
      <c r="C1142">
        <v>-63</v>
      </c>
    </row>
    <row r="1143" spans="1:3" x14ac:dyDescent="0.25">
      <c r="A1143">
        <v>39</v>
      </c>
      <c r="B1143" t="str">
        <f>"3:19:51.770876"</f>
        <v>3:19:51.770876</v>
      </c>
      <c r="C1143">
        <v>-62</v>
      </c>
    </row>
    <row r="1144" spans="1:3" x14ac:dyDescent="0.25">
      <c r="A1144">
        <v>39</v>
      </c>
      <c r="B1144" t="str">
        <f>"3:19:53.001225"</f>
        <v>3:19:53.001225</v>
      </c>
      <c r="C1144">
        <v>-61</v>
      </c>
    </row>
    <row r="1145" spans="1:3" x14ac:dyDescent="0.25">
      <c r="A1145">
        <v>37</v>
      </c>
      <c r="B1145" t="str">
        <f>"3:19:54.244409"</f>
        <v>3:19:54.244409</v>
      </c>
      <c r="C1145">
        <v>-79</v>
      </c>
    </row>
    <row r="1146" spans="1:3" x14ac:dyDescent="0.25">
      <c r="A1146">
        <v>38</v>
      </c>
      <c r="B1146" t="str">
        <f>"3:19:54.245105"</f>
        <v>3:19:54.245105</v>
      </c>
      <c r="C1146">
        <v>-63</v>
      </c>
    </row>
    <row r="1147" spans="1:3" x14ac:dyDescent="0.25">
      <c r="A1147">
        <v>39</v>
      </c>
      <c r="B1147" t="str">
        <f>"3:19:54.245802"</f>
        <v>3:19:54.245802</v>
      </c>
      <c r="C1147">
        <v>-62</v>
      </c>
    </row>
    <row r="1148" spans="1:3" x14ac:dyDescent="0.25">
      <c r="A1148">
        <v>39</v>
      </c>
      <c r="B1148" t="str">
        <f>"3:19:54.246305"</f>
        <v>3:19:54.246305</v>
      </c>
      <c r="C1148">
        <v>-67</v>
      </c>
    </row>
    <row r="1149" spans="1:3" x14ac:dyDescent="0.25">
      <c r="A1149">
        <v>39</v>
      </c>
      <c r="B1149" t="str">
        <f>"3:19:54.246631"</f>
        <v>3:19:54.246631</v>
      </c>
      <c r="C1149">
        <v>-61</v>
      </c>
    </row>
    <row r="1150" spans="1:3" x14ac:dyDescent="0.25">
      <c r="A1150">
        <v>38</v>
      </c>
      <c r="B1150" t="str">
        <f>"3:19:55.499647"</f>
        <v>3:19:55.499647</v>
      </c>
      <c r="C1150">
        <v>-63</v>
      </c>
    </row>
    <row r="1151" spans="1:3" x14ac:dyDescent="0.25">
      <c r="A1151">
        <v>39</v>
      </c>
      <c r="B1151" t="str">
        <f>"3:19:55.500344"</f>
        <v>3:19:55.500344</v>
      </c>
      <c r="C1151">
        <v>-61</v>
      </c>
    </row>
    <row r="1152" spans="1:3" x14ac:dyDescent="0.25">
      <c r="A1152">
        <v>37</v>
      </c>
      <c r="B1152" t="str">
        <f>"3:19:56.731938"</f>
        <v>3:19:56.731938</v>
      </c>
      <c r="C1152">
        <v>-79</v>
      </c>
    </row>
    <row r="1153" spans="1:3" x14ac:dyDescent="0.25">
      <c r="A1153">
        <v>38</v>
      </c>
      <c r="B1153" t="str">
        <f>"3:19:56.732634"</f>
        <v>3:19:56.732634</v>
      </c>
      <c r="C1153">
        <v>-64</v>
      </c>
    </row>
    <row r="1154" spans="1:3" x14ac:dyDescent="0.25">
      <c r="A1154">
        <v>39</v>
      </c>
      <c r="B1154" t="str">
        <f>"3:19:56.733331"</f>
        <v>3:19:56.733331</v>
      </c>
      <c r="C1154">
        <v>-62</v>
      </c>
    </row>
    <row r="1155" spans="1:3" x14ac:dyDescent="0.25">
      <c r="A1155">
        <v>38</v>
      </c>
      <c r="B1155" t="str">
        <f>"3:19:57.976962"</f>
        <v>3:19:57.976962</v>
      </c>
      <c r="C1155">
        <v>-64</v>
      </c>
    </row>
    <row r="1156" spans="1:3" x14ac:dyDescent="0.25">
      <c r="A1156">
        <v>39</v>
      </c>
      <c r="B1156" t="str">
        <f>"3:19:57.977659"</f>
        <v>3:19:57.977659</v>
      </c>
      <c r="C1156">
        <v>-61</v>
      </c>
    </row>
    <row r="1157" spans="1:3" x14ac:dyDescent="0.25">
      <c r="A1157">
        <v>37</v>
      </c>
      <c r="B1157" t="str">
        <f>"3:19:59.217442"</f>
        <v>3:19:59.217442</v>
      </c>
      <c r="C1157">
        <v>-80</v>
      </c>
    </row>
    <row r="1158" spans="1:3" x14ac:dyDescent="0.25">
      <c r="A1158">
        <v>38</v>
      </c>
      <c r="B1158" t="str">
        <f>"3:19:59.218139"</f>
        <v>3:19:59.218139</v>
      </c>
      <c r="C1158">
        <v>-63</v>
      </c>
    </row>
    <row r="1159" spans="1:3" x14ac:dyDescent="0.25">
      <c r="A1159">
        <v>39</v>
      </c>
      <c r="B1159" t="str">
        <f>"3:19:59.218836"</f>
        <v>3:19:59.218836</v>
      </c>
      <c r="C1159">
        <v>-61</v>
      </c>
    </row>
    <row r="1160" spans="1:3" x14ac:dyDescent="0.25">
      <c r="A1160">
        <v>38</v>
      </c>
      <c r="B1160" t="str">
        <f>"3:20:00.486467"</f>
        <v>3:20:00.486467</v>
      </c>
      <c r="C1160">
        <v>-61</v>
      </c>
    </row>
    <row r="1161" spans="1:3" x14ac:dyDescent="0.25">
      <c r="A1161">
        <v>39</v>
      </c>
      <c r="B1161" t="str">
        <f>"3:20:00.487164"</f>
        <v>3:20:00.487164</v>
      </c>
      <c r="C1161">
        <v>-62</v>
      </c>
    </row>
    <row r="1162" spans="1:3" x14ac:dyDescent="0.25">
      <c r="A1162">
        <v>37</v>
      </c>
      <c r="B1162" t="str">
        <f>"3:20:01.721247"</f>
        <v>3:20:01.721247</v>
      </c>
      <c r="C1162">
        <v>-80</v>
      </c>
    </row>
    <row r="1163" spans="1:3" x14ac:dyDescent="0.25">
      <c r="A1163">
        <v>38</v>
      </c>
      <c r="B1163" t="str">
        <f>"3:20:01.721943"</f>
        <v>3:20:01.721943</v>
      </c>
      <c r="C1163">
        <v>-63</v>
      </c>
    </row>
    <row r="1164" spans="1:3" x14ac:dyDescent="0.25">
      <c r="A1164">
        <v>39</v>
      </c>
      <c r="B1164" t="str">
        <f>"3:20:01.722641"</f>
        <v>3:20:01.722641</v>
      </c>
      <c r="C1164">
        <v>-62</v>
      </c>
    </row>
    <row r="1165" spans="1:3" x14ac:dyDescent="0.25">
      <c r="A1165">
        <v>38</v>
      </c>
      <c r="B1165" t="str">
        <f>"3:20:02.953870"</f>
        <v>3:20:02.953870</v>
      </c>
      <c r="C1165">
        <v>-64</v>
      </c>
    </row>
    <row r="1166" spans="1:3" x14ac:dyDescent="0.25">
      <c r="A1166">
        <v>39</v>
      </c>
      <c r="B1166" t="str">
        <f>"3:20:02.954567"</f>
        <v>3:20:02.954567</v>
      </c>
      <c r="C1166">
        <v>-62</v>
      </c>
    </row>
    <row r="1167" spans="1:3" x14ac:dyDescent="0.25">
      <c r="A1167">
        <v>37</v>
      </c>
      <c r="B1167" t="str">
        <f>"3:20:04.219711"</f>
        <v>3:20:04.219711</v>
      </c>
      <c r="C1167">
        <v>-81</v>
      </c>
    </row>
    <row r="1168" spans="1:3" x14ac:dyDescent="0.25">
      <c r="A1168">
        <v>38</v>
      </c>
      <c r="B1168" t="str">
        <f>"3:20:04.220408"</f>
        <v>3:20:04.220408</v>
      </c>
      <c r="C1168">
        <v>-63</v>
      </c>
    </row>
    <row r="1169" spans="1:3" x14ac:dyDescent="0.25">
      <c r="A1169">
        <v>39</v>
      </c>
      <c r="B1169" t="str">
        <f>"3:20:04.221105"</f>
        <v>3:20:04.221105</v>
      </c>
      <c r="C1169">
        <v>-62</v>
      </c>
    </row>
    <row r="1170" spans="1:3" x14ac:dyDescent="0.25">
      <c r="A1170">
        <v>37</v>
      </c>
      <c r="B1170" t="str">
        <f>"3:20:05.439272"</f>
        <v>3:20:05.439272</v>
      </c>
      <c r="C1170">
        <v>-81</v>
      </c>
    </row>
    <row r="1171" spans="1:3" x14ac:dyDescent="0.25">
      <c r="A1171">
        <v>38</v>
      </c>
      <c r="B1171" t="str">
        <f>"3:20:05.439969"</f>
        <v>3:20:05.439969</v>
      </c>
      <c r="C1171">
        <v>-63</v>
      </c>
    </row>
    <row r="1172" spans="1:3" x14ac:dyDescent="0.25">
      <c r="A1172">
        <v>39</v>
      </c>
      <c r="B1172" t="str">
        <f>"3:20:05.440666"</f>
        <v>3:20:05.440666</v>
      </c>
      <c r="C1172">
        <v>-62</v>
      </c>
    </row>
    <row r="1173" spans="1:3" x14ac:dyDescent="0.25">
      <c r="A1173">
        <v>37</v>
      </c>
      <c r="B1173" t="str">
        <f>"3:20:06.692354"</f>
        <v>3:20:06.692354</v>
      </c>
      <c r="C1173">
        <v>-80</v>
      </c>
    </row>
    <row r="1174" spans="1:3" x14ac:dyDescent="0.25">
      <c r="A1174">
        <v>37</v>
      </c>
      <c r="B1174" t="str">
        <f>"3:20:06.692857"</f>
        <v>3:20:06.692857</v>
      </c>
      <c r="C1174">
        <v>-64</v>
      </c>
    </row>
    <row r="1175" spans="1:3" x14ac:dyDescent="0.25">
      <c r="A1175">
        <v>37</v>
      </c>
      <c r="B1175" t="str">
        <f>"3:20:06.693183"</f>
        <v>3:20:06.693183</v>
      </c>
      <c r="C1175">
        <v>-80</v>
      </c>
    </row>
    <row r="1176" spans="1:3" x14ac:dyDescent="0.25">
      <c r="A1176">
        <v>38</v>
      </c>
      <c r="B1176" t="str">
        <f>"3:20:06.693453"</f>
        <v>3:20:06.693453</v>
      </c>
      <c r="C1176">
        <v>-63</v>
      </c>
    </row>
    <row r="1177" spans="1:3" x14ac:dyDescent="0.25">
      <c r="A1177">
        <v>39</v>
      </c>
      <c r="B1177" t="str">
        <f>"3:20:06.694151"</f>
        <v>3:20:06.694151</v>
      </c>
      <c r="C1177">
        <v>-62</v>
      </c>
    </row>
    <row r="1178" spans="1:3" x14ac:dyDescent="0.25">
      <c r="A1178">
        <v>37</v>
      </c>
      <c r="B1178" t="str">
        <f>"3:20:07.924959"</f>
        <v>3:20:07.924959</v>
      </c>
      <c r="C1178">
        <v>-81</v>
      </c>
    </row>
    <row r="1179" spans="1:3" x14ac:dyDescent="0.25">
      <c r="A1179">
        <v>38</v>
      </c>
      <c r="B1179" t="str">
        <f>"3:20:07.925656"</f>
        <v>3:20:07.925656</v>
      </c>
      <c r="C1179">
        <v>-63</v>
      </c>
    </row>
    <row r="1180" spans="1:3" x14ac:dyDescent="0.25">
      <c r="A1180">
        <v>39</v>
      </c>
      <c r="B1180" t="str">
        <f>"3:20:07.926353"</f>
        <v>3:20:07.926353</v>
      </c>
      <c r="C1180">
        <v>-62</v>
      </c>
    </row>
    <row r="1181" spans="1:3" x14ac:dyDescent="0.25">
      <c r="A1181">
        <v>38</v>
      </c>
      <c r="B1181" t="str">
        <f>"3:20:09.169815"</f>
        <v>3:20:09.169815</v>
      </c>
      <c r="C1181">
        <v>-63</v>
      </c>
    </row>
    <row r="1182" spans="1:3" x14ac:dyDescent="0.25">
      <c r="A1182">
        <v>39</v>
      </c>
      <c r="B1182" t="str">
        <f>"3:20:09.170513"</f>
        <v>3:20:09.170513</v>
      </c>
      <c r="C1182">
        <v>-61</v>
      </c>
    </row>
    <row r="1183" spans="1:3" x14ac:dyDescent="0.25">
      <c r="A1183">
        <v>38</v>
      </c>
      <c r="B1183" t="str">
        <f>"3:20:10.446570"</f>
        <v>3:20:10.446570</v>
      </c>
      <c r="C1183">
        <v>-63</v>
      </c>
    </row>
    <row r="1184" spans="1:3" x14ac:dyDescent="0.25">
      <c r="A1184">
        <v>39</v>
      </c>
      <c r="B1184" t="str">
        <f>"3:20:10.447267"</f>
        <v>3:20:10.447267</v>
      </c>
      <c r="C1184">
        <v>-62</v>
      </c>
    </row>
    <row r="1185" spans="1:3" x14ac:dyDescent="0.25">
      <c r="A1185">
        <v>37</v>
      </c>
      <c r="B1185" t="str">
        <f>"3:20:11.661797"</f>
        <v>3:20:11.661797</v>
      </c>
      <c r="C1185">
        <v>-80</v>
      </c>
    </row>
    <row r="1186" spans="1:3" x14ac:dyDescent="0.25">
      <c r="A1186">
        <v>38</v>
      </c>
      <c r="B1186" t="str">
        <f>"3:20:11.662493"</f>
        <v>3:20:11.662493</v>
      </c>
      <c r="C1186">
        <v>-63</v>
      </c>
    </row>
    <row r="1187" spans="1:3" x14ac:dyDescent="0.25">
      <c r="A1187">
        <v>39</v>
      </c>
      <c r="B1187" t="str">
        <f>"3:20:11.663191"</f>
        <v>3:20:11.663191</v>
      </c>
      <c r="C1187">
        <v>-62</v>
      </c>
    </row>
    <row r="1188" spans="1:3" x14ac:dyDescent="0.25">
      <c r="A1188">
        <v>37</v>
      </c>
      <c r="B1188" t="str">
        <f>"3:20:12.902993"</f>
        <v>3:20:12.902993</v>
      </c>
      <c r="C1188">
        <v>-80</v>
      </c>
    </row>
    <row r="1189" spans="1:3" x14ac:dyDescent="0.25">
      <c r="A1189">
        <v>38</v>
      </c>
      <c r="B1189" t="str">
        <f>"3:20:12.903690"</f>
        <v>3:20:12.903690</v>
      </c>
      <c r="C1189">
        <v>-63</v>
      </c>
    </row>
    <row r="1190" spans="1:3" x14ac:dyDescent="0.25">
      <c r="A1190">
        <v>39</v>
      </c>
      <c r="B1190" t="str">
        <f>"3:20:12.904387"</f>
        <v>3:20:12.904387</v>
      </c>
      <c r="C1190">
        <v>-62</v>
      </c>
    </row>
    <row r="1191" spans="1:3" x14ac:dyDescent="0.25">
      <c r="A1191">
        <v>37</v>
      </c>
      <c r="B1191" t="str">
        <f>"3:20:14.188137"</f>
        <v>3:20:14.188137</v>
      </c>
      <c r="C1191">
        <v>-80</v>
      </c>
    </row>
    <row r="1192" spans="1:3" x14ac:dyDescent="0.25">
      <c r="A1192">
        <v>38</v>
      </c>
      <c r="B1192" t="str">
        <f>"3:20:14.188834"</f>
        <v>3:20:14.188834</v>
      </c>
      <c r="C1192">
        <v>-63</v>
      </c>
    </row>
    <row r="1193" spans="1:3" x14ac:dyDescent="0.25">
      <c r="A1193">
        <v>39</v>
      </c>
      <c r="B1193" t="str">
        <f>"3:20:14.189531"</f>
        <v>3:20:14.189531</v>
      </c>
      <c r="C1193">
        <v>-62</v>
      </c>
    </row>
    <row r="1194" spans="1:3" x14ac:dyDescent="0.25">
      <c r="A1194">
        <v>38</v>
      </c>
      <c r="B1194" t="str">
        <f>"3:20:15.405826"</f>
        <v>3:20:15.405826</v>
      </c>
      <c r="C1194">
        <v>-63</v>
      </c>
    </row>
    <row r="1195" spans="1:3" x14ac:dyDescent="0.25">
      <c r="A1195">
        <v>39</v>
      </c>
      <c r="B1195" t="str">
        <f>"3:20:15.406523"</f>
        <v>3:20:15.406523</v>
      </c>
      <c r="C1195">
        <v>-62</v>
      </c>
    </row>
    <row r="1196" spans="1:3" x14ac:dyDescent="0.25">
      <c r="A1196">
        <v>37</v>
      </c>
      <c r="B1196" t="str">
        <f>"3:20:17.880075"</f>
        <v>3:20:17.880075</v>
      </c>
      <c r="C1196">
        <v>-80</v>
      </c>
    </row>
    <row r="1197" spans="1:3" x14ac:dyDescent="0.25">
      <c r="A1197">
        <v>38</v>
      </c>
      <c r="B1197" t="str">
        <f>"3:20:17.880772"</f>
        <v>3:20:17.880772</v>
      </c>
      <c r="C1197">
        <v>-63</v>
      </c>
    </row>
    <row r="1198" spans="1:3" x14ac:dyDescent="0.25">
      <c r="A1198">
        <v>39</v>
      </c>
      <c r="B1198" t="str">
        <f>"3:20:17.881469"</f>
        <v>3:20:17.881469</v>
      </c>
      <c r="C1198">
        <v>-62</v>
      </c>
    </row>
    <row r="1199" spans="1:3" x14ac:dyDescent="0.25">
      <c r="A1199">
        <v>37</v>
      </c>
      <c r="B1199" t="str">
        <f>"3:20:19.131244"</f>
        <v>3:20:19.131244</v>
      </c>
      <c r="C1199">
        <v>-80</v>
      </c>
    </row>
    <row r="1200" spans="1:3" x14ac:dyDescent="0.25">
      <c r="A1200">
        <v>38</v>
      </c>
      <c r="B1200" t="str">
        <f>"3:20:19.131941"</f>
        <v>3:20:19.131941</v>
      </c>
      <c r="C1200">
        <v>-63</v>
      </c>
    </row>
    <row r="1201" spans="1:3" x14ac:dyDescent="0.25">
      <c r="A1201">
        <v>39</v>
      </c>
      <c r="B1201" t="str">
        <f>"3:20:19.132638"</f>
        <v>3:20:19.132638</v>
      </c>
      <c r="C1201">
        <v>-62</v>
      </c>
    </row>
    <row r="1202" spans="1:3" x14ac:dyDescent="0.25">
      <c r="A1202">
        <v>37</v>
      </c>
      <c r="B1202" t="str">
        <f>"3:20:20.368304"</f>
        <v>3:20:20.368304</v>
      </c>
      <c r="C1202">
        <v>-80</v>
      </c>
    </row>
    <row r="1203" spans="1:3" x14ac:dyDescent="0.25">
      <c r="A1203">
        <v>38</v>
      </c>
      <c r="B1203" t="str">
        <f>"3:20:20.369001"</f>
        <v>3:20:20.369001</v>
      </c>
      <c r="C1203">
        <v>-63</v>
      </c>
    </row>
    <row r="1204" spans="1:3" x14ac:dyDescent="0.25">
      <c r="A1204">
        <v>39</v>
      </c>
      <c r="B1204" t="str">
        <f>"3:20:20.369698"</f>
        <v>3:20:20.369698</v>
      </c>
      <c r="C1204">
        <v>-62</v>
      </c>
    </row>
    <row r="1205" spans="1:3" x14ac:dyDescent="0.25">
      <c r="A1205">
        <v>37</v>
      </c>
      <c r="B1205" t="str">
        <f>"3:20:21.614282"</f>
        <v>3:20:21.614282</v>
      </c>
      <c r="C1205">
        <v>-80</v>
      </c>
    </row>
    <row r="1206" spans="1:3" x14ac:dyDescent="0.25">
      <c r="A1206">
        <v>38</v>
      </c>
      <c r="B1206" t="str">
        <f>"3:20:21.614979"</f>
        <v>3:20:21.614979</v>
      </c>
      <c r="C1206">
        <v>-63</v>
      </c>
    </row>
    <row r="1207" spans="1:3" x14ac:dyDescent="0.25">
      <c r="A1207">
        <v>39</v>
      </c>
      <c r="B1207" t="str">
        <f>"3:20:21.615676"</f>
        <v>3:20:21.615676</v>
      </c>
      <c r="C1207">
        <v>-62</v>
      </c>
    </row>
    <row r="1208" spans="1:3" x14ac:dyDescent="0.25">
      <c r="A1208">
        <v>37</v>
      </c>
      <c r="B1208" t="str">
        <f>"3:20:22.853887"</f>
        <v>3:20:22.853887</v>
      </c>
      <c r="C1208">
        <v>-79</v>
      </c>
    </row>
    <row r="1209" spans="1:3" x14ac:dyDescent="0.25">
      <c r="A1209">
        <v>38</v>
      </c>
      <c r="B1209" t="str">
        <f>"3:20:22.854584"</f>
        <v>3:20:22.854584</v>
      </c>
      <c r="C1209">
        <v>-63</v>
      </c>
    </row>
    <row r="1210" spans="1:3" x14ac:dyDescent="0.25">
      <c r="A1210">
        <v>39</v>
      </c>
      <c r="B1210" t="str">
        <f>"3:20:22.855281"</f>
        <v>3:20:22.855281</v>
      </c>
      <c r="C1210">
        <v>-62</v>
      </c>
    </row>
    <row r="1211" spans="1:3" x14ac:dyDescent="0.25">
      <c r="A1211">
        <v>37</v>
      </c>
      <c r="B1211" t="str">
        <f>"3:20:24.128077"</f>
        <v>3:20:24.128077</v>
      </c>
      <c r="C1211">
        <v>-78</v>
      </c>
    </row>
    <row r="1212" spans="1:3" x14ac:dyDescent="0.25">
      <c r="A1212">
        <v>38</v>
      </c>
      <c r="B1212" t="str">
        <f>"3:20:24.128774"</f>
        <v>3:20:24.128774</v>
      </c>
      <c r="C1212">
        <v>-63</v>
      </c>
    </row>
    <row r="1213" spans="1:3" x14ac:dyDescent="0.25">
      <c r="A1213">
        <v>39</v>
      </c>
      <c r="B1213" t="str">
        <f>"3:20:24.129471"</f>
        <v>3:20:24.129471</v>
      </c>
      <c r="C1213">
        <v>-62</v>
      </c>
    </row>
    <row r="1214" spans="1:3" x14ac:dyDescent="0.25">
      <c r="A1214">
        <v>37</v>
      </c>
      <c r="B1214" t="str">
        <f>"3:20:25.373293"</f>
        <v>3:20:25.373293</v>
      </c>
      <c r="C1214">
        <v>-79</v>
      </c>
    </row>
    <row r="1215" spans="1:3" x14ac:dyDescent="0.25">
      <c r="A1215">
        <v>38</v>
      </c>
      <c r="B1215" t="str">
        <f>"3:20:25.373990"</f>
        <v>3:20:25.373990</v>
      </c>
      <c r="C1215">
        <v>-63</v>
      </c>
    </row>
    <row r="1216" spans="1:3" x14ac:dyDescent="0.25">
      <c r="A1216">
        <v>39</v>
      </c>
      <c r="B1216" t="str">
        <f>"3:20:25.374687"</f>
        <v>3:20:25.374687</v>
      </c>
      <c r="C1216">
        <v>-62</v>
      </c>
    </row>
    <row r="1217" spans="1:3" x14ac:dyDescent="0.25">
      <c r="A1217">
        <v>37</v>
      </c>
      <c r="B1217" t="str">
        <f>"3:20:26.602858"</f>
        <v>3:20:26.602858</v>
      </c>
      <c r="C1217">
        <v>-78</v>
      </c>
    </row>
    <row r="1218" spans="1:3" x14ac:dyDescent="0.25">
      <c r="A1218">
        <v>38</v>
      </c>
      <c r="B1218" t="str">
        <f>"3:20:26.603555"</f>
        <v>3:20:26.603555</v>
      </c>
      <c r="C1218">
        <v>-63</v>
      </c>
    </row>
    <row r="1219" spans="1:3" x14ac:dyDescent="0.25">
      <c r="A1219">
        <v>39</v>
      </c>
      <c r="B1219" t="str">
        <f>"3:20:26.604252"</f>
        <v>3:20:26.604252</v>
      </c>
      <c r="C1219">
        <v>-61</v>
      </c>
    </row>
    <row r="1220" spans="1:3" x14ac:dyDescent="0.25">
      <c r="A1220">
        <v>38</v>
      </c>
      <c r="B1220" t="str">
        <f>"3:20:27.843388"</f>
        <v>3:20:27.843388</v>
      </c>
      <c r="C1220">
        <v>-63</v>
      </c>
    </row>
    <row r="1221" spans="1:3" x14ac:dyDescent="0.25">
      <c r="A1221">
        <v>39</v>
      </c>
      <c r="B1221" t="str">
        <f>"3:20:27.844085"</f>
        <v>3:20:27.844085</v>
      </c>
      <c r="C1221">
        <v>-62</v>
      </c>
    </row>
    <row r="1222" spans="1:3" x14ac:dyDescent="0.25">
      <c r="A1222">
        <v>37</v>
      </c>
      <c r="B1222" t="str">
        <f>"3:20:30.332720"</f>
        <v>3:20:30.332720</v>
      </c>
      <c r="C1222">
        <v>-78</v>
      </c>
    </row>
    <row r="1223" spans="1:3" x14ac:dyDescent="0.25">
      <c r="A1223">
        <v>38</v>
      </c>
      <c r="B1223" t="str">
        <f>"3:20:30.333417"</f>
        <v>3:20:30.333417</v>
      </c>
      <c r="C1223">
        <v>-63</v>
      </c>
    </row>
    <row r="1224" spans="1:3" x14ac:dyDescent="0.25">
      <c r="A1224">
        <v>39</v>
      </c>
      <c r="B1224" t="str">
        <f>"3:20:30.334114"</f>
        <v>3:20:30.334114</v>
      </c>
      <c r="C1224">
        <v>-62</v>
      </c>
    </row>
    <row r="1225" spans="1:3" x14ac:dyDescent="0.25">
      <c r="A1225">
        <v>37</v>
      </c>
      <c r="B1225" t="str">
        <f>"3:20:31.584298"</f>
        <v>3:20:31.584298</v>
      </c>
      <c r="C1225">
        <v>-79</v>
      </c>
    </row>
    <row r="1226" spans="1:3" x14ac:dyDescent="0.25">
      <c r="A1226">
        <v>38</v>
      </c>
      <c r="B1226" t="str">
        <f>"3:20:31.584995"</f>
        <v>3:20:31.584995</v>
      </c>
      <c r="C1226">
        <v>-63</v>
      </c>
    </row>
    <row r="1227" spans="1:3" x14ac:dyDescent="0.25">
      <c r="A1227">
        <v>39</v>
      </c>
      <c r="B1227" t="str">
        <f>"3:20:31.585692"</f>
        <v>3:20:31.585692</v>
      </c>
      <c r="C1227">
        <v>-62</v>
      </c>
    </row>
    <row r="1228" spans="1:3" x14ac:dyDescent="0.25">
      <c r="A1228">
        <v>37</v>
      </c>
      <c r="B1228" t="str">
        <f>"3:20:32.822675"</f>
        <v>3:20:32.822675</v>
      </c>
      <c r="C1228">
        <v>-78</v>
      </c>
    </row>
    <row r="1229" spans="1:3" x14ac:dyDescent="0.25">
      <c r="A1229">
        <v>38</v>
      </c>
      <c r="B1229" t="str">
        <f>"3:20:32.823372"</f>
        <v>3:20:32.823372</v>
      </c>
      <c r="C1229">
        <v>-63</v>
      </c>
    </row>
    <row r="1230" spans="1:3" x14ac:dyDescent="0.25">
      <c r="A1230">
        <v>39</v>
      </c>
      <c r="B1230" t="str">
        <f>"3:20:32.824069"</f>
        <v>3:20:32.824069</v>
      </c>
      <c r="C1230">
        <v>-62</v>
      </c>
    </row>
    <row r="1231" spans="1:3" x14ac:dyDescent="0.25">
      <c r="A1231">
        <v>37</v>
      </c>
      <c r="B1231" t="str">
        <f>"3:20:34.069003"</f>
        <v>3:20:34.069003</v>
      </c>
      <c r="C1231">
        <v>-79</v>
      </c>
    </row>
    <row r="1232" spans="1:3" x14ac:dyDescent="0.25">
      <c r="A1232">
        <v>38</v>
      </c>
      <c r="B1232" t="str">
        <f>"3:20:34.069700"</f>
        <v>3:20:34.069700</v>
      </c>
      <c r="C1232">
        <v>-63</v>
      </c>
    </row>
    <row r="1233" spans="1:3" x14ac:dyDescent="0.25">
      <c r="A1233">
        <v>39</v>
      </c>
      <c r="B1233" t="str">
        <f>"3:20:34.070397"</f>
        <v>3:20:34.070397</v>
      </c>
      <c r="C1233">
        <v>-62</v>
      </c>
    </row>
    <row r="1234" spans="1:3" x14ac:dyDescent="0.25">
      <c r="A1234">
        <v>38</v>
      </c>
      <c r="B1234" t="str">
        <f>"3:20:35.322077"</f>
        <v>3:20:35.322077</v>
      </c>
      <c r="C1234">
        <v>-64</v>
      </c>
    </row>
    <row r="1235" spans="1:3" x14ac:dyDescent="0.25">
      <c r="A1235">
        <v>39</v>
      </c>
      <c r="B1235" t="str">
        <f>"3:20:35.322774"</f>
        <v>3:20:35.322774</v>
      </c>
      <c r="C1235">
        <v>-62</v>
      </c>
    </row>
    <row r="1236" spans="1:3" x14ac:dyDescent="0.25">
      <c r="A1236">
        <v>37</v>
      </c>
      <c r="B1236" t="str">
        <f>"3:20:36.557127"</f>
        <v>3:20:36.557127</v>
      </c>
      <c r="C1236">
        <v>-80</v>
      </c>
    </row>
    <row r="1237" spans="1:3" x14ac:dyDescent="0.25">
      <c r="A1237">
        <v>38</v>
      </c>
      <c r="B1237" t="str">
        <f>"3:20:36.557823"</f>
        <v>3:20:36.557823</v>
      </c>
      <c r="C1237">
        <v>-63</v>
      </c>
    </row>
    <row r="1238" spans="1:3" x14ac:dyDescent="0.25">
      <c r="A1238">
        <v>39</v>
      </c>
      <c r="B1238" t="str">
        <f>"3:20:36.558521"</f>
        <v>3:20:36.558521</v>
      </c>
      <c r="C1238">
        <v>-62</v>
      </c>
    </row>
    <row r="1239" spans="1:3" x14ac:dyDescent="0.25">
      <c r="A1239">
        <v>37</v>
      </c>
      <c r="B1239" t="str">
        <f>"3:20:37.812909"</f>
        <v>3:20:37.812909</v>
      </c>
      <c r="C1239">
        <v>-80</v>
      </c>
    </row>
    <row r="1240" spans="1:3" x14ac:dyDescent="0.25">
      <c r="A1240">
        <v>38</v>
      </c>
      <c r="B1240" t="str">
        <f>"3:20:37.813606"</f>
        <v>3:20:37.813606</v>
      </c>
      <c r="C1240">
        <v>-63</v>
      </c>
    </row>
    <row r="1241" spans="1:3" x14ac:dyDescent="0.25">
      <c r="A1241">
        <v>39</v>
      </c>
      <c r="B1241" t="str">
        <f>"3:20:37.814303"</f>
        <v>3:20:37.814303</v>
      </c>
      <c r="C1241">
        <v>-62</v>
      </c>
    </row>
    <row r="1242" spans="1:3" x14ac:dyDescent="0.25">
      <c r="A1242">
        <v>38</v>
      </c>
      <c r="B1242" t="str">
        <f>"3:20:39.074607"</f>
        <v>3:20:39.074607</v>
      </c>
      <c r="C1242">
        <v>-63</v>
      </c>
    </row>
    <row r="1243" spans="1:3" x14ac:dyDescent="0.25">
      <c r="A1243">
        <v>39</v>
      </c>
      <c r="B1243" t="str">
        <f>"3:20:39.075304"</f>
        <v>3:20:39.075304</v>
      </c>
      <c r="C1243">
        <v>-62</v>
      </c>
    </row>
    <row r="1244" spans="1:3" x14ac:dyDescent="0.25">
      <c r="A1244">
        <v>38</v>
      </c>
      <c r="B1244" t="str">
        <f>"3:20:40.290913"</f>
        <v>3:20:40.290913</v>
      </c>
      <c r="C1244">
        <v>-63</v>
      </c>
    </row>
    <row r="1245" spans="1:3" x14ac:dyDescent="0.25">
      <c r="A1245">
        <v>39</v>
      </c>
      <c r="B1245" t="str">
        <f>"3:20:40.291610"</f>
        <v>3:20:40.291610</v>
      </c>
      <c r="C1245">
        <v>-62</v>
      </c>
    </row>
    <row r="1246" spans="1:3" x14ac:dyDescent="0.25">
      <c r="A1246">
        <v>38</v>
      </c>
      <c r="B1246" t="str">
        <f>"3:20:41.542812"</f>
        <v>3:20:41.542812</v>
      </c>
      <c r="C1246">
        <v>-63</v>
      </c>
    </row>
    <row r="1247" spans="1:3" x14ac:dyDescent="0.25">
      <c r="A1247">
        <v>39</v>
      </c>
      <c r="B1247" t="str">
        <f>"3:20:41.543510"</f>
        <v>3:20:41.543510</v>
      </c>
      <c r="C1247">
        <v>-62</v>
      </c>
    </row>
    <row r="1248" spans="1:3" x14ac:dyDescent="0.25">
      <c r="A1248">
        <v>38</v>
      </c>
      <c r="B1248" t="str">
        <f>"3:20:42.787240"</f>
        <v>3:20:42.787240</v>
      </c>
      <c r="C1248">
        <v>-63</v>
      </c>
    </row>
    <row r="1249" spans="1:3" x14ac:dyDescent="0.25">
      <c r="A1249">
        <v>39</v>
      </c>
      <c r="B1249" t="str">
        <f>"3:20:42.787937"</f>
        <v>3:20:42.787937</v>
      </c>
      <c r="C1249">
        <v>-62</v>
      </c>
    </row>
    <row r="1250" spans="1:3" x14ac:dyDescent="0.25">
      <c r="A1250">
        <v>38</v>
      </c>
      <c r="B1250" t="str">
        <f>"3:20:44.075271"</f>
        <v>3:20:44.075271</v>
      </c>
      <c r="C1250">
        <v>-64</v>
      </c>
    </row>
    <row r="1251" spans="1:3" x14ac:dyDescent="0.25">
      <c r="A1251">
        <v>39</v>
      </c>
      <c r="B1251" t="str">
        <f>"3:20:44.075968"</f>
        <v>3:20:44.075968</v>
      </c>
      <c r="C1251">
        <v>-61</v>
      </c>
    </row>
    <row r="1252" spans="1:3" x14ac:dyDescent="0.25">
      <c r="A1252">
        <v>38</v>
      </c>
      <c r="B1252" t="str">
        <f>"3:20:45.274169"</f>
        <v>3:20:45.274169</v>
      </c>
      <c r="C1252">
        <v>-63</v>
      </c>
    </row>
    <row r="1253" spans="1:3" x14ac:dyDescent="0.25">
      <c r="A1253">
        <v>39</v>
      </c>
      <c r="B1253" t="str">
        <f>"3:20:45.274866"</f>
        <v>3:20:45.274866</v>
      </c>
      <c r="C1253">
        <v>-62</v>
      </c>
    </row>
    <row r="1254" spans="1:3" x14ac:dyDescent="0.25">
      <c r="A1254">
        <v>38</v>
      </c>
      <c r="B1254" t="str">
        <f>"3:20:46.514008"</f>
        <v>3:20:46.514008</v>
      </c>
      <c r="C1254">
        <v>-63</v>
      </c>
    </row>
    <row r="1255" spans="1:3" x14ac:dyDescent="0.25">
      <c r="A1255">
        <v>39</v>
      </c>
      <c r="B1255" t="str">
        <f>"3:20:46.514706"</f>
        <v>3:20:46.514706</v>
      </c>
      <c r="C1255">
        <v>-62</v>
      </c>
    </row>
    <row r="1256" spans="1:3" x14ac:dyDescent="0.25">
      <c r="A1256">
        <v>38</v>
      </c>
      <c r="B1256" t="str">
        <f>"3:20:47.759413"</f>
        <v>3:20:47.759413</v>
      </c>
      <c r="C1256">
        <v>-63</v>
      </c>
    </row>
    <row r="1257" spans="1:3" x14ac:dyDescent="0.25">
      <c r="A1257">
        <v>39</v>
      </c>
      <c r="B1257" t="str">
        <f>"3:20:47.760110"</f>
        <v>3:20:47.760110</v>
      </c>
      <c r="C1257">
        <v>-62</v>
      </c>
    </row>
    <row r="1258" spans="1:3" x14ac:dyDescent="0.25">
      <c r="A1258">
        <v>38</v>
      </c>
      <c r="B1258" t="str">
        <f>"3:20:49.038741"</f>
        <v>3:20:49.038741</v>
      </c>
      <c r="C1258">
        <v>-63</v>
      </c>
    </row>
    <row r="1259" spans="1:3" x14ac:dyDescent="0.25">
      <c r="A1259">
        <v>39</v>
      </c>
      <c r="B1259" t="str">
        <f>"3:20:49.039439"</f>
        <v>3:20:49.039439</v>
      </c>
      <c r="C1259">
        <v>-62</v>
      </c>
    </row>
    <row r="1260" spans="1:3" x14ac:dyDescent="0.25">
      <c r="A1260">
        <v>37</v>
      </c>
      <c r="B1260" t="str">
        <f>"3:20:50.255804"</f>
        <v>3:20:50.255804</v>
      </c>
      <c r="C1260">
        <v>-82</v>
      </c>
    </row>
    <row r="1261" spans="1:3" x14ac:dyDescent="0.25">
      <c r="A1261">
        <v>38</v>
      </c>
      <c r="B1261" t="str">
        <f>"3:20:50.256501"</f>
        <v>3:20:50.256501</v>
      </c>
      <c r="C1261">
        <v>-63</v>
      </c>
    </row>
    <row r="1262" spans="1:3" x14ac:dyDescent="0.25">
      <c r="A1262">
        <v>39</v>
      </c>
      <c r="B1262" t="str">
        <f>"3:20:50.257198"</f>
        <v>3:20:50.257198</v>
      </c>
      <c r="C1262">
        <v>-62</v>
      </c>
    </row>
    <row r="1263" spans="1:3" x14ac:dyDescent="0.25">
      <c r="A1263">
        <v>38</v>
      </c>
      <c r="B1263" t="str">
        <f>"3:20:51.508895"</f>
        <v>3:20:51.508895</v>
      </c>
      <c r="C1263">
        <v>-63</v>
      </c>
    </row>
    <row r="1264" spans="1:3" x14ac:dyDescent="0.25">
      <c r="A1264">
        <v>39</v>
      </c>
      <c r="B1264" t="str">
        <f>"3:20:51.509593"</f>
        <v>3:20:51.509593</v>
      </c>
      <c r="C1264">
        <v>-62</v>
      </c>
    </row>
    <row r="1265" spans="1:3" x14ac:dyDescent="0.25">
      <c r="A1265">
        <v>38</v>
      </c>
      <c r="B1265" t="str">
        <f>"3:20:52.740280"</f>
        <v>3:20:52.740280</v>
      </c>
      <c r="C1265">
        <v>-63</v>
      </c>
    </row>
    <row r="1266" spans="1:3" x14ac:dyDescent="0.25">
      <c r="A1266">
        <v>39</v>
      </c>
      <c r="B1266" t="str">
        <f>"3:20:52.740977"</f>
        <v>3:20:52.740977</v>
      </c>
      <c r="C1266">
        <v>-62</v>
      </c>
    </row>
    <row r="1267" spans="1:3" x14ac:dyDescent="0.25">
      <c r="A1267">
        <v>37</v>
      </c>
      <c r="B1267" t="str">
        <f>"3:20:53.983133"</f>
        <v>3:20:53.983133</v>
      </c>
      <c r="C1267">
        <v>-84</v>
      </c>
    </row>
    <row r="1268" spans="1:3" x14ac:dyDescent="0.25">
      <c r="A1268">
        <v>38</v>
      </c>
      <c r="B1268" t="str">
        <f>"3:20:53.983830"</f>
        <v>3:20:53.983830</v>
      </c>
      <c r="C1268">
        <v>-63</v>
      </c>
    </row>
    <row r="1269" spans="1:3" x14ac:dyDescent="0.25">
      <c r="A1269">
        <v>39</v>
      </c>
      <c r="B1269" t="str">
        <f>"3:20:53.984527"</f>
        <v>3:20:53.984527</v>
      </c>
      <c r="C1269">
        <v>-61</v>
      </c>
    </row>
    <row r="1270" spans="1:3" x14ac:dyDescent="0.25">
      <c r="A1270">
        <v>38</v>
      </c>
      <c r="B1270" t="str">
        <f>"3:20:55.225887"</f>
        <v>3:20:55.225887</v>
      </c>
      <c r="C1270">
        <v>-62</v>
      </c>
    </row>
    <row r="1271" spans="1:3" x14ac:dyDescent="0.25">
      <c r="A1271">
        <v>39</v>
      </c>
      <c r="B1271" t="str">
        <f>"3:20:55.226584"</f>
        <v>3:20:55.226584</v>
      </c>
      <c r="C1271">
        <v>-61</v>
      </c>
    </row>
    <row r="1272" spans="1:3" x14ac:dyDescent="0.25">
      <c r="A1272">
        <v>38</v>
      </c>
      <c r="B1272" t="str">
        <f>"3:20:56.469158"</f>
        <v>3:20:56.469158</v>
      </c>
      <c r="C1272">
        <v>-63</v>
      </c>
    </row>
    <row r="1273" spans="1:3" x14ac:dyDescent="0.25">
      <c r="A1273">
        <v>39</v>
      </c>
      <c r="B1273" t="str">
        <f>"3:20:56.469855"</f>
        <v>3:20:56.469855</v>
      </c>
      <c r="C1273">
        <v>-62</v>
      </c>
    </row>
    <row r="1274" spans="1:3" x14ac:dyDescent="0.25">
      <c r="A1274">
        <v>38</v>
      </c>
      <c r="B1274" t="str">
        <f>"3:20:57.727832"</f>
        <v>3:20:57.727832</v>
      </c>
      <c r="C1274">
        <v>-63</v>
      </c>
    </row>
    <row r="1275" spans="1:3" x14ac:dyDescent="0.25">
      <c r="A1275">
        <v>39</v>
      </c>
      <c r="B1275" t="str">
        <f>"3:20:57.728529"</f>
        <v>3:20:57.728529</v>
      </c>
      <c r="C1275">
        <v>-62</v>
      </c>
    </row>
    <row r="1276" spans="1:3" x14ac:dyDescent="0.25">
      <c r="A1276">
        <v>38</v>
      </c>
      <c r="B1276" t="str">
        <f>"3:20:58.963206"</f>
        <v>3:20:58.963206</v>
      </c>
      <c r="C1276">
        <v>-63</v>
      </c>
    </row>
    <row r="1277" spans="1:3" x14ac:dyDescent="0.25">
      <c r="A1277">
        <v>39</v>
      </c>
      <c r="B1277" t="str">
        <f>"3:20:58.963903"</f>
        <v>3:20:58.963903</v>
      </c>
      <c r="C1277">
        <v>-62</v>
      </c>
    </row>
    <row r="1278" spans="1:3" x14ac:dyDescent="0.25">
      <c r="A1278">
        <v>38</v>
      </c>
      <c r="B1278" t="str">
        <f>"3:21:00.217834"</f>
        <v>3:21:00.217834</v>
      </c>
      <c r="C1278">
        <v>-63</v>
      </c>
    </row>
    <row r="1279" spans="1:3" x14ac:dyDescent="0.25">
      <c r="A1279">
        <v>39</v>
      </c>
      <c r="B1279" t="str">
        <f>"3:21:00.218531"</f>
        <v>3:21:00.218531</v>
      </c>
      <c r="C1279">
        <v>-62</v>
      </c>
    </row>
    <row r="1280" spans="1:3" x14ac:dyDescent="0.25">
      <c r="A1280">
        <v>39</v>
      </c>
      <c r="B1280" t="str">
        <f>"3:21:01.468758"</f>
        <v>3:21:01.468758</v>
      </c>
      <c r="C1280">
        <v>-61</v>
      </c>
    </row>
    <row r="1281" spans="1:3" x14ac:dyDescent="0.25">
      <c r="A1281">
        <v>38</v>
      </c>
      <c r="B1281" t="str">
        <f>"3:21:02.701239"</f>
        <v>3:21:02.701239</v>
      </c>
      <c r="C1281">
        <v>-63</v>
      </c>
    </row>
    <row r="1282" spans="1:3" x14ac:dyDescent="0.25">
      <c r="A1282">
        <v>39</v>
      </c>
      <c r="B1282" t="str">
        <f>"3:21:02.701936"</f>
        <v>3:21:02.701936</v>
      </c>
      <c r="C1282">
        <v>-62</v>
      </c>
    </row>
    <row r="1283" spans="1:3" x14ac:dyDescent="0.25">
      <c r="A1283">
        <v>38</v>
      </c>
      <c r="B1283" t="str">
        <f>"3:21:03.956466"</f>
        <v>3:21:03.956466</v>
      </c>
      <c r="C1283">
        <v>-63</v>
      </c>
    </row>
    <row r="1284" spans="1:3" x14ac:dyDescent="0.25">
      <c r="A1284">
        <v>39</v>
      </c>
      <c r="B1284" t="str">
        <f>"3:21:03.957163"</f>
        <v>3:21:03.957163</v>
      </c>
      <c r="C1284">
        <v>-62</v>
      </c>
    </row>
    <row r="1285" spans="1:3" x14ac:dyDescent="0.25">
      <c r="A1285">
        <v>38</v>
      </c>
      <c r="B1285" t="str">
        <f>"3:21:05.208194"</f>
        <v>3:21:05.208194</v>
      </c>
      <c r="C1285">
        <v>-63</v>
      </c>
    </row>
    <row r="1286" spans="1:3" x14ac:dyDescent="0.25">
      <c r="A1286">
        <v>39</v>
      </c>
      <c r="B1286" t="str">
        <f>"3:21:05.208891"</f>
        <v>3:21:05.208891</v>
      </c>
      <c r="C1286">
        <v>-62</v>
      </c>
    </row>
    <row r="1287" spans="1:3" x14ac:dyDescent="0.25">
      <c r="A1287">
        <v>38</v>
      </c>
      <c r="B1287" t="str">
        <f>"3:21:06.452621"</f>
        <v>3:21:06.452621</v>
      </c>
      <c r="C1287">
        <v>-63</v>
      </c>
    </row>
    <row r="1288" spans="1:3" x14ac:dyDescent="0.25">
      <c r="A1288">
        <v>39</v>
      </c>
      <c r="B1288" t="str">
        <f>"3:21:06.453318"</f>
        <v>3:21:06.453318</v>
      </c>
      <c r="C1288">
        <v>-61</v>
      </c>
    </row>
    <row r="1289" spans="1:3" x14ac:dyDescent="0.25">
      <c r="A1289">
        <v>38</v>
      </c>
      <c r="B1289" t="str">
        <f>"3:21:07.723937"</f>
        <v>3:21:07.723937</v>
      </c>
      <c r="C1289">
        <v>-64</v>
      </c>
    </row>
    <row r="1290" spans="1:3" x14ac:dyDescent="0.25">
      <c r="A1290">
        <v>39</v>
      </c>
      <c r="B1290" t="str">
        <f>"3:21:07.724634"</f>
        <v>3:21:07.724634</v>
      </c>
      <c r="C1290">
        <v>-61</v>
      </c>
    </row>
    <row r="1291" spans="1:3" x14ac:dyDescent="0.25">
      <c r="A1291">
        <v>38</v>
      </c>
      <c r="B1291" t="str">
        <f>"3:21:08.941928"</f>
        <v>3:21:08.941928</v>
      </c>
      <c r="C1291">
        <v>-63</v>
      </c>
    </row>
    <row r="1292" spans="1:3" x14ac:dyDescent="0.25">
      <c r="A1292">
        <v>39</v>
      </c>
      <c r="B1292" t="str">
        <f>"3:21:08.942625"</f>
        <v>3:21:08.942625</v>
      </c>
      <c r="C1292">
        <v>-62</v>
      </c>
    </row>
    <row r="1293" spans="1:3" x14ac:dyDescent="0.25">
      <c r="A1293">
        <v>37</v>
      </c>
      <c r="B1293" t="str">
        <f>"3:21:10.191659"</f>
        <v>3:21:10.191659</v>
      </c>
      <c r="C1293">
        <v>-84</v>
      </c>
    </row>
    <row r="1294" spans="1:3" x14ac:dyDescent="0.25">
      <c r="A1294">
        <v>38</v>
      </c>
      <c r="B1294" t="str">
        <f>"3:21:10.192356"</f>
        <v>3:21:10.192356</v>
      </c>
      <c r="C1294">
        <v>-63</v>
      </c>
    </row>
    <row r="1295" spans="1:3" x14ac:dyDescent="0.25">
      <c r="A1295">
        <v>39</v>
      </c>
      <c r="B1295" t="str">
        <f>"3:21:10.193053"</f>
        <v>3:21:10.193053</v>
      </c>
      <c r="C1295">
        <v>-62</v>
      </c>
    </row>
    <row r="1296" spans="1:3" x14ac:dyDescent="0.25">
      <c r="A1296">
        <v>38</v>
      </c>
      <c r="B1296" t="str">
        <f>"3:21:11.468419"</f>
        <v>3:21:11.468419</v>
      </c>
      <c r="C1296">
        <v>-63</v>
      </c>
    </row>
    <row r="1297" spans="1:3" x14ac:dyDescent="0.25">
      <c r="A1297">
        <v>39</v>
      </c>
      <c r="B1297" t="str">
        <f>"3:21:11.469116"</f>
        <v>3:21:11.469116</v>
      </c>
      <c r="C1297">
        <v>-61</v>
      </c>
    </row>
    <row r="1298" spans="1:3" x14ac:dyDescent="0.25">
      <c r="A1298">
        <v>38</v>
      </c>
      <c r="B1298" t="str">
        <f>"3:21:12.689835"</f>
        <v>3:21:12.689835</v>
      </c>
      <c r="C1298">
        <v>-63</v>
      </c>
    </row>
    <row r="1299" spans="1:3" x14ac:dyDescent="0.25">
      <c r="A1299">
        <v>39</v>
      </c>
      <c r="B1299" t="str">
        <f>"3:21:12.690532"</f>
        <v>3:21:12.690532</v>
      </c>
      <c r="C1299">
        <v>-62</v>
      </c>
    </row>
    <row r="1300" spans="1:3" x14ac:dyDescent="0.25">
      <c r="A1300">
        <v>38</v>
      </c>
      <c r="B1300" t="str">
        <f>"3:21:13.943554"</f>
        <v>3:21:13.943554</v>
      </c>
      <c r="C1300">
        <v>-63</v>
      </c>
    </row>
    <row r="1301" spans="1:3" x14ac:dyDescent="0.25">
      <c r="A1301">
        <v>39</v>
      </c>
      <c r="B1301" t="str">
        <f>"3:21:13.944251"</f>
        <v>3:21:13.944251</v>
      </c>
      <c r="C1301">
        <v>-62</v>
      </c>
    </row>
    <row r="1302" spans="1:3" x14ac:dyDescent="0.25">
      <c r="A1302">
        <v>38</v>
      </c>
      <c r="B1302" t="str">
        <f>"3:21:15.193398"</f>
        <v>3:21:15.193398</v>
      </c>
      <c r="C1302">
        <v>-63</v>
      </c>
    </row>
    <row r="1303" spans="1:3" x14ac:dyDescent="0.25">
      <c r="A1303">
        <v>39</v>
      </c>
      <c r="B1303" t="str">
        <f>"3:21:15.194095"</f>
        <v>3:21:15.194095</v>
      </c>
      <c r="C1303">
        <v>-62</v>
      </c>
    </row>
    <row r="1304" spans="1:3" x14ac:dyDescent="0.25">
      <c r="A1304">
        <v>38</v>
      </c>
      <c r="B1304" t="str">
        <f>"3:21:16.436173"</f>
        <v>3:21:16.436173</v>
      </c>
      <c r="C1304">
        <v>-63</v>
      </c>
    </row>
    <row r="1305" spans="1:3" x14ac:dyDescent="0.25">
      <c r="A1305">
        <v>39</v>
      </c>
      <c r="B1305" t="str">
        <f>"3:21:16.436870"</f>
        <v>3:21:16.436870</v>
      </c>
      <c r="C1305">
        <v>-61</v>
      </c>
    </row>
    <row r="1306" spans="1:3" x14ac:dyDescent="0.25">
      <c r="A1306">
        <v>37</v>
      </c>
      <c r="B1306" t="str">
        <f>"3:21:17.667437"</f>
        <v>3:21:17.667437</v>
      </c>
      <c r="C1306">
        <v>-84</v>
      </c>
    </row>
    <row r="1307" spans="1:3" x14ac:dyDescent="0.25">
      <c r="A1307">
        <v>38</v>
      </c>
      <c r="B1307" t="str">
        <f>"3:21:17.668134"</f>
        <v>3:21:17.668134</v>
      </c>
      <c r="C1307">
        <v>-63</v>
      </c>
    </row>
    <row r="1308" spans="1:3" x14ac:dyDescent="0.25">
      <c r="A1308">
        <v>39</v>
      </c>
      <c r="B1308" t="str">
        <f>"3:21:17.668831"</f>
        <v>3:21:17.668831</v>
      </c>
      <c r="C1308">
        <v>-61</v>
      </c>
    </row>
    <row r="1309" spans="1:3" x14ac:dyDescent="0.25">
      <c r="A1309">
        <v>38</v>
      </c>
      <c r="B1309" t="str">
        <f>"3:21:18.920323"</f>
        <v>3:21:18.920323</v>
      </c>
      <c r="C1309">
        <v>-62</v>
      </c>
    </row>
    <row r="1310" spans="1:3" x14ac:dyDescent="0.25">
      <c r="A1310">
        <v>39</v>
      </c>
      <c r="B1310" t="str">
        <f>"3:21:18.921020"</f>
        <v>3:21:18.921020</v>
      </c>
      <c r="C1310">
        <v>-61</v>
      </c>
    </row>
    <row r="1311" spans="1:3" x14ac:dyDescent="0.25">
      <c r="A1311">
        <v>37</v>
      </c>
      <c r="B1311" t="str">
        <f>"3:21:20.164873"</f>
        <v>3:21:20.164873</v>
      </c>
      <c r="C1311">
        <v>-84</v>
      </c>
    </row>
    <row r="1312" spans="1:3" x14ac:dyDescent="0.25">
      <c r="A1312">
        <v>38</v>
      </c>
      <c r="B1312" t="str">
        <f>"3:21:20.165570"</f>
        <v>3:21:20.165570</v>
      </c>
      <c r="C1312">
        <v>-63</v>
      </c>
    </row>
    <row r="1313" spans="1:3" x14ac:dyDescent="0.25">
      <c r="A1313">
        <v>39</v>
      </c>
      <c r="B1313" t="str">
        <f>"3:21:20.166267"</f>
        <v>3:21:20.166267</v>
      </c>
      <c r="C1313">
        <v>-62</v>
      </c>
    </row>
    <row r="1314" spans="1:3" x14ac:dyDescent="0.25">
      <c r="A1314">
        <v>38</v>
      </c>
      <c r="B1314" t="str">
        <f>"3:21:21.436633"</f>
        <v>3:21:21.436633</v>
      </c>
      <c r="C1314">
        <v>-63</v>
      </c>
    </row>
    <row r="1315" spans="1:3" x14ac:dyDescent="0.25">
      <c r="A1315">
        <v>39</v>
      </c>
      <c r="B1315" t="str">
        <f>"3:21:21.437330"</f>
        <v>3:21:21.437330</v>
      </c>
      <c r="C1315">
        <v>-62</v>
      </c>
    </row>
    <row r="1316" spans="1:3" x14ac:dyDescent="0.25">
      <c r="A1316">
        <v>37</v>
      </c>
      <c r="B1316" t="str">
        <f>"3:21:22.655410"</f>
        <v>3:21:22.655410</v>
      </c>
      <c r="C1316">
        <v>-83</v>
      </c>
    </row>
    <row r="1317" spans="1:3" x14ac:dyDescent="0.25">
      <c r="A1317">
        <v>38</v>
      </c>
      <c r="B1317" t="str">
        <f>"3:21:22.656107"</f>
        <v>3:21:22.656107</v>
      </c>
      <c r="C1317">
        <v>-63</v>
      </c>
    </row>
    <row r="1318" spans="1:3" x14ac:dyDescent="0.25">
      <c r="A1318">
        <v>39</v>
      </c>
      <c r="B1318" t="str">
        <f>"3:21:22.656804"</f>
        <v>3:21:22.656804</v>
      </c>
      <c r="C1318">
        <v>-61</v>
      </c>
    </row>
    <row r="1319" spans="1:3" x14ac:dyDescent="0.25">
      <c r="A1319">
        <v>37</v>
      </c>
      <c r="B1319" t="str">
        <f>"3:21:23.939274"</f>
        <v>3:21:23.939274</v>
      </c>
      <c r="C1319">
        <v>-82</v>
      </c>
    </row>
    <row r="1320" spans="1:3" x14ac:dyDescent="0.25">
      <c r="A1320">
        <v>38</v>
      </c>
      <c r="B1320" t="str">
        <f>"3:21:23.939971"</f>
        <v>3:21:23.939971</v>
      </c>
      <c r="C1320">
        <v>-63</v>
      </c>
    </row>
    <row r="1321" spans="1:3" x14ac:dyDescent="0.25">
      <c r="A1321">
        <v>39</v>
      </c>
      <c r="B1321" t="str">
        <f>"3:21:23.940668"</f>
        <v>3:21:23.940668</v>
      </c>
      <c r="C1321">
        <v>-61</v>
      </c>
    </row>
    <row r="1322" spans="1:3" x14ac:dyDescent="0.25">
      <c r="A1322">
        <v>37</v>
      </c>
      <c r="B1322" t="str">
        <f>"3:21:25.146331"</f>
        <v>3:21:25.146331</v>
      </c>
      <c r="C1322">
        <v>-80</v>
      </c>
    </row>
    <row r="1323" spans="1:3" x14ac:dyDescent="0.25">
      <c r="A1323">
        <v>38</v>
      </c>
      <c r="B1323" t="str">
        <f>"3:21:25.147028"</f>
        <v>3:21:25.147028</v>
      </c>
      <c r="C1323">
        <v>-63</v>
      </c>
    </row>
    <row r="1324" spans="1:3" x14ac:dyDescent="0.25">
      <c r="A1324">
        <v>39</v>
      </c>
      <c r="B1324" t="str">
        <f>"3:21:25.147725"</f>
        <v>3:21:25.147725</v>
      </c>
      <c r="C1324">
        <v>-61</v>
      </c>
    </row>
    <row r="1325" spans="1:3" x14ac:dyDescent="0.25">
      <c r="A1325">
        <v>38</v>
      </c>
      <c r="B1325" t="str">
        <f>"3:21:26.392083"</f>
        <v>3:21:26.392083</v>
      </c>
      <c r="C1325">
        <v>-63</v>
      </c>
    </row>
    <row r="1326" spans="1:3" x14ac:dyDescent="0.25">
      <c r="A1326">
        <v>39</v>
      </c>
      <c r="B1326" t="str">
        <f>"3:21:26.392780"</f>
        <v>3:21:26.392780</v>
      </c>
      <c r="C1326">
        <v>-61</v>
      </c>
    </row>
    <row r="1327" spans="1:3" x14ac:dyDescent="0.25">
      <c r="A1327">
        <v>38</v>
      </c>
      <c r="B1327" t="str">
        <f>"3:21:27.635256"</f>
        <v>3:21:27.635256</v>
      </c>
      <c r="C1327">
        <v>-63</v>
      </c>
    </row>
    <row r="1328" spans="1:3" x14ac:dyDescent="0.25">
      <c r="A1328">
        <v>39</v>
      </c>
      <c r="B1328" t="str">
        <f>"3:21:27.635954"</f>
        <v>3:21:27.635954</v>
      </c>
      <c r="C1328">
        <v>-61</v>
      </c>
    </row>
    <row r="1329" spans="1:3" x14ac:dyDescent="0.25">
      <c r="A1329">
        <v>38</v>
      </c>
      <c r="B1329" t="str">
        <f>"3:21:28.902134"</f>
        <v>3:21:28.902134</v>
      </c>
      <c r="C1329">
        <v>-61</v>
      </c>
    </row>
    <row r="1330" spans="1:3" x14ac:dyDescent="0.25">
      <c r="A1330">
        <v>39</v>
      </c>
      <c r="B1330" t="str">
        <f>"3:21:28.902831"</f>
        <v>3:21:28.902831</v>
      </c>
      <c r="C1330">
        <v>-61</v>
      </c>
    </row>
    <row r="1331" spans="1:3" x14ac:dyDescent="0.25">
      <c r="A1331">
        <v>37</v>
      </c>
      <c r="B1331" t="str">
        <f>"3:21:30.123739"</f>
        <v>3:21:30.123739</v>
      </c>
      <c r="C1331">
        <v>-80</v>
      </c>
    </row>
    <row r="1332" spans="1:3" x14ac:dyDescent="0.25">
      <c r="A1332">
        <v>38</v>
      </c>
      <c r="B1332" t="str">
        <f>"3:21:30.124435"</f>
        <v>3:21:30.124435</v>
      </c>
      <c r="C1332">
        <v>-63</v>
      </c>
    </row>
    <row r="1333" spans="1:3" x14ac:dyDescent="0.25">
      <c r="A1333">
        <v>39</v>
      </c>
      <c r="B1333" t="str">
        <f>"3:21:30.125132"</f>
        <v>3:21:30.125132</v>
      </c>
      <c r="C1333">
        <v>-61</v>
      </c>
    </row>
    <row r="1334" spans="1:3" x14ac:dyDescent="0.25">
      <c r="A1334">
        <v>38</v>
      </c>
      <c r="B1334" t="str">
        <f>"3:21:31.360663"</f>
        <v>3:21:31.360663</v>
      </c>
      <c r="C1334">
        <v>-63</v>
      </c>
    </row>
    <row r="1335" spans="1:3" x14ac:dyDescent="0.25">
      <c r="A1335">
        <v>39</v>
      </c>
      <c r="B1335" t="str">
        <f>"3:21:31.361360"</f>
        <v>3:21:31.361360</v>
      </c>
      <c r="C1335">
        <v>-61</v>
      </c>
    </row>
    <row r="1336" spans="1:3" x14ac:dyDescent="0.25">
      <c r="A1336">
        <v>37</v>
      </c>
      <c r="B1336" t="str">
        <f>"3:21:32.611593"</f>
        <v>3:21:32.611593</v>
      </c>
      <c r="C1336">
        <v>-80</v>
      </c>
    </row>
    <row r="1337" spans="1:3" x14ac:dyDescent="0.25">
      <c r="A1337">
        <v>38</v>
      </c>
      <c r="B1337" t="str">
        <f>"3:21:32.612290"</f>
        <v>3:21:32.612290</v>
      </c>
      <c r="C1337">
        <v>-63</v>
      </c>
    </row>
    <row r="1338" spans="1:3" x14ac:dyDescent="0.25">
      <c r="A1338">
        <v>39</v>
      </c>
      <c r="B1338" t="str">
        <f>"3:21:32.612987"</f>
        <v>3:21:32.612987</v>
      </c>
      <c r="C1338">
        <v>-61</v>
      </c>
    </row>
    <row r="1339" spans="1:3" x14ac:dyDescent="0.25">
      <c r="A1339">
        <v>38</v>
      </c>
      <c r="B1339" t="str">
        <f>"3:21:33.855418"</f>
        <v>3:21:33.855418</v>
      </c>
      <c r="C1339">
        <v>-63</v>
      </c>
    </row>
    <row r="1340" spans="1:3" x14ac:dyDescent="0.25">
      <c r="A1340">
        <v>39</v>
      </c>
      <c r="B1340" t="str">
        <f>"3:21:33.856115"</f>
        <v>3:21:33.856115</v>
      </c>
      <c r="C1340">
        <v>-61</v>
      </c>
    </row>
    <row r="1341" spans="1:3" x14ac:dyDescent="0.25">
      <c r="A1341">
        <v>37</v>
      </c>
      <c r="B1341" t="str">
        <f>"3:21:35.104176"</f>
        <v>3:21:35.104176</v>
      </c>
      <c r="C1341">
        <v>-82</v>
      </c>
    </row>
    <row r="1342" spans="1:3" x14ac:dyDescent="0.25">
      <c r="A1342">
        <v>38</v>
      </c>
      <c r="B1342" t="str">
        <f>"3:21:35.104873"</f>
        <v>3:21:35.104873</v>
      </c>
      <c r="C1342">
        <v>-63</v>
      </c>
    </row>
    <row r="1343" spans="1:3" x14ac:dyDescent="0.25">
      <c r="A1343">
        <v>39</v>
      </c>
      <c r="B1343" t="str">
        <f>"3:21:35.105570"</f>
        <v>3:21:35.105570</v>
      </c>
      <c r="C1343">
        <v>-61</v>
      </c>
    </row>
    <row r="1344" spans="1:3" x14ac:dyDescent="0.25">
      <c r="A1344">
        <v>39</v>
      </c>
      <c r="B1344" t="str">
        <f>"3:21:36.352520"</f>
        <v>3:21:36.352520</v>
      </c>
      <c r="C1344">
        <v>-61</v>
      </c>
    </row>
    <row r="1345" spans="1:3" x14ac:dyDescent="0.25">
      <c r="A1345">
        <v>38</v>
      </c>
      <c r="B1345" t="str">
        <f>"3:21:37.594150"</f>
        <v>3:21:37.594150</v>
      </c>
      <c r="C1345">
        <v>-63</v>
      </c>
    </row>
    <row r="1346" spans="1:3" x14ac:dyDescent="0.25">
      <c r="A1346">
        <v>39</v>
      </c>
      <c r="B1346" t="str">
        <f>"3:21:37.594847"</f>
        <v>3:21:37.594847</v>
      </c>
      <c r="C1346">
        <v>-61</v>
      </c>
    </row>
    <row r="1347" spans="1:3" x14ac:dyDescent="0.25">
      <c r="A1347">
        <v>37</v>
      </c>
      <c r="B1347" t="str">
        <f>"3:21:38.852864"</f>
        <v>3:21:38.852864</v>
      </c>
      <c r="C1347">
        <v>-81</v>
      </c>
    </row>
    <row r="1348" spans="1:3" x14ac:dyDescent="0.25">
      <c r="A1348">
        <v>39</v>
      </c>
      <c r="B1348" t="str">
        <f>"3:21:38.854258"</f>
        <v>3:21:38.854258</v>
      </c>
      <c r="C1348">
        <v>-61</v>
      </c>
    </row>
    <row r="1349" spans="1:3" x14ac:dyDescent="0.25">
      <c r="A1349">
        <v>37</v>
      </c>
      <c r="B1349" t="str">
        <f>"3:21:40.076032"</f>
        <v>3:21:40.076032</v>
      </c>
      <c r="C1349">
        <v>-82</v>
      </c>
    </row>
    <row r="1350" spans="1:3" x14ac:dyDescent="0.25">
      <c r="A1350">
        <v>38</v>
      </c>
      <c r="B1350" t="str">
        <f>"3:21:40.076729"</f>
        <v>3:21:40.076729</v>
      </c>
      <c r="C1350">
        <v>-63</v>
      </c>
    </row>
    <row r="1351" spans="1:3" x14ac:dyDescent="0.25">
      <c r="A1351">
        <v>39</v>
      </c>
      <c r="B1351" t="str">
        <f>"3:21:40.077426"</f>
        <v>3:21:40.077426</v>
      </c>
      <c r="C1351">
        <v>-61</v>
      </c>
    </row>
    <row r="1352" spans="1:3" x14ac:dyDescent="0.25">
      <c r="A1352">
        <v>38</v>
      </c>
      <c r="B1352" t="str">
        <f>"3:21:41.323857"</f>
        <v>3:21:41.323857</v>
      </c>
      <c r="C1352">
        <v>-63</v>
      </c>
    </row>
    <row r="1353" spans="1:3" x14ac:dyDescent="0.25">
      <c r="A1353">
        <v>39</v>
      </c>
      <c r="B1353" t="str">
        <f>"3:21:41.324554"</f>
        <v>3:21:41.324554</v>
      </c>
      <c r="C1353">
        <v>-61</v>
      </c>
    </row>
    <row r="1354" spans="1:3" x14ac:dyDescent="0.25">
      <c r="A1354">
        <v>37</v>
      </c>
      <c r="B1354" t="str">
        <f>"3:21:42.569965"</f>
        <v>3:21:42.569965</v>
      </c>
      <c r="C1354">
        <v>-81</v>
      </c>
    </row>
    <row r="1355" spans="1:3" x14ac:dyDescent="0.25">
      <c r="A1355">
        <v>38</v>
      </c>
      <c r="B1355" t="str">
        <f>"3:21:42.570662"</f>
        <v>3:21:42.570662</v>
      </c>
      <c r="C1355">
        <v>-63</v>
      </c>
    </row>
    <row r="1356" spans="1:3" x14ac:dyDescent="0.25">
      <c r="A1356">
        <v>39</v>
      </c>
      <c r="B1356" t="str">
        <f>"3:21:42.571359"</f>
        <v>3:21:42.571359</v>
      </c>
      <c r="C1356">
        <v>-61</v>
      </c>
    </row>
    <row r="1357" spans="1:3" x14ac:dyDescent="0.25">
      <c r="A1357">
        <v>37</v>
      </c>
      <c r="B1357" t="str">
        <f>"3:21:43.819993"</f>
        <v>3:21:43.819993</v>
      </c>
      <c r="C1357">
        <v>-84</v>
      </c>
    </row>
    <row r="1358" spans="1:3" x14ac:dyDescent="0.25">
      <c r="A1358">
        <v>38</v>
      </c>
      <c r="B1358" t="str">
        <f>"3:21:43.820690"</f>
        <v>3:21:43.820690</v>
      </c>
      <c r="C1358">
        <v>-63</v>
      </c>
    </row>
    <row r="1359" spans="1:3" x14ac:dyDescent="0.25">
      <c r="A1359">
        <v>39</v>
      </c>
      <c r="B1359" t="str">
        <f>"3:21:43.821387"</f>
        <v>3:21:43.821387</v>
      </c>
      <c r="C1359">
        <v>-61</v>
      </c>
    </row>
    <row r="1360" spans="1:3" x14ac:dyDescent="0.25">
      <c r="A1360">
        <v>38</v>
      </c>
      <c r="B1360" t="str">
        <f>"3:21:45.057867"</f>
        <v>3:21:45.057867</v>
      </c>
      <c r="C1360">
        <v>-63</v>
      </c>
    </row>
    <row r="1361" spans="1:3" x14ac:dyDescent="0.25">
      <c r="A1361">
        <v>39</v>
      </c>
      <c r="B1361" t="str">
        <f>"3:21:45.058564"</f>
        <v>3:21:45.058564</v>
      </c>
      <c r="C1361">
        <v>-61</v>
      </c>
    </row>
    <row r="1362" spans="1:3" x14ac:dyDescent="0.25">
      <c r="A1362">
        <v>38</v>
      </c>
      <c r="B1362" t="str">
        <f>"3:21:46.306794"</f>
        <v>3:21:46.306794</v>
      </c>
      <c r="C1362">
        <v>-63</v>
      </c>
    </row>
    <row r="1363" spans="1:3" x14ac:dyDescent="0.25">
      <c r="A1363">
        <v>39</v>
      </c>
      <c r="B1363" t="str">
        <f>"3:21:46.307491"</f>
        <v>3:21:46.307491</v>
      </c>
      <c r="C1363">
        <v>-61</v>
      </c>
    </row>
    <row r="1364" spans="1:3" x14ac:dyDescent="0.25">
      <c r="A1364">
        <v>38</v>
      </c>
      <c r="B1364" t="str">
        <f>"3:21:47.571685"</f>
        <v>3:21:47.571685</v>
      </c>
      <c r="C1364">
        <v>-63</v>
      </c>
    </row>
    <row r="1365" spans="1:3" x14ac:dyDescent="0.25">
      <c r="A1365">
        <v>39</v>
      </c>
      <c r="B1365" t="str">
        <f>"3:21:47.572382"</f>
        <v>3:21:47.572382</v>
      </c>
      <c r="C1365">
        <v>-61</v>
      </c>
    </row>
    <row r="1366" spans="1:3" x14ac:dyDescent="0.25">
      <c r="A1366">
        <v>38</v>
      </c>
      <c r="B1366" t="str">
        <f>"3:21:48.795823"</f>
        <v>3:21:48.795823</v>
      </c>
      <c r="C1366">
        <v>-62</v>
      </c>
    </row>
    <row r="1367" spans="1:3" x14ac:dyDescent="0.25">
      <c r="A1367">
        <v>39</v>
      </c>
      <c r="B1367" t="str">
        <f>"3:21:48.796520"</f>
        <v>3:21:48.796520</v>
      </c>
      <c r="C1367">
        <v>-61</v>
      </c>
    </row>
    <row r="1368" spans="1:3" x14ac:dyDescent="0.25">
      <c r="A1368">
        <v>38</v>
      </c>
      <c r="B1368" t="str">
        <f>"3:21:50.043401"</f>
        <v>3:21:50.043401</v>
      </c>
      <c r="C1368">
        <v>-63</v>
      </c>
    </row>
    <row r="1369" spans="1:3" x14ac:dyDescent="0.25">
      <c r="A1369">
        <v>39</v>
      </c>
      <c r="B1369" t="str">
        <f>"3:21:50.044098"</f>
        <v>3:21:50.044098</v>
      </c>
      <c r="C1369">
        <v>-61</v>
      </c>
    </row>
    <row r="1370" spans="1:3" x14ac:dyDescent="0.25">
      <c r="A1370">
        <v>38</v>
      </c>
      <c r="B1370" t="str">
        <f>"3:21:51.280606"</f>
        <v>3:21:51.280606</v>
      </c>
      <c r="C1370">
        <v>-63</v>
      </c>
    </row>
    <row r="1371" spans="1:3" x14ac:dyDescent="0.25">
      <c r="A1371">
        <v>39</v>
      </c>
      <c r="B1371" t="str">
        <f>"3:21:51.281303"</f>
        <v>3:21:51.281303</v>
      </c>
      <c r="C1371">
        <v>-61</v>
      </c>
    </row>
    <row r="1372" spans="1:3" x14ac:dyDescent="0.25">
      <c r="A1372">
        <v>38</v>
      </c>
      <c r="B1372" t="str">
        <f>"3:21:52.544396"</f>
        <v>3:21:52.544396</v>
      </c>
      <c r="C1372">
        <v>-63</v>
      </c>
    </row>
    <row r="1373" spans="1:3" x14ac:dyDescent="0.25">
      <c r="A1373">
        <v>39</v>
      </c>
      <c r="B1373" t="str">
        <f>"3:21:52.545093"</f>
        <v>3:21:52.545093</v>
      </c>
      <c r="C1373">
        <v>-61</v>
      </c>
    </row>
    <row r="1374" spans="1:3" x14ac:dyDescent="0.25">
      <c r="A1374">
        <v>38</v>
      </c>
      <c r="B1374" t="str">
        <f>"3:21:53.772085"</f>
        <v>3:21:53.772085</v>
      </c>
      <c r="C1374">
        <v>-63</v>
      </c>
    </row>
    <row r="1375" spans="1:3" x14ac:dyDescent="0.25">
      <c r="A1375">
        <v>39</v>
      </c>
      <c r="B1375" t="str">
        <f>"3:21:53.772782"</f>
        <v>3:21:53.772782</v>
      </c>
      <c r="C1375">
        <v>-61</v>
      </c>
    </row>
    <row r="1376" spans="1:3" x14ac:dyDescent="0.25">
      <c r="A1376">
        <v>38</v>
      </c>
      <c r="B1376" t="str">
        <f>"3:21:55.018013"</f>
        <v>3:21:55.018013</v>
      </c>
      <c r="C1376">
        <v>-63</v>
      </c>
    </row>
    <row r="1377" spans="1:3" x14ac:dyDescent="0.25">
      <c r="A1377">
        <v>39</v>
      </c>
      <c r="B1377" t="str">
        <f>"3:21:55.018710"</f>
        <v>3:21:55.018710</v>
      </c>
      <c r="C1377">
        <v>-61</v>
      </c>
    </row>
    <row r="1378" spans="1:3" x14ac:dyDescent="0.25">
      <c r="A1378">
        <v>37</v>
      </c>
      <c r="B1378" t="str">
        <f>"3:21:56.266093"</f>
        <v>3:21:56.266093</v>
      </c>
      <c r="C1378">
        <v>-80</v>
      </c>
    </row>
    <row r="1379" spans="1:3" x14ac:dyDescent="0.25">
      <c r="A1379">
        <v>38</v>
      </c>
      <c r="B1379" t="str">
        <f>"3:21:56.266790"</f>
        <v>3:21:56.266790</v>
      </c>
      <c r="C1379">
        <v>-63</v>
      </c>
    </row>
    <row r="1380" spans="1:3" x14ac:dyDescent="0.25">
      <c r="A1380">
        <v>39</v>
      </c>
      <c r="B1380" t="str">
        <f>"3:21:56.267487"</f>
        <v>3:21:56.267487</v>
      </c>
      <c r="C1380">
        <v>-61</v>
      </c>
    </row>
    <row r="1381" spans="1:3" x14ac:dyDescent="0.25">
      <c r="A1381">
        <v>37</v>
      </c>
      <c r="B1381" t="str">
        <f>"3:21:57.519869"</f>
        <v>3:21:57.519869</v>
      </c>
      <c r="C1381">
        <v>-82</v>
      </c>
    </row>
    <row r="1382" spans="1:3" x14ac:dyDescent="0.25">
      <c r="A1382">
        <v>38</v>
      </c>
      <c r="B1382" t="str">
        <f>"3:21:57.520566"</f>
        <v>3:21:57.520566</v>
      </c>
      <c r="C1382">
        <v>-63</v>
      </c>
    </row>
    <row r="1383" spans="1:3" x14ac:dyDescent="0.25">
      <c r="A1383">
        <v>39</v>
      </c>
      <c r="B1383" t="str">
        <f>"3:21:57.521263"</f>
        <v>3:21:57.521263</v>
      </c>
      <c r="C1383">
        <v>-61</v>
      </c>
    </row>
    <row r="1384" spans="1:3" x14ac:dyDescent="0.25">
      <c r="A1384">
        <v>37</v>
      </c>
      <c r="B1384" t="str">
        <f>"3:21:58.753723"</f>
        <v>3:21:58.753723</v>
      </c>
      <c r="C1384">
        <v>-80</v>
      </c>
    </row>
    <row r="1385" spans="1:3" x14ac:dyDescent="0.25">
      <c r="A1385">
        <v>38</v>
      </c>
      <c r="B1385" t="str">
        <f>"3:21:58.754420"</f>
        <v>3:21:58.754420</v>
      </c>
      <c r="C1385">
        <v>-63</v>
      </c>
    </row>
    <row r="1386" spans="1:3" x14ac:dyDescent="0.25">
      <c r="A1386">
        <v>39</v>
      </c>
      <c r="B1386" t="str">
        <f>"3:21:58.755117"</f>
        <v>3:21:58.755117</v>
      </c>
      <c r="C1386">
        <v>-61</v>
      </c>
    </row>
    <row r="1387" spans="1:3" x14ac:dyDescent="0.25">
      <c r="A1387">
        <v>37</v>
      </c>
      <c r="B1387" t="str">
        <f>"3:22:00.003928"</f>
        <v>3:22:00.003928</v>
      </c>
      <c r="C1387">
        <v>-82</v>
      </c>
    </row>
    <row r="1388" spans="1:3" x14ac:dyDescent="0.25">
      <c r="A1388">
        <v>38</v>
      </c>
      <c r="B1388" t="str">
        <f>"3:22:00.004624"</f>
        <v>3:22:00.004624</v>
      </c>
      <c r="C1388">
        <v>-63</v>
      </c>
    </row>
    <row r="1389" spans="1:3" x14ac:dyDescent="0.25">
      <c r="A1389">
        <v>39</v>
      </c>
      <c r="B1389" t="str">
        <f>"3:22:00.005321"</f>
        <v>3:22:00.005321</v>
      </c>
      <c r="C1389">
        <v>-61</v>
      </c>
    </row>
    <row r="1390" spans="1:3" x14ac:dyDescent="0.25">
      <c r="A1390">
        <v>37</v>
      </c>
      <c r="B1390" t="str">
        <f>"3:22:01.245255"</f>
        <v>3:22:01.245255</v>
      </c>
      <c r="C1390">
        <v>-81</v>
      </c>
    </row>
    <row r="1391" spans="1:3" x14ac:dyDescent="0.25">
      <c r="A1391">
        <v>38</v>
      </c>
      <c r="B1391" t="str">
        <f>"3:22:01.245952"</f>
        <v>3:22:01.245952</v>
      </c>
      <c r="C1391">
        <v>-63</v>
      </c>
    </row>
    <row r="1392" spans="1:3" x14ac:dyDescent="0.25">
      <c r="A1392">
        <v>39</v>
      </c>
      <c r="B1392" t="str">
        <f>"3:22:01.246649"</f>
        <v>3:22:01.246649</v>
      </c>
      <c r="C1392">
        <v>-61</v>
      </c>
    </row>
    <row r="1393" spans="1:3" x14ac:dyDescent="0.25">
      <c r="A1393">
        <v>38</v>
      </c>
      <c r="B1393" t="str">
        <f>"3:22:02.487329"</f>
        <v>3:22:02.487329</v>
      </c>
      <c r="C1393">
        <v>-63</v>
      </c>
    </row>
    <row r="1394" spans="1:3" x14ac:dyDescent="0.25">
      <c r="A1394">
        <v>39</v>
      </c>
      <c r="B1394" t="str">
        <f>"3:22:02.488026"</f>
        <v>3:22:02.488026</v>
      </c>
      <c r="C1394">
        <v>-61</v>
      </c>
    </row>
    <row r="1395" spans="1:3" x14ac:dyDescent="0.25">
      <c r="A1395">
        <v>38</v>
      </c>
      <c r="B1395" t="str">
        <f>"3:22:03.738357"</f>
        <v>3:22:03.738357</v>
      </c>
      <c r="C1395">
        <v>-62</v>
      </c>
    </row>
    <row r="1396" spans="1:3" x14ac:dyDescent="0.25">
      <c r="A1396">
        <v>39</v>
      </c>
      <c r="B1396" t="str">
        <f>"3:22:03.739054"</f>
        <v>3:22:03.739054</v>
      </c>
      <c r="C1396">
        <v>-61</v>
      </c>
    </row>
    <row r="1397" spans="1:3" x14ac:dyDescent="0.25">
      <c r="A1397">
        <v>38</v>
      </c>
      <c r="B1397" t="str">
        <f>"3:22:05.004729"</f>
        <v>3:22:05.004729</v>
      </c>
      <c r="C1397">
        <v>-63</v>
      </c>
    </row>
    <row r="1398" spans="1:3" x14ac:dyDescent="0.25">
      <c r="A1398">
        <v>39</v>
      </c>
      <c r="B1398" t="str">
        <f>"3:22:05.005426"</f>
        <v>3:22:05.005426</v>
      </c>
      <c r="C1398">
        <v>-61</v>
      </c>
    </row>
    <row r="1399" spans="1:3" x14ac:dyDescent="0.25">
      <c r="A1399">
        <v>38</v>
      </c>
      <c r="B1399" t="str">
        <f>"3:22:06.252932"</f>
        <v>3:22:06.252932</v>
      </c>
      <c r="C1399">
        <v>-63</v>
      </c>
    </row>
    <row r="1400" spans="1:3" x14ac:dyDescent="0.25">
      <c r="A1400">
        <v>39</v>
      </c>
      <c r="B1400" t="str">
        <f>"3:22:06.253629"</f>
        <v>3:22:06.253629</v>
      </c>
      <c r="C1400">
        <v>-61</v>
      </c>
    </row>
    <row r="1401" spans="1:3" x14ac:dyDescent="0.25">
      <c r="A1401">
        <v>38</v>
      </c>
      <c r="B1401" t="str">
        <f>"3:22:07.471709"</f>
        <v>3:22:07.471709</v>
      </c>
      <c r="C1401">
        <v>-63</v>
      </c>
    </row>
    <row r="1402" spans="1:3" x14ac:dyDescent="0.25">
      <c r="A1402">
        <v>39</v>
      </c>
      <c r="B1402" t="str">
        <f>"3:22:07.472406"</f>
        <v>3:22:07.472406</v>
      </c>
      <c r="C1402">
        <v>-61</v>
      </c>
    </row>
    <row r="1403" spans="1:3" x14ac:dyDescent="0.25">
      <c r="A1403">
        <v>38</v>
      </c>
      <c r="B1403" t="str">
        <f>"3:22:08.715777"</f>
        <v>3:22:08.715777</v>
      </c>
      <c r="C1403">
        <v>-63</v>
      </c>
    </row>
    <row r="1404" spans="1:3" x14ac:dyDescent="0.25">
      <c r="A1404">
        <v>39</v>
      </c>
      <c r="B1404" t="str">
        <f>"3:22:08.716474"</f>
        <v>3:22:08.716474</v>
      </c>
      <c r="C1404">
        <v>-61</v>
      </c>
    </row>
    <row r="1405" spans="1:3" x14ac:dyDescent="0.25">
      <c r="A1405">
        <v>38</v>
      </c>
      <c r="B1405" t="str">
        <f>"3:22:09.975253"</f>
        <v>3:22:09.975253</v>
      </c>
      <c r="C1405">
        <v>-63</v>
      </c>
    </row>
    <row r="1406" spans="1:3" x14ac:dyDescent="0.25">
      <c r="A1406">
        <v>39</v>
      </c>
      <c r="B1406" t="str">
        <f>"3:22:09.975950"</f>
        <v>3:22:09.975950</v>
      </c>
      <c r="C1406">
        <v>-61</v>
      </c>
    </row>
    <row r="1407" spans="1:3" x14ac:dyDescent="0.25">
      <c r="A1407">
        <v>38</v>
      </c>
      <c r="B1407" t="str">
        <f>"3:22:11.211155"</f>
        <v>3:22:11.211155</v>
      </c>
      <c r="C1407">
        <v>-63</v>
      </c>
    </row>
    <row r="1408" spans="1:3" x14ac:dyDescent="0.25">
      <c r="A1408">
        <v>39</v>
      </c>
      <c r="B1408" t="str">
        <f>"3:22:11.211852"</f>
        <v>3:22:11.211852</v>
      </c>
      <c r="C1408">
        <v>-61</v>
      </c>
    </row>
    <row r="1409" spans="1:3" x14ac:dyDescent="0.25">
      <c r="A1409">
        <v>37</v>
      </c>
      <c r="B1409" t="str">
        <f>"3:22:12.458636"</f>
        <v>3:22:12.458636</v>
      </c>
      <c r="C1409">
        <v>-81</v>
      </c>
    </row>
    <row r="1410" spans="1:3" x14ac:dyDescent="0.25">
      <c r="A1410">
        <v>38</v>
      </c>
      <c r="B1410" t="str">
        <f>"3:22:12.459333"</f>
        <v>3:22:12.459333</v>
      </c>
      <c r="C1410">
        <v>-63</v>
      </c>
    </row>
    <row r="1411" spans="1:3" x14ac:dyDescent="0.25">
      <c r="A1411">
        <v>39</v>
      </c>
      <c r="B1411" t="str">
        <f>"3:22:12.460030"</f>
        <v>3:22:12.460030</v>
      </c>
      <c r="C1411">
        <v>-61</v>
      </c>
    </row>
    <row r="1412" spans="1:3" x14ac:dyDescent="0.25">
      <c r="A1412">
        <v>38</v>
      </c>
      <c r="B1412" t="str">
        <f>"3:22:13.699271"</f>
        <v>3:22:13.699271</v>
      </c>
      <c r="C1412">
        <v>-63</v>
      </c>
    </row>
    <row r="1413" spans="1:3" x14ac:dyDescent="0.25">
      <c r="A1413">
        <v>39</v>
      </c>
      <c r="B1413" t="str">
        <f>"3:22:13.699968"</f>
        <v>3:22:13.699968</v>
      </c>
      <c r="C1413">
        <v>-61</v>
      </c>
    </row>
    <row r="1414" spans="1:3" x14ac:dyDescent="0.25">
      <c r="A1414">
        <v>37</v>
      </c>
      <c r="B1414" t="str">
        <f>"3:22:14.942741"</f>
        <v>3:22:14.942741</v>
      </c>
      <c r="C1414">
        <v>-81</v>
      </c>
    </row>
    <row r="1415" spans="1:3" x14ac:dyDescent="0.25">
      <c r="A1415">
        <v>38</v>
      </c>
      <c r="B1415" t="str">
        <f>"3:22:14.943438"</f>
        <v>3:22:14.943438</v>
      </c>
      <c r="C1415">
        <v>-63</v>
      </c>
    </row>
    <row r="1416" spans="1:3" x14ac:dyDescent="0.25">
      <c r="A1416">
        <v>39</v>
      </c>
      <c r="B1416" t="str">
        <f>"3:22:14.944135"</f>
        <v>3:22:14.944135</v>
      </c>
      <c r="C1416">
        <v>-61</v>
      </c>
    </row>
    <row r="1417" spans="1:3" x14ac:dyDescent="0.25">
      <c r="A1417">
        <v>37</v>
      </c>
      <c r="B1417" t="str">
        <f>"3:22:16.184968"</f>
        <v>3:22:16.184968</v>
      </c>
      <c r="C1417">
        <v>-82</v>
      </c>
    </row>
    <row r="1418" spans="1:3" x14ac:dyDescent="0.25">
      <c r="A1418">
        <v>38</v>
      </c>
      <c r="B1418" t="str">
        <f>"3:22:16.185665"</f>
        <v>3:22:16.185665</v>
      </c>
      <c r="C1418">
        <v>-63</v>
      </c>
    </row>
    <row r="1419" spans="1:3" x14ac:dyDescent="0.25">
      <c r="A1419">
        <v>39</v>
      </c>
      <c r="B1419" t="str">
        <f>"3:22:16.186362"</f>
        <v>3:22:16.186362</v>
      </c>
      <c r="C1419">
        <v>-61</v>
      </c>
    </row>
    <row r="1420" spans="1:3" x14ac:dyDescent="0.25">
      <c r="A1420">
        <v>38</v>
      </c>
      <c r="B1420" t="str">
        <f>"3:22:17.424221"</f>
        <v>3:22:17.424221</v>
      </c>
      <c r="C1420">
        <v>-63</v>
      </c>
    </row>
    <row r="1421" spans="1:3" x14ac:dyDescent="0.25">
      <c r="A1421">
        <v>38</v>
      </c>
      <c r="B1421" t="str">
        <f>"3:22:18.679472"</f>
        <v>3:22:18.679472</v>
      </c>
      <c r="C1421">
        <v>-62</v>
      </c>
    </row>
    <row r="1422" spans="1:3" x14ac:dyDescent="0.25">
      <c r="A1422">
        <v>39</v>
      </c>
      <c r="B1422" t="str">
        <f>"3:22:18.680169"</f>
        <v>3:22:18.680169</v>
      </c>
      <c r="C1422">
        <v>-61</v>
      </c>
    </row>
    <row r="1423" spans="1:3" x14ac:dyDescent="0.25">
      <c r="A1423">
        <v>38</v>
      </c>
      <c r="B1423" t="str">
        <f>"3:22:19.922349"</f>
        <v>3:22:19.922349</v>
      </c>
      <c r="C1423">
        <v>-62</v>
      </c>
    </row>
    <row r="1424" spans="1:3" x14ac:dyDescent="0.25">
      <c r="A1424">
        <v>39</v>
      </c>
      <c r="B1424" t="str">
        <f>"3:22:19.923046"</f>
        <v>3:22:19.923046</v>
      </c>
      <c r="C1424">
        <v>-61</v>
      </c>
    </row>
    <row r="1425" spans="1:3" x14ac:dyDescent="0.25">
      <c r="A1425">
        <v>37</v>
      </c>
      <c r="B1425" t="str">
        <f>"3:22:21.164680"</f>
        <v>3:22:21.164680</v>
      </c>
      <c r="C1425">
        <v>-79</v>
      </c>
    </row>
    <row r="1426" spans="1:3" x14ac:dyDescent="0.25">
      <c r="A1426">
        <v>38</v>
      </c>
      <c r="B1426" t="str">
        <f>"3:22:21.165377"</f>
        <v>3:22:21.165377</v>
      </c>
      <c r="C1426">
        <v>-63</v>
      </c>
    </row>
    <row r="1427" spans="1:3" x14ac:dyDescent="0.25">
      <c r="A1427">
        <v>39</v>
      </c>
      <c r="B1427" t="str">
        <f>"3:22:21.166074"</f>
        <v>3:22:21.166074</v>
      </c>
      <c r="C1427">
        <v>-61</v>
      </c>
    </row>
    <row r="1428" spans="1:3" x14ac:dyDescent="0.25">
      <c r="A1428">
        <v>39</v>
      </c>
      <c r="B1428" t="str">
        <f>"3:22:22.420151"</f>
        <v>3:22:22.420151</v>
      </c>
      <c r="C1428">
        <v>-61</v>
      </c>
    </row>
    <row r="1429" spans="1:3" x14ac:dyDescent="0.25">
      <c r="A1429">
        <v>37</v>
      </c>
      <c r="B1429" t="str">
        <f>"3:22:23.674073"</f>
        <v>3:22:23.674073</v>
      </c>
      <c r="C1429">
        <v>-82</v>
      </c>
    </row>
    <row r="1430" spans="1:3" x14ac:dyDescent="0.25">
      <c r="A1430">
        <v>38</v>
      </c>
      <c r="B1430" t="str">
        <f>"3:22:23.674770"</f>
        <v>3:22:23.674770</v>
      </c>
      <c r="C1430">
        <v>-63</v>
      </c>
    </row>
    <row r="1431" spans="1:3" x14ac:dyDescent="0.25">
      <c r="A1431">
        <v>39</v>
      </c>
      <c r="B1431" t="str">
        <f>"3:22:23.675467"</f>
        <v>3:22:23.675467</v>
      </c>
      <c r="C1431">
        <v>-61</v>
      </c>
    </row>
    <row r="1432" spans="1:3" x14ac:dyDescent="0.25">
      <c r="A1432">
        <v>37</v>
      </c>
      <c r="B1432" t="str">
        <f>"3:22:24.899886"</f>
        <v>3:22:24.899886</v>
      </c>
      <c r="C1432">
        <v>-81</v>
      </c>
    </row>
    <row r="1433" spans="1:3" x14ac:dyDescent="0.25">
      <c r="A1433">
        <v>38</v>
      </c>
      <c r="B1433" t="str">
        <f>"3:22:24.900583"</f>
        <v>3:22:24.900583</v>
      </c>
      <c r="C1433">
        <v>-63</v>
      </c>
    </row>
    <row r="1434" spans="1:3" x14ac:dyDescent="0.25">
      <c r="A1434">
        <v>39</v>
      </c>
      <c r="B1434" t="str">
        <f>"3:22:24.901280"</f>
        <v>3:22:24.901280</v>
      </c>
      <c r="C1434">
        <v>-61</v>
      </c>
    </row>
    <row r="1435" spans="1:3" x14ac:dyDescent="0.25">
      <c r="A1435">
        <v>37</v>
      </c>
      <c r="B1435" t="str">
        <f>"3:22:26.139364"</f>
        <v>3:22:26.139364</v>
      </c>
      <c r="C1435">
        <v>-80</v>
      </c>
    </row>
    <row r="1436" spans="1:3" x14ac:dyDescent="0.25">
      <c r="A1436">
        <v>38</v>
      </c>
      <c r="B1436" t="str">
        <f>"3:22:26.140061"</f>
        <v>3:22:26.140061</v>
      </c>
      <c r="C1436">
        <v>-63</v>
      </c>
    </row>
    <row r="1437" spans="1:3" x14ac:dyDescent="0.25">
      <c r="A1437">
        <v>39</v>
      </c>
      <c r="B1437" t="str">
        <f>"3:22:26.140758"</f>
        <v>3:22:26.140758</v>
      </c>
      <c r="C1437">
        <v>-61</v>
      </c>
    </row>
    <row r="1438" spans="1:3" x14ac:dyDescent="0.25">
      <c r="A1438">
        <v>38</v>
      </c>
      <c r="B1438" t="str">
        <f>"3:22:28.628789"</f>
        <v>3:22:28.628789</v>
      </c>
      <c r="C1438">
        <v>-63</v>
      </c>
    </row>
    <row r="1439" spans="1:3" x14ac:dyDescent="0.25">
      <c r="A1439">
        <v>39</v>
      </c>
      <c r="B1439" t="str">
        <f>"3:22:28.629486"</f>
        <v>3:22:28.629486</v>
      </c>
      <c r="C1439">
        <v>-61</v>
      </c>
    </row>
    <row r="1440" spans="1:3" x14ac:dyDescent="0.25">
      <c r="A1440">
        <v>38</v>
      </c>
      <c r="B1440" t="str">
        <f>"3:22:29.899250"</f>
        <v>3:22:29.899250</v>
      </c>
      <c r="C1440">
        <v>-63</v>
      </c>
    </row>
    <row r="1441" spans="1:3" x14ac:dyDescent="0.25">
      <c r="A1441">
        <v>39</v>
      </c>
      <c r="B1441" t="str">
        <f>"3:22:29.899947"</f>
        <v>3:22:29.899947</v>
      </c>
      <c r="C1441">
        <v>-61</v>
      </c>
    </row>
    <row r="1442" spans="1:3" x14ac:dyDescent="0.25">
      <c r="A1442">
        <v>38</v>
      </c>
      <c r="B1442" t="str">
        <f>"3:22:31.121446"</f>
        <v>3:22:31.121446</v>
      </c>
      <c r="C1442">
        <v>-63</v>
      </c>
    </row>
    <row r="1443" spans="1:3" x14ac:dyDescent="0.25">
      <c r="A1443">
        <v>39</v>
      </c>
      <c r="B1443" t="str">
        <f>"3:22:31.122143"</f>
        <v>3:22:31.122143</v>
      </c>
      <c r="C1443">
        <v>-61</v>
      </c>
    </row>
    <row r="1444" spans="1:3" x14ac:dyDescent="0.25">
      <c r="A1444">
        <v>38</v>
      </c>
      <c r="B1444" t="str">
        <f>"3:22:32.366846"</f>
        <v>3:22:32.366846</v>
      </c>
      <c r="C1444">
        <v>-63</v>
      </c>
    </row>
    <row r="1445" spans="1:3" x14ac:dyDescent="0.25">
      <c r="A1445">
        <v>39</v>
      </c>
      <c r="B1445" t="str">
        <f>"3:22:32.367543"</f>
        <v>3:22:32.367543</v>
      </c>
      <c r="C1445">
        <v>-61</v>
      </c>
    </row>
    <row r="1446" spans="1:3" x14ac:dyDescent="0.25">
      <c r="A1446">
        <v>38</v>
      </c>
      <c r="B1446" t="str">
        <f>"3:22:33.622939"</f>
        <v>3:22:33.622939</v>
      </c>
      <c r="C1446">
        <v>-63</v>
      </c>
    </row>
    <row r="1447" spans="1:3" x14ac:dyDescent="0.25">
      <c r="A1447">
        <v>39</v>
      </c>
      <c r="B1447" t="str">
        <f>"3:22:33.623636"</f>
        <v>3:22:33.623636</v>
      </c>
      <c r="C1447">
        <v>-61</v>
      </c>
    </row>
    <row r="1448" spans="1:3" x14ac:dyDescent="0.25">
      <c r="A1448">
        <v>38</v>
      </c>
      <c r="B1448" t="str">
        <f>"3:22:34.861475"</f>
        <v>3:22:34.861475</v>
      </c>
      <c r="C1448">
        <v>-64</v>
      </c>
    </row>
    <row r="1449" spans="1:3" x14ac:dyDescent="0.25">
      <c r="A1449">
        <v>39</v>
      </c>
      <c r="B1449" t="str">
        <f>"3:22:34.862172"</f>
        <v>3:22:34.862172</v>
      </c>
      <c r="C1449">
        <v>-60</v>
      </c>
    </row>
    <row r="1450" spans="1:3" x14ac:dyDescent="0.25">
      <c r="A1450">
        <v>38</v>
      </c>
      <c r="B1450" t="str">
        <f>"3:22:36.110702"</f>
        <v>3:22:36.110702</v>
      </c>
      <c r="C1450">
        <v>-63</v>
      </c>
    </row>
    <row r="1451" spans="1:3" x14ac:dyDescent="0.25">
      <c r="A1451">
        <v>39</v>
      </c>
      <c r="B1451" t="str">
        <f>"3:22:36.111399"</f>
        <v>3:22:36.111399</v>
      </c>
      <c r="C1451">
        <v>-61</v>
      </c>
    </row>
    <row r="1452" spans="1:3" x14ac:dyDescent="0.25">
      <c r="A1452">
        <v>38</v>
      </c>
      <c r="B1452" t="str">
        <f>"3:22:37.360779"</f>
        <v>3:22:37.360779</v>
      </c>
      <c r="C1452">
        <v>-63</v>
      </c>
    </row>
    <row r="1453" spans="1:3" x14ac:dyDescent="0.25">
      <c r="A1453">
        <v>39</v>
      </c>
      <c r="B1453" t="str">
        <f>"3:22:37.361476"</f>
        <v>3:22:37.361476</v>
      </c>
      <c r="C1453">
        <v>-61</v>
      </c>
    </row>
    <row r="1454" spans="1:3" x14ac:dyDescent="0.25">
      <c r="A1454">
        <v>38</v>
      </c>
      <c r="B1454" t="str">
        <f>"3:22:38.603457"</f>
        <v>3:22:38.603457</v>
      </c>
      <c r="C1454">
        <v>-63</v>
      </c>
    </row>
    <row r="1455" spans="1:3" x14ac:dyDescent="0.25">
      <c r="A1455">
        <v>39</v>
      </c>
      <c r="B1455" t="str">
        <f>"3:22:38.604154"</f>
        <v>3:22:38.604154</v>
      </c>
      <c r="C1455">
        <v>-61</v>
      </c>
    </row>
    <row r="1456" spans="1:3" x14ac:dyDescent="0.25">
      <c r="A1456">
        <v>38</v>
      </c>
      <c r="B1456" t="str">
        <f>"3:22:39.848584"</f>
        <v>3:22:39.848584</v>
      </c>
      <c r="C1456">
        <v>-63</v>
      </c>
    </row>
    <row r="1457" spans="1:3" x14ac:dyDescent="0.25">
      <c r="A1457">
        <v>39</v>
      </c>
      <c r="B1457" t="str">
        <f>"3:22:39.849281"</f>
        <v>3:22:39.849281</v>
      </c>
      <c r="C1457">
        <v>-61</v>
      </c>
    </row>
    <row r="1458" spans="1:3" x14ac:dyDescent="0.25">
      <c r="A1458">
        <v>38</v>
      </c>
      <c r="B1458" t="str">
        <f>"3:22:41.121480"</f>
        <v>3:22:41.121480</v>
      </c>
      <c r="C1458">
        <v>-63</v>
      </c>
    </row>
    <row r="1459" spans="1:3" x14ac:dyDescent="0.25">
      <c r="A1459">
        <v>39</v>
      </c>
      <c r="B1459" t="str">
        <f>"3:22:41.122177"</f>
        <v>3:22:41.122177</v>
      </c>
      <c r="C1459">
        <v>-61</v>
      </c>
    </row>
    <row r="1460" spans="1:3" x14ac:dyDescent="0.25">
      <c r="A1460">
        <v>37</v>
      </c>
      <c r="B1460" t="str">
        <f>"3:22:42.337666"</f>
        <v>3:22:42.337666</v>
      </c>
      <c r="C1460">
        <v>-80</v>
      </c>
    </row>
    <row r="1461" spans="1:3" x14ac:dyDescent="0.25">
      <c r="A1461">
        <v>38</v>
      </c>
      <c r="B1461" t="str">
        <f>"3:22:42.338363"</f>
        <v>3:22:42.338363</v>
      </c>
      <c r="C1461">
        <v>-63</v>
      </c>
    </row>
    <row r="1462" spans="1:3" x14ac:dyDescent="0.25">
      <c r="A1462">
        <v>39</v>
      </c>
      <c r="B1462" t="str">
        <f>"3:22:42.339060"</f>
        <v>3:22:42.339060</v>
      </c>
      <c r="C1462">
        <v>-61</v>
      </c>
    </row>
    <row r="1463" spans="1:3" x14ac:dyDescent="0.25">
      <c r="A1463">
        <v>37</v>
      </c>
      <c r="B1463" t="str">
        <f>"3:22:43.603336"</f>
        <v>3:22:43.603336</v>
      </c>
      <c r="C1463">
        <v>-81</v>
      </c>
    </row>
    <row r="1464" spans="1:3" x14ac:dyDescent="0.25">
      <c r="A1464">
        <v>38</v>
      </c>
      <c r="B1464" t="str">
        <f>"3:22:43.604032"</f>
        <v>3:22:43.604032</v>
      </c>
      <c r="C1464">
        <v>-63</v>
      </c>
    </row>
    <row r="1465" spans="1:3" x14ac:dyDescent="0.25">
      <c r="A1465">
        <v>39</v>
      </c>
      <c r="B1465" t="str">
        <f>"3:22:43.604730"</f>
        <v>3:22:43.604730</v>
      </c>
      <c r="C1465">
        <v>-61</v>
      </c>
    </row>
    <row r="1466" spans="1:3" x14ac:dyDescent="0.25">
      <c r="A1466">
        <v>37</v>
      </c>
      <c r="B1466" t="str">
        <f>"3:22:44.826545"</f>
        <v>3:22:44.826545</v>
      </c>
      <c r="C1466">
        <v>-81</v>
      </c>
    </row>
    <row r="1467" spans="1:3" x14ac:dyDescent="0.25">
      <c r="A1467">
        <v>38</v>
      </c>
      <c r="B1467" t="str">
        <f>"3:22:44.827242"</f>
        <v>3:22:44.827242</v>
      </c>
      <c r="C1467">
        <v>-63</v>
      </c>
    </row>
    <row r="1468" spans="1:3" x14ac:dyDescent="0.25">
      <c r="A1468">
        <v>39</v>
      </c>
      <c r="B1468" t="str">
        <f>"3:22:44.827939"</f>
        <v>3:22:44.827939</v>
      </c>
      <c r="C1468">
        <v>-61</v>
      </c>
    </row>
    <row r="1469" spans="1:3" x14ac:dyDescent="0.25">
      <c r="A1469">
        <v>37</v>
      </c>
      <c r="B1469" t="str">
        <f>"3:22:46.106413"</f>
        <v>3:22:46.106413</v>
      </c>
      <c r="C1469">
        <v>-82</v>
      </c>
    </row>
    <row r="1470" spans="1:3" x14ac:dyDescent="0.25">
      <c r="A1470">
        <v>38</v>
      </c>
      <c r="B1470" t="str">
        <f>"3:22:46.107110"</f>
        <v>3:22:46.107110</v>
      </c>
      <c r="C1470">
        <v>-63</v>
      </c>
    </row>
    <row r="1471" spans="1:3" x14ac:dyDescent="0.25">
      <c r="A1471">
        <v>39</v>
      </c>
      <c r="B1471" t="str">
        <f>"3:22:46.107807"</f>
        <v>3:22:46.107807</v>
      </c>
      <c r="C1471">
        <v>-61</v>
      </c>
    </row>
    <row r="1472" spans="1:3" x14ac:dyDescent="0.25">
      <c r="A1472">
        <v>37</v>
      </c>
      <c r="B1472" t="str">
        <f>"3:22:47.310674"</f>
        <v>3:22:47.310674</v>
      </c>
      <c r="C1472">
        <v>-81</v>
      </c>
    </row>
    <row r="1473" spans="1:3" x14ac:dyDescent="0.25">
      <c r="A1473">
        <v>38</v>
      </c>
      <c r="B1473" t="str">
        <f>"3:22:47.311371"</f>
        <v>3:22:47.311371</v>
      </c>
      <c r="C1473">
        <v>-63</v>
      </c>
    </row>
    <row r="1474" spans="1:3" x14ac:dyDescent="0.25">
      <c r="A1474">
        <v>39</v>
      </c>
      <c r="B1474" t="str">
        <f>"3:22:47.312068"</f>
        <v>3:22:47.312068</v>
      </c>
      <c r="C1474">
        <v>-61</v>
      </c>
    </row>
    <row r="1475" spans="1:3" x14ac:dyDescent="0.25">
      <c r="A1475">
        <v>37</v>
      </c>
      <c r="B1475" t="str">
        <f>"3:22:48.560901"</f>
        <v>3:22:48.560901</v>
      </c>
      <c r="C1475">
        <v>-80</v>
      </c>
    </row>
    <row r="1476" spans="1:3" x14ac:dyDescent="0.25">
      <c r="A1476">
        <v>38</v>
      </c>
      <c r="B1476" t="str">
        <f>"3:22:48.561598"</f>
        <v>3:22:48.561598</v>
      </c>
      <c r="C1476">
        <v>-63</v>
      </c>
    </row>
    <row r="1477" spans="1:3" x14ac:dyDescent="0.25">
      <c r="A1477">
        <v>39</v>
      </c>
      <c r="B1477" t="str">
        <f>"3:22:48.562295"</f>
        <v>3:22:48.562295</v>
      </c>
      <c r="C1477">
        <v>-61</v>
      </c>
    </row>
    <row r="1478" spans="1:3" x14ac:dyDescent="0.25">
      <c r="A1478">
        <v>38</v>
      </c>
      <c r="B1478" t="str">
        <f>"3:22:49.802804"</f>
        <v>3:22:49.802804</v>
      </c>
      <c r="C1478">
        <v>-62</v>
      </c>
    </row>
    <row r="1479" spans="1:3" x14ac:dyDescent="0.25">
      <c r="A1479">
        <v>39</v>
      </c>
      <c r="B1479" t="str">
        <f>"3:22:49.803502"</f>
        <v>3:22:49.803502</v>
      </c>
      <c r="C1479">
        <v>-61</v>
      </c>
    </row>
    <row r="1480" spans="1:3" x14ac:dyDescent="0.25">
      <c r="A1480">
        <v>37</v>
      </c>
      <c r="B1480" t="str">
        <f>"3:22:51.046917"</f>
        <v>3:22:51.046917</v>
      </c>
      <c r="C1480">
        <v>-80</v>
      </c>
    </row>
    <row r="1481" spans="1:3" x14ac:dyDescent="0.25">
      <c r="A1481">
        <v>38</v>
      </c>
      <c r="B1481" t="str">
        <f>"3:22:51.047614"</f>
        <v>3:22:51.047614</v>
      </c>
      <c r="C1481">
        <v>-63</v>
      </c>
    </row>
    <row r="1482" spans="1:3" x14ac:dyDescent="0.25">
      <c r="A1482">
        <v>39</v>
      </c>
      <c r="B1482" t="str">
        <f>"3:22:51.048311"</f>
        <v>3:22:51.048311</v>
      </c>
      <c r="C1482">
        <v>-61</v>
      </c>
    </row>
    <row r="1483" spans="1:3" x14ac:dyDescent="0.25">
      <c r="A1483">
        <v>37</v>
      </c>
      <c r="B1483" t="str">
        <f>"3:22:52.291161"</f>
        <v>3:22:52.291161</v>
      </c>
      <c r="C1483">
        <v>-80</v>
      </c>
    </row>
    <row r="1484" spans="1:3" x14ac:dyDescent="0.25">
      <c r="A1484">
        <v>38</v>
      </c>
      <c r="B1484" t="str">
        <f>"3:22:52.291858"</f>
        <v>3:22:52.291858</v>
      </c>
      <c r="C1484">
        <v>-63</v>
      </c>
    </row>
    <row r="1485" spans="1:3" x14ac:dyDescent="0.25">
      <c r="A1485">
        <v>39</v>
      </c>
      <c r="B1485" t="str">
        <f>"3:22:52.292555"</f>
        <v>3:22:52.292555</v>
      </c>
      <c r="C1485">
        <v>-61</v>
      </c>
    </row>
    <row r="1486" spans="1:3" x14ac:dyDescent="0.25">
      <c r="A1486">
        <v>38</v>
      </c>
      <c r="B1486" t="str">
        <f>"3:22:53.529405"</f>
        <v>3:22:53.529405</v>
      </c>
      <c r="C1486">
        <v>-62</v>
      </c>
    </row>
    <row r="1487" spans="1:3" x14ac:dyDescent="0.25">
      <c r="A1487">
        <v>39</v>
      </c>
      <c r="B1487" t="str">
        <f>"3:22:53.530102"</f>
        <v>3:22:53.530102</v>
      </c>
      <c r="C1487">
        <v>-61</v>
      </c>
    </row>
    <row r="1488" spans="1:3" x14ac:dyDescent="0.25">
      <c r="A1488">
        <v>38</v>
      </c>
      <c r="B1488" t="str">
        <f>"3:22:54.774587"</f>
        <v>3:22:54.774587</v>
      </c>
      <c r="C1488">
        <v>-63</v>
      </c>
    </row>
    <row r="1489" spans="1:3" x14ac:dyDescent="0.25">
      <c r="A1489">
        <v>39</v>
      </c>
      <c r="B1489" t="str">
        <f>"3:22:54.775284"</f>
        <v>3:22:54.775284</v>
      </c>
      <c r="C1489">
        <v>-61</v>
      </c>
    </row>
    <row r="1490" spans="1:3" x14ac:dyDescent="0.25">
      <c r="A1490">
        <v>37</v>
      </c>
      <c r="B1490" t="str">
        <f>"3:22:56.046119"</f>
        <v>3:22:56.046119</v>
      </c>
      <c r="C1490">
        <v>-81</v>
      </c>
    </row>
    <row r="1491" spans="1:3" x14ac:dyDescent="0.25">
      <c r="A1491">
        <v>38</v>
      </c>
      <c r="B1491" t="str">
        <f>"3:22:56.046816"</f>
        <v>3:22:56.046816</v>
      </c>
      <c r="C1491">
        <v>-63</v>
      </c>
    </row>
    <row r="1492" spans="1:3" x14ac:dyDescent="0.25">
      <c r="A1492">
        <v>39</v>
      </c>
      <c r="B1492" t="str">
        <f>"3:22:56.047513"</f>
        <v>3:22:56.047513</v>
      </c>
      <c r="C1492">
        <v>-61</v>
      </c>
    </row>
    <row r="1493" spans="1:3" x14ac:dyDescent="0.25">
      <c r="A1493">
        <v>37</v>
      </c>
      <c r="B1493" t="str">
        <f>"3:22:57.264856"</f>
        <v>3:22:57.264856</v>
      </c>
      <c r="C1493">
        <v>-80</v>
      </c>
    </row>
    <row r="1494" spans="1:3" x14ac:dyDescent="0.25">
      <c r="A1494">
        <v>38</v>
      </c>
      <c r="B1494" t="str">
        <f>"3:22:57.265553"</f>
        <v>3:22:57.265553</v>
      </c>
      <c r="C1494">
        <v>-63</v>
      </c>
    </row>
    <row r="1495" spans="1:3" x14ac:dyDescent="0.25">
      <c r="A1495">
        <v>39</v>
      </c>
      <c r="B1495" t="str">
        <f>"3:22:57.266250"</f>
        <v>3:22:57.266250</v>
      </c>
      <c r="C1495">
        <v>-61</v>
      </c>
    </row>
    <row r="1496" spans="1:3" x14ac:dyDescent="0.25">
      <c r="A1496">
        <v>37</v>
      </c>
      <c r="B1496" t="str">
        <f>"3:22:58.521069"</f>
        <v>3:22:58.521069</v>
      </c>
      <c r="C1496">
        <v>-81</v>
      </c>
    </row>
    <row r="1497" spans="1:3" x14ac:dyDescent="0.25">
      <c r="A1497">
        <v>38</v>
      </c>
      <c r="B1497" t="str">
        <f>"3:22:58.521766"</f>
        <v>3:22:58.521766</v>
      </c>
      <c r="C1497">
        <v>-63</v>
      </c>
    </row>
    <row r="1498" spans="1:3" x14ac:dyDescent="0.25">
      <c r="A1498">
        <v>39</v>
      </c>
      <c r="B1498" t="str">
        <f>"3:22:58.522463"</f>
        <v>3:22:58.522463</v>
      </c>
      <c r="C1498">
        <v>-61</v>
      </c>
    </row>
    <row r="1499" spans="1:3" x14ac:dyDescent="0.25">
      <c r="A1499">
        <v>38</v>
      </c>
      <c r="B1499" t="str">
        <f>"3:22:59.755582"</f>
        <v>3:22:59.755582</v>
      </c>
      <c r="C1499">
        <v>-62</v>
      </c>
    </row>
    <row r="1500" spans="1:3" x14ac:dyDescent="0.25">
      <c r="A1500">
        <v>39</v>
      </c>
      <c r="B1500" t="str">
        <f>"3:22:59.756279"</f>
        <v>3:22:59.756279</v>
      </c>
      <c r="C1500">
        <v>-61</v>
      </c>
    </row>
    <row r="1501" spans="1:3" x14ac:dyDescent="0.25">
      <c r="A1501">
        <v>38</v>
      </c>
      <c r="B1501" t="str">
        <f>"3:23:00.993159"</f>
        <v>3:23:00.993159</v>
      </c>
      <c r="C1501">
        <v>-62</v>
      </c>
    </row>
    <row r="1502" spans="1:3" x14ac:dyDescent="0.25">
      <c r="A1502">
        <v>39</v>
      </c>
      <c r="B1502" t="str">
        <f>"3:23:00.993856"</f>
        <v>3:23:00.993856</v>
      </c>
      <c r="C1502">
        <v>-61</v>
      </c>
    </row>
    <row r="1503" spans="1:3" x14ac:dyDescent="0.25">
      <c r="A1503">
        <v>38</v>
      </c>
      <c r="B1503" t="str">
        <f>"3:23:02.254797"</f>
        <v>3:23:02.254797</v>
      </c>
      <c r="C1503">
        <v>-63</v>
      </c>
    </row>
    <row r="1504" spans="1:3" x14ac:dyDescent="0.25">
      <c r="A1504">
        <v>39</v>
      </c>
      <c r="B1504" t="str">
        <f>"3:23:02.255495"</f>
        <v>3:23:02.255495</v>
      </c>
      <c r="C1504">
        <v>-61</v>
      </c>
    </row>
    <row r="1505" spans="1:3" x14ac:dyDescent="0.25">
      <c r="A1505">
        <v>37</v>
      </c>
      <c r="B1505" t="str">
        <f>"3:23:03.499174"</f>
        <v>3:23:03.499174</v>
      </c>
      <c r="C1505">
        <v>-79</v>
      </c>
    </row>
    <row r="1506" spans="1:3" x14ac:dyDescent="0.25">
      <c r="A1506">
        <v>38</v>
      </c>
      <c r="B1506" t="str">
        <f>"3:23:03.499871"</f>
        <v>3:23:03.499871</v>
      </c>
      <c r="C1506">
        <v>-63</v>
      </c>
    </row>
    <row r="1507" spans="1:3" x14ac:dyDescent="0.25">
      <c r="A1507">
        <v>39</v>
      </c>
      <c r="B1507" t="str">
        <f>"3:23:03.500568"</f>
        <v>3:23:03.500568</v>
      </c>
      <c r="C1507">
        <v>-61</v>
      </c>
    </row>
    <row r="1508" spans="1:3" x14ac:dyDescent="0.25">
      <c r="A1508">
        <v>37</v>
      </c>
      <c r="B1508" t="str">
        <f>"3:23:04.727992"</f>
        <v>3:23:04.727992</v>
      </c>
      <c r="C1508">
        <v>-80</v>
      </c>
    </row>
    <row r="1509" spans="1:3" x14ac:dyDescent="0.25">
      <c r="A1509">
        <v>38</v>
      </c>
      <c r="B1509" t="str">
        <f>"3:23:04.728689"</f>
        <v>3:23:04.728689</v>
      </c>
      <c r="C1509">
        <v>-63</v>
      </c>
    </row>
    <row r="1510" spans="1:3" x14ac:dyDescent="0.25">
      <c r="A1510">
        <v>39</v>
      </c>
      <c r="B1510" t="str">
        <f>"3:23:04.729386"</f>
        <v>3:23:04.729386</v>
      </c>
      <c r="C1510">
        <v>-62</v>
      </c>
    </row>
    <row r="1511" spans="1:3" x14ac:dyDescent="0.25">
      <c r="A1511">
        <v>37</v>
      </c>
      <c r="B1511" t="str">
        <f>"3:23:07.218224"</f>
        <v>3:23:07.218224</v>
      </c>
      <c r="C1511">
        <v>-81</v>
      </c>
    </row>
    <row r="1512" spans="1:3" x14ac:dyDescent="0.25">
      <c r="A1512">
        <v>38</v>
      </c>
      <c r="B1512" t="str">
        <f>"3:23:07.218921"</f>
        <v>3:23:07.218921</v>
      </c>
      <c r="C1512">
        <v>-63</v>
      </c>
    </row>
    <row r="1513" spans="1:3" x14ac:dyDescent="0.25">
      <c r="A1513">
        <v>39</v>
      </c>
      <c r="B1513" t="str">
        <f>"3:23:07.219618"</f>
        <v>3:23:07.219618</v>
      </c>
      <c r="C1513">
        <v>-61</v>
      </c>
    </row>
    <row r="1514" spans="1:3" x14ac:dyDescent="0.25">
      <c r="A1514">
        <v>38</v>
      </c>
      <c r="B1514" t="str">
        <f>"3:23:08.465398"</f>
        <v>3:23:08.465398</v>
      </c>
      <c r="C1514">
        <v>-63</v>
      </c>
    </row>
    <row r="1515" spans="1:3" x14ac:dyDescent="0.25">
      <c r="A1515">
        <v>39</v>
      </c>
      <c r="B1515" t="str">
        <f>"3:23:08.466095"</f>
        <v>3:23:08.466095</v>
      </c>
      <c r="C1515">
        <v>-61</v>
      </c>
    </row>
    <row r="1516" spans="1:3" x14ac:dyDescent="0.25">
      <c r="A1516">
        <v>38</v>
      </c>
      <c r="B1516" t="str">
        <f>"3:23:09.737645"</f>
        <v>3:23:09.737645</v>
      </c>
      <c r="C1516">
        <v>-63</v>
      </c>
    </row>
    <row r="1517" spans="1:3" x14ac:dyDescent="0.25">
      <c r="A1517">
        <v>39</v>
      </c>
      <c r="B1517" t="str">
        <f>"3:23:09.738342"</f>
        <v>3:23:09.738342</v>
      </c>
      <c r="C1517">
        <v>-61</v>
      </c>
    </row>
    <row r="1518" spans="1:3" x14ac:dyDescent="0.25">
      <c r="A1518">
        <v>37</v>
      </c>
      <c r="B1518" t="str">
        <f>"3:23:10.957980"</f>
        <v>3:23:10.957980</v>
      </c>
      <c r="C1518">
        <v>-82</v>
      </c>
    </row>
    <row r="1519" spans="1:3" x14ac:dyDescent="0.25">
      <c r="A1519">
        <v>38</v>
      </c>
      <c r="B1519" t="str">
        <f>"3:23:10.958677"</f>
        <v>3:23:10.958677</v>
      </c>
      <c r="C1519">
        <v>-63</v>
      </c>
    </row>
    <row r="1520" spans="1:3" x14ac:dyDescent="0.25">
      <c r="A1520">
        <v>39</v>
      </c>
      <c r="B1520" t="str">
        <f>"3:23:10.959374"</f>
        <v>3:23:10.959374</v>
      </c>
      <c r="C1520">
        <v>-61</v>
      </c>
    </row>
    <row r="1521" spans="1:3" x14ac:dyDescent="0.25">
      <c r="A1521">
        <v>38</v>
      </c>
      <c r="B1521" t="str">
        <f>"3:23:12.203820"</f>
        <v>3:23:12.203820</v>
      </c>
      <c r="C1521">
        <v>-63</v>
      </c>
    </row>
    <row r="1522" spans="1:3" x14ac:dyDescent="0.25">
      <c r="A1522">
        <v>39</v>
      </c>
      <c r="B1522" t="str">
        <f>"3:23:12.204517"</f>
        <v>3:23:12.204517</v>
      </c>
      <c r="C1522">
        <v>-61</v>
      </c>
    </row>
    <row r="1523" spans="1:3" x14ac:dyDescent="0.25">
      <c r="A1523">
        <v>37</v>
      </c>
      <c r="B1523" t="str">
        <f>"3:23:13.447359"</f>
        <v>3:23:13.447359</v>
      </c>
      <c r="C1523">
        <v>-81</v>
      </c>
    </row>
    <row r="1524" spans="1:3" x14ac:dyDescent="0.25">
      <c r="A1524">
        <v>38</v>
      </c>
      <c r="B1524" t="str">
        <f>"3:23:13.448056"</f>
        <v>3:23:13.448056</v>
      </c>
      <c r="C1524">
        <v>-63</v>
      </c>
    </row>
    <row r="1525" spans="1:3" x14ac:dyDescent="0.25">
      <c r="A1525">
        <v>38</v>
      </c>
      <c r="B1525" t="str">
        <f>"3:23:14.701047"</f>
        <v>3:23:14.701047</v>
      </c>
      <c r="C1525">
        <v>-63</v>
      </c>
    </row>
    <row r="1526" spans="1:3" x14ac:dyDescent="0.25">
      <c r="A1526">
        <v>39</v>
      </c>
      <c r="B1526" t="str">
        <f>"3:23:14.701744"</f>
        <v>3:23:14.701744</v>
      </c>
      <c r="C1526">
        <v>-61</v>
      </c>
    </row>
    <row r="1527" spans="1:3" x14ac:dyDescent="0.25">
      <c r="A1527">
        <v>38</v>
      </c>
      <c r="B1527" t="str">
        <f>"3:23:15.948931"</f>
        <v>3:23:15.948931</v>
      </c>
      <c r="C1527">
        <v>-63</v>
      </c>
    </row>
    <row r="1528" spans="1:3" x14ac:dyDescent="0.25">
      <c r="A1528">
        <v>39</v>
      </c>
      <c r="B1528" t="str">
        <f>"3:23:15.949628"</f>
        <v>3:23:15.949628</v>
      </c>
      <c r="C1528">
        <v>-61</v>
      </c>
    </row>
    <row r="1529" spans="1:3" x14ac:dyDescent="0.25">
      <c r="A1529">
        <v>37</v>
      </c>
      <c r="B1529" t="str">
        <f>"3:23:17.176089"</f>
        <v>3:23:17.176089</v>
      </c>
      <c r="C1529">
        <v>-80</v>
      </c>
    </row>
    <row r="1530" spans="1:3" x14ac:dyDescent="0.25">
      <c r="A1530">
        <v>38</v>
      </c>
      <c r="B1530" t="str">
        <f>"3:23:17.176786"</f>
        <v>3:23:17.176786</v>
      </c>
      <c r="C1530">
        <v>-63</v>
      </c>
    </row>
    <row r="1531" spans="1:3" x14ac:dyDescent="0.25">
      <c r="A1531">
        <v>39</v>
      </c>
      <c r="B1531" t="str">
        <f>"3:23:17.177483"</f>
        <v>3:23:17.177483</v>
      </c>
      <c r="C1531">
        <v>-61</v>
      </c>
    </row>
    <row r="1532" spans="1:3" x14ac:dyDescent="0.25">
      <c r="A1532">
        <v>38</v>
      </c>
      <c r="B1532" t="str">
        <f>"3:23:18.425013"</f>
        <v>3:23:18.425013</v>
      </c>
      <c r="C1532">
        <v>-64</v>
      </c>
    </row>
    <row r="1533" spans="1:3" x14ac:dyDescent="0.25">
      <c r="A1533">
        <v>39</v>
      </c>
      <c r="B1533" t="str">
        <f>"3:23:18.425710"</f>
        <v>3:23:18.425710</v>
      </c>
      <c r="C1533">
        <v>-61</v>
      </c>
    </row>
    <row r="1534" spans="1:3" x14ac:dyDescent="0.25">
      <c r="A1534">
        <v>39</v>
      </c>
      <c r="B1534" t="str">
        <f>"3:23:19.660412"</f>
        <v>3:23:19.660412</v>
      </c>
      <c r="C1534">
        <v>-61</v>
      </c>
    </row>
    <row r="1535" spans="1:3" x14ac:dyDescent="0.25">
      <c r="A1535">
        <v>37</v>
      </c>
      <c r="B1535" t="str">
        <f>"3:23:20.910323"</f>
        <v>3:23:20.910323</v>
      </c>
      <c r="C1535">
        <v>-81</v>
      </c>
    </row>
    <row r="1536" spans="1:3" x14ac:dyDescent="0.25">
      <c r="A1536">
        <v>38</v>
      </c>
      <c r="B1536" t="str">
        <f>"3:23:20.911020"</f>
        <v>3:23:20.911020</v>
      </c>
      <c r="C1536">
        <v>-63</v>
      </c>
    </row>
    <row r="1537" spans="1:3" x14ac:dyDescent="0.25">
      <c r="A1537">
        <v>39</v>
      </c>
      <c r="B1537" t="str">
        <f>"3:23:20.911717"</f>
        <v>3:23:20.911717</v>
      </c>
      <c r="C1537">
        <v>-61</v>
      </c>
    </row>
    <row r="1538" spans="1:3" x14ac:dyDescent="0.25">
      <c r="A1538">
        <v>38</v>
      </c>
      <c r="B1538" t="str">
        <f>"3:23:22.150445"</f>
        <v>3:23:22.150445</v>
      </c>
      <c r="C1538">
        <v>-63</v>
      </c>
    </row>
    <row r="1539" spans="1:3" x14ac:dyDescent="0.25">
      <c r="A1539">
        <v>39</v>
      </c>
      <c r="B1539" t="str">
        <f>"3:23:22.151142"</f>
        <v>3:23:22.151142</v>
      </c>
      <c r="C1539">
        <v>-61</v>
      </c>
    </row>
    <row r="1540" spans="1:3" x14ac:dyDescent="0.25">
      <c r="A1540">
        <v>37</v>
      </c>
      <c r="B1540" t="str">
        <f>"3:23:23.388202"</f>
        <v>3:23:23.388202</v>
      </c>
      <c r="C1540">
        <v>-81</v>
      </c>
    </row>
    <row r="1541" spans="1:3" x14ac:dyDescent="0.25">
      <c r="A1541">
        <v>38</v>
      </c>
      <c r="B1541" t="str">
        <f>"3:23:23.388899"</f>
        <v>3:23:23.388899</v>
      </c>
      <c r="C1541">
        <v>-63</v>
      </c>
    </row>
    <row r="1542" spans="1:3" x14ac:dyDescent="0.25">
      <c r="A1542">
        <v>39</v>
      </c>
      <c r="B1542" t="str">
        <f>"3:23:23.389596"</f>
        <v>3:23:23.389596</v>
      </c>
      <c r="C1542">
        <v>-61</v>
      </c>
    </row>
    <row r="1543" spans="1:3" x14ac:dyDescent="0.25">
      <c r="A1543">
        <v>38</v>
      </c>
      <c r="B1543" t="str">
        <f>"3:23:24.650041"</f>
        <v>3:23:24.650041</v>
      </c>
      <c r="C1543">
        <v>-63</v>
      </c>
    </row>
    <row r="1544" spans="1:3" x14ac:dyDescent="0.25">
      <c r="A1544">
        <v>39</v>
      </c>
      <c r="B1544" t="str">
        <f>"3:23:24.650738"</f>
        <v>3:23:24.650738</v>
      </c>
      <c r="C1544">
        <v>-61</v>
      </c>
    </row>
    <row r="1545" spans="1:3" x14ac:dyDescent="0.25">
      <c r="A1545">
        <v>38</v>
      </c>
      <c r="B1545" t="str">
        <f>"3:23:25.887228"</f>
        <v>3:23:25.887228</v>
      </c>
      <c r="C1545">
        <v>-63</v>
      </c>
    </row>
    <row r="1546" spans="1:3" x14ac:dyDescent="0.25">
      <c r="A1546">
        <v>39</v>
      </c>
      <c r="B1546" t="str">
        <f>"3:23:25.887925"</f>
        <v>3:23:25.887925</v>
      </c>
      <c r="C1546">
        <v>-62</v>
      </c>
    </row>
    <row r="1547" spans="1:3" x14ac:dyDescent="0.25">
      <c r="A1547">
        <v>37</v>
      </c>
      <c r="B1547" t="str">
        <f>"3:23:27.127758"</f>
        <v>3:23:27.127758</v>
      </c>
      <c r="C1547">
        <v>-80</v>
      </c>
    </row>
    <row r="1548" spans="1:3" x14ac:dyDescent="0.25">
      <c r="A1548">
        <v>39</v>
      </c>
      <c r="B1548" t="str">
        <f>"3:23:27.129152"</f>
        <v>3:23:27.129152</v>
      </c>
      <c r="C1548">
        <v>-61</v>
      </c>
    </row>
    <row r="1549" spans="1:3" x14ac:dyDescent="0.25">
      <c r="A1549">
        <v>37</v>
      </c>
      <c r="B1549" t="str">
        <f>"3:23:28.383085"</f>
        <v>3:23:28.383085</v>
      </c>
      <c r="C1549">
        <v>-81</v>
      </c>
    </row>
    <row r="1550" spans="1:3" x14ac:dyDescent="0.25">
      <c r="A1550">
        <v>38</v>
      </c>
      <c r="B1550" t="str">
        <f>"3:23:28.383782"</f>
        <v>3:23:28.383782</v>
      </c>
      <c r="C1550">
        <v>-63</v>
      </c>
    </row>
    <row r="1551" spans="1:3" x14ac:dyDescent="0.25">
      <c r="A1551">
        <v>39</v>
      </c>
      <c r="B1551" t="str">
        <f>"3:23:28.384479"</f>
        <v>3:23:28.384479</v>
      </c>
      <c r="C1551">
        <v>-61</v>
      </c>
    </row>
    <row r="1552" spans="1:3" x14ac:dyDescent="0.25">
      <c r="A1552">
        <v>38</v>
      </c>
      <c r="B1552" t="str">
        <f>"3:23:29.635468"</f>
        <v>3:23:29.635468</v>
      </c>
      <c r="C1552">
        <v>-62</v>
      </c>
    </row>
    <row r="1553" spans="1:3" x14ac:dyDescent="0.25">
      <c r="A1553">
        <v>39</v>
      </c>
      <c r="B1553" t="str">
        <f>"3:23:29.636165"</f>
        <v>3:23:29.636165</v>
      </c>
      <c r="C1553">
        <v>-61</v>
      </c>
    </row>
    <row r="1554" spans="1:3" x14ac:dyDescent="0.25">
      <c r="A1554">
        <v>38</v>
      </c>
      <c r="B1554" t="str">
        <f>"3:23:30.872474"</f>
        <v>3:23:30.872474</v>
      </c>
      <c r="C1554">
        <v>-61</v>
      </c>
    </row>
    <row r="1555" spans="1:3" x14ac:dyDescent="0.25">
      <c r="A1555">
        <v>39</v>
      </c>
      <c r="B1555" t="str">
        <f>"3:23:30.873171"</f>
        <v>3:23:30.873171</v>
      </c>
      <c r="C1555">
        <v>-61</v>
      </c>
    </row>
    <row r="1556" spans="1:3" x14ac:dyDescent="0.25">
      <c r="A1556">
        <v>38</v>
      </c>
      <c r="B1556" t="str">
        <f>"3:23:32.118062"</f>
        <v>3:23:32.118062</v>
      </c>
      <c r="C1556">
        <v>-61</v>
      </c>
    </row>
    <row r="1557" spans="1:3" x14ac:dyDescent="0.25">
      <c r="A1557">
        <v>39</v>
      </c>
      <c r="B1557" t="str">
        <f>"3:23:32.118760"</f>
        <v>3:23:32.118760</v>
      </c>
      <c r="C1557">
        <v>-61</v>
      </c>
    </row>
    <row r="1558" spans="1:3" x14ac:dyDescent="0.25">
      <c r="A1558">
        <v>38</v>
      </c>
      <c r="B1558" t="str">
        <f>"3:23:34.604398"</f>
        <v>3:23:34.604398</v>
      </c>
      <c r="C1558">
        <v>-62</v>
      </c>
    </row>
    <row r="1559" spans="1:3" x14ac:dyDescent="0.25">
      <c r="A1559">
        <v>39</v>
      </c>
      <c r="B1559" t="str">
        <f>"3:23:34.605095"</f>
        <v>3:23:34.605095</v>
      </c>
      <c r="C1559">
        <v>-61</v>
      </c>
    </row>
    <row r="1560" spans="1:3" x14ac:dyDescent="0.25">
      <c r="A1560">
        <v>38</v>
      </c>
      <c r="B1560" t="str">
        <f>"3:23:35.853851"</f>
        <v>3:23:35.853851</v>
      </c>
      <c r="C1560">
        <v>-62</v>
      </c>
    </row>
    <row r="1561" spans="1:3" x14ac:dyDescent="0.25">
      <c r="A1561">
        <v>39</v>
      </c>
      <c r="B1561" t="str">
        <f>"3:23:35.854548"</f>
        <v>3:23:35.854548</v>
      </c>
      <c r="C1561">
        <v>-61</v>
      </c>
    </row>
    <row r="1562" spans="1:3" x14ac:dyDescent="0.25">
      <c r="A1562">
        <v>37</v>
      </c>
      <c r="B1562" t="str">
        <f>"3:23:37.117934"</f>
        <v>3:23:37.117934</v>
      </c>
      <c r="C1562">
        <v>-81</v>
      </c>
    </row>
    <row r="1563" spans="1:3" x14ac:dyDescent="0.25">
      <c r="A1563">
        <v>38</v>
      </c>
      <c r="B1563" t="str">
        <f>"3:23:37.118631"</f>
        <v>3:23:37.118631</v>
      </c>
      <c r="C1563">
        <v>-62</v>
      </c>
    </row>
    <row r="1564" spans="1:3" x14ac:dyDescent="0.25">
      <c r="A1564">
        <v>39</v>
      </c>
      <c r="B1564" t="str">
        <f>"3:23:37.119328"</f>
        <v>3:23:37.119328</v>
      </c>
      <c r="C1564">
        <v>-61</v>
      </c>
    </row>
    <row r="1565" spans="1:3" x14ac:dyDescent="0.25">
      <c r="A1565">
        <v>39</v>
      </c>
      <c r="B1565" t="str">
        <f>"3:23:38.358323"</f>
        <v>3:23:38.358323</v>
      </c>
      <c r="C1565">
        <v>-62</v>
      </c>
    </row>
    <row r="1566" spans="1:3" x14ac:dyDescent="0.25">
      <c r="A1566">
        <v>37</v>
      </c>
      <c r="B1566" t="str">
        <f>"3:23:39.631635"</f>
        <v>3:23:39.631635</v>
      </c>
      <c r="C1566">
        <v>-80</v>
      </c>
    </row>
    <row r="1567" spans="1:3" x14ac:dyDescent="0.25">
      <c r="A1567">
        <v>38</v>
      </c>
      <c r="B1567" t="str">
        <f>"3:23:39.632332"</f>
        <v>3:23:39.632332</v>
      </c>
      <c r="C1567">
        <v>-62</v>
      </c>
    </row>
    <row r="1568" spans="1:3" x14ac:dyDescent="0.25">
      <c r="A1568">
        <v>39</v>
      </c>
      <c r="B1568" t="str">
        <f>"3:23:39.633029"</f>
        <v>3:23:39.633029</v>
      </c>
      <c r="C1568">
        <v>-61</v>
      </c>
    </row>
    <row r="1569" spans="1:3" x14ac:dyDescent="0.25">
      <c r="A1569">
        <v>38</v>
      </c>
      <c r="B1569" t="str">
        <f>"3:23:40.844383"</f>
        <v>3:23:40.844383</v>
      </c>
      <c r="C1569">
        <v>-62</v>
      </c>
    </row>
    <row r="1570" spans="1:3" x14ac:dyDescent="0.25">
      <c r="A1570">
        <v>39</v>
      </c>
      <c r="B1570" t="str">
        <f>"3:23:40.845080"</f>
        <v>3:23:40.845080</v>
      </c>
      <c r="C1570">
        <v>-61</v>
      </c>
    </row>
    <row r="1571" spans="1:3" x14ac:dyDescent="0.25">
      <c r="A1571">
        <v>38</v>
      </c>
      <c r="B1571" t="str">
        <f>"3:23:42.076810"</f>
        <v>3:23:42.076810</v>
      </c>
      <c r="C1571">
        <v>-63</v>
      </c>
    </row>
    <row r="1572" spans="1:3" x14ac:dyDescent="0.25">
      <c r="A1572">
        <v>39</v>
      </c>
      <c r="B1572" t="str">
        <f>"3:23:42.077507"</f>
        <v>3:23:42.077507</v>
      </c>
      <c r="C1572">
        <v>-61</v>
      </c>
    </row>
    <row r="1573" spans="1:3" x14ac:dyDescent="0.25">
      <c r="A1573">
        <v>37</v>
      </c>
      <c r="B1573" t="str">
        <f>"3:23:43.322880"</f>
        <v>3:23:43.322880</v>
      </c>
      <c r="C1573">
        <v>-82</v>
      </c>
    </row>
    <row r="1574" spans="1:3" x14ac:dyDescent="0.25">
      <c r="A1574">
        <v>38</v>
      </c>
      <c r="B1574" t="str">
        <f>"3:23:43.323577"</f>
        <v>3:23:43.323577</v>
      </c>
      <c r="C1574">
        <v>-63</v>
      </c>
    </row>
    <row r="1575" spans="1:3" x14ac:dyDescent="0.25">
      <c r="A1575">
        <v>39</v>
      </c>
      <c r="B1575" t="str">
        <f>"3:23:43.324274"</f>
        <v>3:23:43.324274</v>
      </c>
      <c r="C1575">
        <v>-61</v>
      </c>
    </row>
    <row r="1576" spans="1:3" x14ac:dyDescent="0.25">
      <c r="A1576">
        <v>38</v>
      </c>
      <c r="B1576" t="str">
        <f>"3:23:44.578227"</f>
        <v>3:23:44.578227</v>
      </c>
      <c r="C1576">
        <v>-62</v>
      </c>
    </row>
    <row r="1577" spans="1:3" x14ac:dyDescent="0.25">
      <c r="A1577">
        <v>39</v>
      </c>
      <c r="B1577" t="str">
        <f>"3:23:44.578924"</f>
        <v>3:23:44.578924</v>
      </c>
      <c r="C1577">
        <v>-61</v>
      </c>
    </row>
    <row r="1578" spans="1:3" x14ac:dyDescent="0.25">
      <c r="A1578">
        <v>38</v>
      </c>
      <c r="B1578" t="str">
        <f>"3:23:47.059496"</f>
        <v>3:23:47.059496</v>
      </c>
      <c r="C1578">
        <v>-62</v>
      </c>
    </row>
    <row r="1579" spans="1:3" x14ac:dyDescent="0.25">
      <c r="A1579">
        <v>39</v>
      </c>
      <c r="B1579" t="str">
        <f>"3:23:47.060193"</f>
        <v>3:23:47.060193</v>
      </c>
      <c r="C1579">
        <v>-61</v>
      </c>
    </row>
    <row r="1580" spans="1:3" x14ac:dyDescent="0.25">
      <c r="A1580">
        <v>38</v>
      </c>
      <c r="B1580" t="str">
        <f>"3:23:48.299473"</f>
        <v>3:23:48.299473</v>
      </c>
      <c r="C1580">
        <v>-62</v>
      </c>
    </row>
    <row r="1581" spans="1:3" x14ac:dyDescent="0.25">
      <c r="A1581">
        <v>39</v>
      </c>
      <c r="B1581" t="str">
        <f>"3:23:48.300170"</f>
        <v>3:23:48.300170</v>
      </c>
      <c r="C1581">
        <v>-61</v>
      </c>
    </row>
    <row r="1582" spans="1:3" x14ac:dyDescent="0.25">
      <c r="A1582">
        <v>38</v>
      </c>
      <c r="B1582" t="str">
        <f>"3:23:49.591251"</f>
        <v>3:23:49.591251</v>
      </c>
      <c r="C1582">
        <v>-62</v>
      </c>
    </row>
    <row r="1583" spans="1:3" x14ac:dyDescent="0.25">
      <c r="A1583">
        <v>39</v>
      </c>
      <c r="B1583" t="str">
        <f>"3:23:49.591948"</f>
        <v>3:23:49.591948</v>
      </c>
      <c r="C1583">
        <v>-61</v>
      </c>
    </row>
    <row r="1584" spans="1:3" x14ac:dyDescent="0.25">
      <c r="A1584">
        <v>38</v>
      </c>
      <c r="B1584" t="str">
        <f>"3:23:50.795744"</f>
        <v>3:23:50.795744</v>
      </c>
      <c r="C1584">
        <v>-62</v>
      </c>
    </row>
    <row r="1585" spans="1:3" x14ac:dyDescent="0.25">
      <c r="A1585">
        <v>39</v>
      </c>
      <c r="B1585" t="str">
        <f>"3:23:50.796441"</f>
        <v>3:23:50.796441</v>
      </c>
      <c r="C1585">
        <v>-61</v>
      </c>
    </row>
    <row r="1586" spans="1:3" x14ac:dyDescent="0.25">
      <c r="A1586">
        <v>38</v>
      </c>
      <c r="B1586" t="str">
        <f>"3:23:52.042271"</f>
        <v>3:23:52.042271</v>
      </c>
      <c r="C1586">
        <v>-62</v>
      </c>
    </row>
    <row r="1587" spans="1:3" x14ac:dyDescent="0.25">
      <c r="A1587">
        <v>39</v>
      </c>
      <c r="B1587" t="str">
        <f>"3:23:52.042968"</f>
        <v>3:23:52.042968</v>
      </c>
      <c r="C1587">
        <v>-61</v>
      </c>
    </row>
    <row r="1588" spans="1:3" x14ac:dyDescent="0.25">
      <c r="A1588">
        <v>37</v>
      </c>
      <c r="B1588" t="str">
        <f>"3:23:53.289729"</f>
        <v>3:23:53.289729</v>
      </c>
      <c r="C1588">
        <v>-81</v>
      </c>
    </row>
    <row r="1589" spans="1:3" x14ac:dyDescent="0.25">
      <c r="A1589">
        <v>38</v>
      </c>
      <c r="B1589" t="str">
        <f>"3:23:53.290426"</f>
        <v>3:23:53.290426</v>
      </c>
      <c r="C1589">
        <v>-63</v>
      </c>
    </row>
    <row r="1590" spans="1:3" x14ac:dyDescent="0.25">
      <c r="A1590">
        <v>39</v>
      </c>
      <c r="B1590" t="str">
        <f>"3:23:53.291123"</f>
        <v>3:23:53.291123</v>
      </c>
      <c r="C1590">
        <v>-61</v>
      </c>
    </row>
    <row r="1591" spans="1:3" x14ac:dyDescent="0.25">
      <c r="A1591">
        <v>38</v>
      </c>
      <c r="B1591" t="str">
        <f>"3:23:55.775527"</f>
        <v>3:23:55.775527</v>
      </c>
      <c r="C1591">
        <v>-63</v>
      </c>
    </row>
    <row r="1592" spans="1:3" x14ac:dyDescent="0.25">
      <c r="A1592">
        <v>39</v>
      </c>
      <c r="B1592" t="str">
        <f>"3:23:55.776224"</f>
        <v>3:23:55.776224</v>
      </c>
      <c r="C1592">
        <v>-61</v>
      </c>
    </row>
    <row r="1593" spans="1:3" x14ac:dyDescent="0.25">
      <c r="A1593">
        <v>38</v>
      </c>
      <c r="B1593" t="str">
        <f>"3:23:57.032554"</f>
        <v>3:23:57.032554</v>
      </c>
      <c r="C1593">
        <v>-63</v>
      </c>
    </row>
    <row r="1594" spans="1:3" x14ac:dyDescent="0.25">
      <c r="A1594">
        <v>39</v>
      </c>
      <c r="B1594" t="str">
        <f>"3:23:57.033251"</f>
        <v>3:23:57.033251</v>
      </c>
      <c r="C1594">
        <v>-61</v>
      </c>
    </row>
    <row r="1595" spans="1:3" x14ac:dyDescent="0.25">
      <c r="A1595">
        <v>38</v>
      </c>
      <c r="B1595" t="str">
        <f>"3:23:58.271082"</f>
        <v>3:23:58.271082</v>
      </c>
      <c r="C1595">
        <v>-62</v>
      </c>
    </row>
    <row r="1596" spans="1:3" x14ac:dyDescent="0.25">
      <c r="A1596">
        <v>39</v>
      </c>
      <c r="B1596" t="str">
        <f>"3:23:58.271779"</f>
        <v>3:23:58.271779</v>
      </c>
      <c r="C1596">
        <v>-61</v>
      </c>
    </row>
    <row r="1597" spans="1:3" x14ac:dyDescent="0.25">
      <c r="A1597">
        <v>38</v>
      </c>
      <c r="B1597" t="str">
        <f>"3:23:59.542684"</f>
        <v>3:23:59.542684</v>
      </c>
      <c r="C1597">
        <v>-62</v>
      </c>
    </row>
    <row r="1598" spans="1:3" x14ac:dyDescent="0.25">
      <c r="A1598">
        <v>39</v>
      </c>
      <c r="B1598" t="str">
        <f>"3:23:59.543381"</f>
        <v>3:23:59.543381</v>
      </c>
      <c r="C1598">
        <v>-61</v>
      </c>
    </row>
    <row r="1599" spans="1:3" x14ac:dyDescent="0.25">
      <c r="A1599">
        <v>38</v>
      </c>
      <c r="B1599" t="str">
        <f>"3:24:02.042360"</f>
        <v>3:24:02.042360</v>
      </c>
      <c r="C1599">
        <v>-63</v>
      </c>
    </row>
    <row r="1600" spans="1:3" x14ac:dyDescent="0.25">
      <c r="A1600">
        <v>39</v>
      </c>
      <c r="B1600" t="str">
        <f>"3:24:02.043057"</f>
        <v>3:24:02.043057</v>
      </c>
      <c r="C1600">
        <v>-61</v>
      </c>
    </row>
    <row r="1601" spans="1:3" x14ac:dyDescent="0.25">
      <c r="A1601">
        <v>38</v>
      </c>
      <c r="B1601" t="str">
        <f>"3:24:03.265813"</f>
        <v>3:24:03.265813</v>
      </c>
      <c r="C1601">
        <v>-62</v>
      </c>
    </row>
    <row r="1602" spans="1:3" x14ac:dyDescent="0.25">
      <c r="A1602">
        <v>39</v>
      </c>
      <c r="B1602" t="str">
        <f>"3:24:03.266510"</f>
        <v>3:24:03.266510</v>
      </c>
      <c r="C1602">
        <v>-60</v>
      </c>
    </row>
    <row r="1603" spans="1:3" x14ac:dyDescent="0.25">
      <c r="A1603">
        <v>38</v>
      </c>
      <c r="B1603" t="str">
        <f>"3:24:04.516216"</f>
        <v>3:24:04.516216</v>
      </c>
      <c r="C1603">
        <v>-62</v>
      </c>
    </row>
    <row r="1604" spans="1:3" x14ac:dyDescent="0.25">
      <c r="A1604">
        <v>39</v>
      </c>
      <c r="B1604" t="str">
        <f>"3:24:04.516913"</f>
        <v>3:24:04.516913</v>
      </c>
      <c r="C1604">
        <v>-61</v>
      </c>
    </row>
    <row r="1605" spans="1:3" x14ac:dyDescent="0.25">
      <c r="A1605">
        <v>38</v>
      </c>
      <c r="B1605" t="str">
        <f>"3:24:05.767572"</f>
        <v>3:24:05.767572</v>
      </c>
      <c r="C1605">
        <v>-63</v>
      </c>
    </row>
    <row r="1606" spans="1:3" x14ac:dyDescent="0.25">
      <c r="A1606">
        <v>39</v>
      </c>
      <c r="B1606" t="str">
        <f>"3:24:05.768269"</f>
        <v>3:24:05.768269</v>
      </c>
      <c r="C1606">
        <v>-61</v>
      </c>
    </row>
    <row r="1607" spans="1:3" x14ac:dyDescent="0.25">
      <c r="A1607">
        <v>37</v>
      </c>
      <c r="B1607" t="str">
        <f>"3:24:07.004846"</f>
        <v>3:24:07.004846</v>
      </c>
      <c r="C1607">
        <v>-81</v>
      </c>
    </row>
    <row r="1608" spans="1:3" x14ac:dyDescent="0.25">
      <c r="A1608">
        <v>38</v>
      </c>
      <c r="B1608" t="str">
        <f>"3:24:07.005543"</f>
        <v>3:24:07.005543</v>
      </c>
      <c r="C1608">
        <v>-62</v>
      </c>
    </row>
    <row r="1609" spans="1:3" x14ac:dyDescent="0.25">
      <c r="A1609">
        <v>39</v>
      </c>
      <c r="B1609" t="str">
        <f>"3:24:07.006240"</f>
        <v>3:24:07.006240</v>
      </c>
      <c r="C1609">
        <v>-61</v>
      </c>
    </row>
    <row r="1610" spans="1:3" x14ac:dyDescent="0.25">
      <c r="A1610">
        <v>38</v>
      </c>
      <c r="B1610" t="str">
        <f>"3:24:08.242770"</f>
        <v>3:24:08.242770</v>
      </c>
      <c r="C1610">
        <v>-62</v>
      </c>
    </row>
    <row r="1611" spans="1:3" x14ac:dyDescent="0.25">
      <c r="A1611">
        <v>39</v>
      </c>
      <c r="B1611" t="str">
        <f>"3:24:08.243467"</f>
        <v>3:24:08.243467</v>
      </c>
      <c r="C1611">
        <v>-61</v>
      </c>
    </row>
    <row r="1612" spans="1:3" x14ac:dyDescent="0.25">
      <c r="A1612">
        <v>39</v>
      </c>
      <c r="B1612" t="str">
        <f>"3:24:09.520912"</f>
        <v>3:24:09.520912</v>
      </c>
      <c r="C1612">
        <v>-61</v>
      </c>
    </row>
    <row r="1613" spans="1:3" x14ac:dyDescent="0.25">
      <c r="A1613">
        <v>38</v>
      </c>
      <c r="B1613" t="str">
        <f>"3:24:10.739863"</f>
        <v>3:24:10.739863</v>
      </c>
      <c r="C1613">
        <v>-62</v>
      </c>
    </row>
    <row r="1614" spans="1:3" x14ac:dyDescent="0.25">
      <c r="A1614">
        <v>39</v>
      </c>
      <c r="B1614" t="str">
        <f>"3:24:10.740560"</f>
        <v>3:24:10.740560</v>
      </c>
      <c r="C1614">
        <v>-61</v>
      </c>
    </row>
    <row r="1615" spans="1:3" x14ac:dyDescent="0.25">
      <c r="A1615">
        <v>38</v>
      </c>
      <c r="B1615" t="str">
        <f>"3:24:11.987240"</f>
        <v>3:24:11.987240</v>
      </c>
      <c r="C1615">
        <v>-62</v>
      </c>
    </row>
    <row r="1616" spans="1:3" x14ac:dyDescent="0.25">
      <c r="A1616">
        <v>39</v>
      </c>
      <c r="B1616" t="str">
        <f>"3:24:11.987937"</f>
        <v>3:24:11.987937</v>
      </c>
      <c r="C1616">
        <v>-61</v>
      </c>
    </row>
    <row r="1617" spans="1:3" x14ac:dyDescent="0.25">
      <c r="A1617">
        <v>37</v>
      </c>
      <c r="B1617" t="str">
        <f>"3:24:13.234833"</f>
        <v>3:24:13.234833</v>
      </c>
      <c r="C1617">
        <v>-81</v>
      </c>
    </row>
    <row r="1618" spans="1:3" x14ac:dyDescent="0.25">
      <c r="A1618">
        <v>38</v>
      </c>
      <c r="B1618" t="str">
        <f>"3:24:13.235530"</f>
        <v>3:24:13.235530</v>
      </c>
      <c r="C1618">
        <v>-62</v>
      </c>
    </row>
    <row r="1619" spans="1:3" x14ac:dyDescent="0.25">
      <c r="A1619">
        <v>39</v>
      </c>
      <c r="B1619" t="str">
        <f>"3:24:13.236227"</f>
        <v>3:24:13.236227</v>
      </c>
      <c r="C1619">
        <v>-61</v>
      </c>
    </row>
    <row r="1620" spans="1:3" x14ac:dyDescent="0.25">
      <c r="A1620">
        <v>38</v>
      </c>
      <c r="B1620" t="str">
        <f>"3:24:14.476931"</f>
        <v>3:24:14.476931</v>
      </c>
      <c r="C1620">
        <v>-62</v>
      </c>
    </row>
    <row r="1621" spans="1:3" x14ac:dyDescent="0.25">
      <c r="A1621">
        <v>39</v>
      </c>
      <c r="B1621" t="str">
        <f>"3:24:14.477628"</f>
        <v>3:24:14.477628</v>
      </c>
      <c r="C1621">
        <v>-61</v>
      </c>
    </row>
    <row r="1622" spans="1:3" x14ac:dyDescent="0.25">
      <c r="A1622">
        <v>38</v>
      </c>
      <c r="B1622" t="str">
        <f>"3:24:15.735030"</f>
        <v>3:24:15.735030</v>
      </c>
      <c r="C1622">
        <v>-62</v>
      </c>
    </row>
    <row r="1623" spans="1:3" x14ac:dyDescent="0.25">
      <c r="A1623">
        <v>39</v>
      </c>
      <c r="B1623" t="str">
        <f>"3:24:15.735727"</f>
        <v>3:24:15.735727</v>
      </c>
      <c r="C1623">
        <v>-61</v>
      </c>
    </row>
    <row r="1624" spans="1:3" x14ac:dyDescent="0.25">
      <c r="A1624">
        <v>38</v>
      </c>
      <c r="B1624" t="str">
        <f>"3:24:16.966281"</f>
        <v>3:24:16.966281</v>
      </c>
      <c r="C1624">
        <v>-62</v>
      </c>
    </row>
    <row r="1625" spans="1:3" x14ac:dyDescent="0.25">
      <c r="A1625">
        <v>39</v>
      </c>
      <c r="B1625" t="str">
        <f>"3:24:16.966978"</f>
        <v>3:24:16.966978</v>
      </c>
      <c r="C1625">
        <v>-61</v>
      </c>
    </row>
    <row r="1626" spans="1:3" x14ac:dyDescent="0.25">
      <c r="A1626">
        <v>38</v>
      </c>
      <c r="B1626" t="str">
        <f>"3:24:18.209259"</f>
        <v>3:24:18.209259</v>
      </c>
      <c r="C1626">
        <v>-61</v>
      </c>
    </row>
    <row r="1627" spans="1:3" x14ac:dyDescent="0.25">
      <c r="A1627">
        <v>39</v>
      </c>
      <c r="B1627" t="str">
        <f>"3:24:18.209956"</f>
        <v>3:24:18.209956</v>
      </c>
      <c r="C1627">
        <v>-61</v>
      </c>
    </row>
    <row r="1628" spans="1:3" x14ac:dyDescent="0.25">
      <c r="A1628">
        <v>37</v>
      </c>
      <c r="B1628" t="str">
        <f>"3:24:19.448221"</f>
        <v>3:24:19.448221</v>
      </c>
      <c r="C1628">
        <v>-83</v>
      </c>
    </row>
    <row r="1629" spans="1:3" x14ac:dyDescent="0.25">
      <c r="A1629">
        <v>37</v>
      </c>
      <c r="B1629" t="str">
        <f>"3:24:19.448724"</f>
        <v>3:24:19.448724</v>
      </c>
      <c r="C1629">
        <v>-64</v>
      </c>
    </row>
    <row r="1630" spans="1:3" x14ac:dyDescent="0.25">
      <c r="A1630">
        <v>38</v>
      </c>
      <c r="B1630" t="str">
        <f>"3:24:19.449321"</f>
        <v>3:24:19.449321</v>
      </c>
      <c r="C1630">
        <v>-62</v>
      </c>
    </row>
    <row r="1631" spans="1:3" x14ac:dyDescent="0.25">
      <c r="A1631">
        <v>39</v>
      </c>
      <c r="B1631" t="str">
        <f>"3:24:19.450018"</f>
        <v>3:24:19.450018</v>
      </c>
      <c r="C1631">
        <v>-61</v>
      </c>
    </row>
    <row r="1632" spans="1:3" x14ac:dyDescent="0.25">
      <c r="A1632">
        <v>37</v>
      </c>
      <c r="B1632" t="str">
        <f>"3:24:20.730157"</f>
        <v>3:24:20.730157</v>
      </c>
      <c r="C1632">
        <v>-81</v>
      </c>
    </row>
    <row r="1633" spans="1:3" x14ac:dyDescent="0.25">
      <c r="A1633">
        <v>38</v>
      </c>
      <c r="B1633" t="str">
        <f>"3:24:20.730854"</f>
        <v>3:24:20.730854</v>
      </c>
      <c r="C1633">
        <v>-62</v>
      </c>
    </row>
    <row r="1634" spans="1:3" x14ac:dyDescent="0.25">
      <c r="A1634">
        <v>39</v>
      </c>
      <c r="B1634" t="str">
        <f>"3:24:20.731551"</f>
        <v>3:24:20.731551</v>
      </c>
      <c r="C1634">
        <v>-61</v>
      </c>
    </row>
    <row r="1635" spans="1:3" x14ac:dyDescent="0.25">
      <c r="A1635">
        <v>38</v>
      </c>
      <c r="B1635" t="str">
        <f>"3:24:21.948145"</f>
        <v>3:24:21.948145</v>
      </c>
      <c r="C1635">
        <v>-63</v>
      </c>
    </row>
    <row r="1636" spans="1:3" x14ac:dyDescent="0.25">
      <c r="A1636">
        <v>39</v>
      </c>
      <c r="B1636" t="str">
        <f>"3:24:21.948842"</f>
        <v>3:24:21.948842</v>
      </c>
      <c r="C1636">
        <v>-61</v>
      </c>
    </row>
    <row r="1637" spans="1:3" x14ac:dyDescent="0.25">
      <c r="A1637">
        <v>37</v>
      </c>
      <c r="B1637" t="str">
        <f>"3:24:23.180569"</f>
        <v>3:24:23.180569</v>
      </c>
      <c r="C1637">
        <v>-82</v>
      </c>
    </row>
    <row r="1638" spans="1:3" x14ac:dyDescent="0.25">
      <c r="A1638">
        <v>38</v>
      </c>
      <c r="B1638" t="str">
        <f>"3:24:23.181266"</f>
        <v>3:24:23.181266</v>
      </c>
      <c r="C1638">
        <v>-62</v>
      </c>
    </row>
    <row r="1639" spans="1:3" x14ac:dyDescent="0.25">
      <c r="A1639">
        <v>39</v>
      </c>
      <c r="B1639" t="str">
        <f>"3:24:23.181963"</f>
        <v>3:24:23.181963</v>
      </c>
      <c r="C1639">
        <v>-61</v>
      </c>
    </row>
    <row r="1640" spans="1:3" x14ac:dyDescent="0.25">
      <c r="A1640">
        <v>38</v>
      </c>
      <c r="B1640" t="str">
        <f>"3:24:24.453526"</f>
        <v>3:24:24.453526</v>
      </c>
      <c r="C1640">
        <v>-63</v>
      </c>
    </row>
    <row r="1641" spans="1:3" x14ac:dyDescent="0.25">
      <c r="A1641">
        <v>39</v>
      </c>
      <c r="B1641" t="str">
        <f>"3:24:24.454223"</f>
        <v>3:24:24.454223</v>
      </c>
      <c r="C1641">
        <v>-61</v>
      </c>
    </row>
    <row r="1642" spans="1:3" x14ac:dyDescent="0.25">
      <c r="A1642">
        <v>38</v>
      </c>
      <c r="B1642" t="str">
        <f>"3:24:25.697599"</f>
        <v>3:24:25.697599</v>
      </c>
      <c r="C1642">
        <v>-62</v>
      </c>
    </row>
    <row r="1643" spans="1:3" x14ac:dyDescent="0.25">
      <c r="A1643">
        <v>39</v>
      </c>
      <c r="B1643" t="str">
        <f>"3:24:25.698296"</f>
        <v>3:24:25.698296</v>
      </c>
      <c r="C1643">
        <v>-61</v>
      </c>
    </row>
    <row r="1644" spans="1:3" x14ac:dyDescent="0.25">
      <c r="A1644">
        <v>39</v>
      </c>
      <c r="B1644" t="str">
        <f>"3:24:25.698798"</f>
        <v>3:24:25.698798</v>
      </c>
      <c r="C1644">
        <v>-67</v>
      </c>
    </row>
    <row r="1645" spans="1:3" x14ac:dyDescent="0.25">
      <c r="A1645">
        <v>39</v>
      </c>
      <c r="B1645" t="str">
        <f>"3:24:25.699124"</f>
        <v>3:24:25.699124</v>
      </c>
      <c r="C1645">
        <v>-61</v>
      </c>
    </row>
    <row r="1646" spans="1:3" x14ac:dyDescent="0.25">
      <c r="A1646">
        <v>38</v>
      </c>
      <c r="B1646" t="str">
        <f>"3:24:26.921696"</f>
        <v>3:24:26.921696</v>
      </c>
      <c r="C1646">
        <v>-63</v>
      </c>
    </row>
    <row r="1647" spans="1:3" x14ac:dyDescent="0.25">
      <c r="A1647">
        <v>39</v>
      </c>
      <c r="B1647" t="str">
        <f>"3:24:26.922393"</f>
        <v>3:24:26.922393</v>
      </c>
      <c r="C1647">
        <v>-61</v>
      </c>
    </row>
    <row r="1648" spans="1:3" x14ac:dyDescent="0.25">
      <c r="A1648">
        <v>38</v>
      </c>
      <c r="B1648" t="str">
        <f>"3:24:28.189852"</f>
        <v>3:24:28.189852</v>
      </c>
      <c r="C1648">
        <v>-62</v>
      </c>
    </row>
    <row r="1649" spans="1:3" x14ac:dyDescent="0.25">
      <c r="A1649">
        <v>39</v>
      </c>
      <c r="B1649" t="str">
        <f>"3:24:28.190549"</f>
        <v>3:24:28.190549</v>
      </c>
      <c r="C1649">
        <v>-62</v>
      </c>
    </row>
    <row r="1650" spans="1:3" x14ac:dyDescent="0.25">
      <c r="A1650">
        <v>38</v>
      </c>
      <c r="B1650" t="str">
        <f>"3:24:29.418524"</f>
        <v>3:24:29.418524</v>
      </c>
      <c r="C1650">
        <v>-63</v>
      </c>
    </row>
    <row r="1651" spans="1:3" x14ac:dyDescent="0.25">
      <c r="A1651">
        <v>39</v>
      </c>
      <c r="B1651" t="str">
        <f>"3:24:29.419221"</f>
        <v>3:24:29.419221</v>
      </c>
      <c r="C1651">
        <v>-61</v>
      </c>
    </row>
    <row r="1652" spans="1:3" x14ac:dyDescent="0.25">
      <c r="A1652">
        <v>37</v>
      </c>
      <c r="B1652" t="str">
        <f>"3:24:30.702820"</f>
        <v>3:24:30.702820</v>
      </c>
      <c r="C1652">
        <v>-80</v>
      </c>
    </row>
    <row r="1653" spans="1:3" x14ac:dyDescent="0.25">
      <c r="A1653">
        <v>38</v>
      </c>
      <c r="B1653" t="str">
        <f>"3:24:30.703517"</f>
        <v>3:24:30.703517</v>
      </c>
      <c r="C1653">
        <v>-63</v>
      </c>
    </row>
    <row r="1654" spans="1:3" x14ac:dyDescent="0.25">
      <c r="A1654">
        <v>39</v>
      </c>
      <c r="B1654" t="str">
        <f>"3:24:30.704214"</f>
        <v>3:24:30.704214</v>
      </c>
      <c r="C1654">
        <v>-61</v>
      </c>
    </row>
    <row r="1655" spans="1:3" x14ac:dyDescent="0.25">
      <c r="A1655">
        <v>38</v>
      </c>
      <c r="B1655" t="str">
        <f>"3:24:31.907096"</f>
        <v>3:24:31.907096</v>
      </c>
      <c r="C1655">
        <v>-63</v>
      </c>
    </row>
    <row r="1656" spans="1:3" x14ac:dyDescent="0.25">
      <c r="A1656">
        <v>39</v>
      </c>
      <c r="B1656" t="str">
        <f>"3:24:31.907793"</f>
        <v>3:24:31.907793</v>
      </c>
      <c r="C1656">
        <v>-61</v>
      </c>
    </row>
    <row r="1657" spans="1:3" x14ac:dyDescent="0.25">
      <c r="A1657">
        <v>37</v>
      </c>
      <c r="B1657" t="str">
        <f>"3:24:33.144829"</f>
        <v>3:24:33.144829</v>
      </c>
      <c r="C1657">
        <v>-84</v>
      </c>
    </row>
    <row r="1658" spans="1:3" x14ac:dyDescent="0.25">
      <c r="A1658">
        <v>38</v>
      </c>
      <c r="B1658" t="str">
        <f>"3:24:33.145526"</f>
        <v>3:24:33.145526</v>
      </c>
      <c r="C1658">
        <v>-63</v>
      </c>
    </row>
    <row r="1659" spans="1:3" x14ac:dyDescent="0.25">
      <c r="A1659">
        <v>39</v>
      </c>
      <c r="B1659" t="str">
        <f>"3:24:33.146223"</f>
        <v>3:24:33.146223</v>
      </c>
      <c r="C1659">
        <v>-61</v>
      </c>
    </row>
    <row r="1660" spans="1:3" x14ac:dyDescent="0.25">
      <c r="A1660">
        <v>38</v>
      </c>
      <c r="B1660" t="str">
        <f>"3:24:34.399404"</f>
        <v>3:24:34.399404</v>
      </c>
      <c r="C1660">
        <v>-63</v>
      </c>
    </row>
    <row r="1661" spans="1:3" x14ac:dyDescent="0.25">
      <c r="A1661">
        <v>39</v>
      </c>
      <c r="B1661" t="str">
        <f>"3:24:34.400101"</f>
        <v>3:24:34.400101</v>
      </c>
      <c r="C1661">
        <v>-61</v>
      </c>
    </row>
    <row r="1662" spans="1:3" x14ac:dyDescent="0.25">
      <c r="A1662">
        <v>39</v>
      </c>
      <c r="B1662" t="str">
        <f>"3:24:35.645878"</f>
        <v>3:24:35.645878</v>
      </c>
      <c r="C1662">
        <v>-61</v>
      </c>
    </row>
    <row r="1663" spans="1:3" x14ac:dyDescent="0.25">
      <c r="A1663">
        <v>37</v>
      </c>
      <c r="B1663" t="str">
        <f>"3:24:36.880977"</f>
        <v>3:24:36.880977</v>
      </c>
      <c r="C1663">
        <v>-81</v>
      </c>
    </row>
    <row r="1664" spans="1:3" x14ac:dyDescent="0.25">
      <c r="A1664">
        <v>38</v>
      </c>
      <c r="B1664" t="str">
        <f>"3:24:36.881674"</f>
        <v>3:24:36.881674</v>
      </c>
      <c r="C1664">
        <v>-63</v>
      </c>
    </row>
    <row r="1665" spans="1:3" x14ac:dyDescent="0.25">
      <c r="A1665">
        <v>39</v>
      </c>
      <c r="B1665" t="str">
        <f>"3:24:36.882371"</f>
        <v>3:24:36.882371</v>
      </c>
      <c r="C1665">
        <v>-62</v>
      </c>
    </row>
    <row r="1666" spans="1:3" x14ac:dyDescent="0.25">
      <c r="A1666">
        <v>37</v>
      </c>
      <c r="B1666" t="str">
        <f>"3:24:38.133112"</f>
        <v>3:24:38.133112</v>
      </c>
      <c r="C1666">
        <v>-82</v>
      </c>
    </row>
    <row r="1667" spans="1:3" x14ac:dyDescent="0.25">
      <c r="A1667">
        <v>37</v>
      </c>
      <c r="B1667" t="str">
        <f>"3:24:38.133615"</f>
        <v>3:24:38.133615</v>
      </c>
      <c r="C1667">
        <v>-64</v>
      </c>
    </row>
    <row r="1668" spans="1:3" x14ac:dyDescent="0.25">
      <c r="A1668">
        <v>37</v>
      </c>
      <c r="B1668" t="str">
        <f>"3:24:38.133940"</f>
        <v>3:24:38.133940</v>
      </c>
      <c r="C1668">
        <v>-82</v>
      </c>
    </row>
    <row r="1669" spans="1:3" x14ac:dyDescent="0.25">
      <c r="A1669">
        <v>38</v>
      </c>
      <c r="B1669" t="str">
        <f>"3:24:38.134211"</f>
        <v>3:24:38.134211</v>
      </c>
      <c r="C1669">
        <v>-63</v>
      </c>
    </row>
    <row r="1670" spans="1:3" x14ac:dyDescent="0.25">
      <c r="A1670">
        <v>39</v>
      </c>
      <c r="B1670" t="str">
        <f>"3:24:38.134908"</f>
        <v>3:24:38.134908</v>
      </c>
      <c r="C1670">
        <v>-61</v>
      </c>
    </row>
    <row r="1671" spans="1:3" x14ac:dyDescent="0.25">
      <c r="A1671">
        <v>38</v>
      </c>
      <c r="B1671" t="str">
        <f>"3:24:39.368647"</f>
        <v>3:24:39.368647</v>
      </c>
      <c r="C1671">
        <v>-63</v>
      </c>
    </row>
    <row r="1672" spans="1:3" x14ac:dyDescent="0.25">
      <c r="A1672">
        <v>39</v>
      </c>
      <c r="B1672" t="str">
        <f>"3:24:39.369344"</f>
        <v>3:24:39.369344</v>
      </c>
      <c r="C1672">
        <v>-62</v>
      </c>
    </row>
    <row r="1673" spans="1:3" x14ac:dyDescent="0.25">
      <c r="A1673">
        <v>37</v>
      </c>
      <c r="B1673" t="str">
        <f>"3:24:40.648823"</f>
        <v>3:24:40.648823</v>
      </c>
      <c r="C1673">
        <v>-81</v>
      </c>
    </row>
    <row r="1674" spans="1:3" x14ac:dyDescent="0.25">
      <c r="A1674">
        <v>38</v>
      </c>
      <c r="B1674" t="str">
        <f>"3:24:40.649520"</f>
        <v>3:24:40.649520</v>
      </c>
      <c r="C1674">
        <v>-63</v>
      </c>
    </row>
    <row r="1675" spans="1:3" x14ac:dyDescent="0.25">
      <c r="A1675">
        <v>39</v>
      </c>
      <c r="B1675" t="str">
        <f>"3:24:40.650217"</f>
        <v>3:24:40.650217</v>
      </c>
      <c r="C1675">
        <v>-62</v>
      </c>
    </row>
    <row r="1676" spans="1:3" x14ac:dyDescent="0.25">
      <c r="A1676">
        <v>37</v>
      </c>
      <c r="B1676" t="str">
        <f>"3:24:41.865342"</f>
        <v>3:24:41.865342</v>
      </c>
      <c r="C1676">
        <v>-81</v>
      </c>
    </row>
    <row r="1677" spans="1:3" x14ac:dyDescent="0.25">
      <c r="A1677">
        <v>38</v>
      </c>
      <c r="B1677" t="str">
        <f>"3:24:41.866039"</f>
        <v>3:24:41.866039</v>
      </c>
      <c r="C1677">
        <v>-63</v>
      </c>
    </row>
    <row r="1678" spans="1:3" x14ac:dyDescent="0.25">
      <c r="A1678">
        <v>39</v>
      </c>
      <c r="B1678" t="str">
        <f>"3:24:41.866736"</f>
        <v>3:24:41.866736</v>
      </c>
      <c r="C1678">
        <v>-62</v>
      </c>
    </row>
    <row r="1679" spans="1:3" x14ac:dyDescent="0.25">
      <c r="A1679">
        <v>37</v>
      </c>
      <c r="B1679" t="str">
        <f>"3:24:43.107620"</f>
        <v>3:24:43.107620</v>
      </c>
      <c r="C1679">
        <v>-81</v>
      </c>
    </row>
    <row r="1680" spans="1:3" x14ac:dyDescent="0.25">
      <c r="A1680">
        <v>38</v>
      </c>
      <c r="B1680" t="str">
        <f>"3:24:43.108316"</f>
        <v>3:24:43.108316</v>
      </c>
      <c r="C1680">
        <v>-63</v>
      </c>
    </row>
    <row r="1681" spans="1:3" x14ac:dyDescent="0.25">
      <c r="A1681">
        <v>39</v>
      </c>
      <c r="B1681" t="str">
        <f>"3:24:43.109013"</f>
        <v>3:24:43.109013</v>
      </c>
      <c r="C1681">
        <v>-62</v>
      </c>
    </row>
    <row r="1682" spans="1:3" x14ac:dyDescent="0.25">
      <c r="A1682">
        <v>38</v>
      </c>
      <c r="B1682" t="str">
        <f>"3:24:44.356603"</f>
        <v>3:24:44.356603</v>
      </c>
      <c r="C1682">
        <v>-63</v>
      </c>
    </row>
    <row r="1683" spans="1:3" x14ac:dyDescent="0.25">
      <c r="A1683">
        <v>39</v>
      </c>
      <c r="B1683" t="str">
        <f>"3:24:44.357300"</f>
        <v>3:24:44.357300</v>
      </c>
      <c r="C1683">
        <v>-61</v>
      </c>
    </row>
    <row r="1684" spans="1:3" x14ac:dyDescent="0.25">
      <c r="A1684">
        <v>39</v>
      </c>
      <c r="B1684" t="str">
        <f>"3:24:45.593497"</f>
        <v>3:24:45.593497</v>
      </c>
      <c r="C1684">
        <v>-61</v>
      </c>
    </row>
    <row r="1685" spans="1:3" x14ac:dyDescent="0.25">
      <c r="A1685">
        <v>38</v>
      </c>
      <c r="B1685" t="str">
        <f>"3:24:46.845227"</f>
        <v>3:24:46.845227</v>
      </c>
      <c r="C1685">
        <v>-63</v>
      </c>
    </row>
    <row r="1686" spans="1:3" x14ac:dyDescent="0.25">
      <c r="A1686">
        <v>39</v>
      </c>
      <c r="B1686" t="str">
        <f>"3:24:46.845924"</f>
        <v>3:24:46.845924</v>
      </c>
      <c r="C1686">
        <v>-61</v>
      </c>
    </row>
    <row r="1687" spans="1:3" x14ac:dyDescent="0.25">
      <c r="A1687">
        <v>37</v>
      </c>
      <c r="B1687" t="str">
        <f>"3:24:49.329559"</f>
        <v>3:24:49.329559</v>
      </c>
      <c r="C1687">
        <v>-79</v>
      </c>
    </row>
    <row r="1688" spans="1:3" x14ac:dyDescent="0.25">
      <c r="A1688">
        <v>38</v>
      </c>
      <c r="B1688" t="str">
        <f>"3:24:49.330256"</f>
        <v>3:24:49.330256</v>
      </c>
      <c r="C1688">
        <v>-63</v>
      </c>
    </row>
    <row r="1689" spans="1:3" x14ac:dyDescent="0.25">
      <c r="A1689">
        <v>39</v>
      </c>
      <c r="B1689" t="str">
        <f>"3:24:49.330953"</f>
        <v>3:24:49.330953</v>
      </c>
      <c r="C1689">
        <v>-62</v>
      </c>
    </row>
    <row r="1690" spans="1:3" x14ac:dyDescent="0.25">
      <c r="A1690">
        <v>37</v>
      </c>
      <c r="B1690" t="str">
        <f>"3:24:50.564812"</f>
        <v>3:24:50.564812</v>
      </c>
      <c r="C1690">
        <v>-80</v>
      </c>
    </row>
    <row r="1691" spans="1:3" x14ac:dyDescent="0.25">
      <c r="A1691">
        <v>38</v>
      </c>
      <c r="B1691" t="str">
        <f>"3:24:50.565509"</f>
        <v>3:24:50.565509</v>
      </c>
      <c r="C1691">
        <v>-62</v>
      </c>
    </row>
    <row r="1692" spans="1:3" x14ac:dyDescent="0.25">
      <c r="A1692">
        <v>39</v>
      </c>
      <c r="B1692" t="str">
        <f>"3:24:50.566206"</f>
        <v>3:24:50.566206</v>
      </c>
      <c r="C1692">
        <v>-61</v>
      </c>
    </row>
    <row r="1693" spans="1:3" x14ac:dyDescent="0.25">
      <c r="A1693">
        <v>37</v>
      </c>
      <c r="B1693" t="str">
        <f>"3:24:51.808077"</f>
        <v>3:24:51.808077</v>
      </c>
      <c r="C1693">
        <v>-80</v>
      </c>
    </row>
    <row r="1694" spans="1:3" x14ac:dyDescent="0.25">
      <c r="A1694">
        <v>38</v>
      </c>
      <c r="B1694" t="str">
        <f>"3:24:51.808774"</f>
        <v>3:24:51.808774</v>
      </c>
      <c r="C1694">
        <v>-62</v>
      </c>
    </row>
    <row r="1695" spans="1:3" x14ac:dyDescent="0.25">
      <c r="A1695">
        <v>39</v>
      </c>
      <c r="B1695" t="str">
        <f>"3:24:51.809471"</f>
        <v>3:24:51.809471</v>
      </c>
      <c r="C1695">
        <v>-61</v>
      </c>
    </row>
    <row r="1696" spans="1:3" x14ac:dyDescent="0.25">
      <c r="A1696">
        <v>37</v>
      </c>
      <c r="B1696" t="str">
        <f>"3:24:53.055739"</f>
        <v>3:24:53.055739</v>
      </c>
      <c r="C1696">
        <v>-81</v>
      </c>
    </row>
    <row r="1697" spans="1:3" x14ac:dyDescent="0.25">
      <c r="A1697">
        <v>38</v>
      </c>
      <c r="B1697" t="str">
        <f>"3:24:53.056436"</f>
        <v>3:24:53.056436</v>
      </c>
      <c r="C1697">
        <v>-63</v>
      </c>
    </row>
    <row r="1698" spans="1:3" x14ac:dyDescent="0.25">
      <c r="A1698">
        <v>39</v>
      </c>
      <c r="B1698" t="str">
        <f>"3:24:53.057133"</f>
        <v>3:24:53.057133</v>
      </c>
      <c r="C1698">
        <v>-61</v>
      </c>
    </row>
    <row r="1699" spans="1:3" x14ac:dyDescent="0.25">
      <c r="A1699">
        <v>38</v>
      </c>
      <c r="B1699" t="str">
        <f>"3:24:55.561254"</f>
        <v>3:24:55.561254</v>
      </c>
      <c r="C1699">
        <v>-63</v>
      </c>
    </row>
    <row r="1700" spans="1:3" x14ac:dyDescent="0.25">
      <c r="A1700">
        <v>39</v>
      </c>
      <c r="B1700" t="str">
        <f>"3:24:55.561951"</f>
        <v>3:24:55.561951</v>
      </c>
      <c r="C1700">
        <v>-61</v>
      </c>
    </row>
    <row r="1701" spans="1:3" x14ac:dyDescent="0.25">
      <c r="A1701">
        <v>39</v>
      </c>
      <c r="B1701" t="str">
        <f>"3:24:56.803956"</f>
        <v>3:24:56.803956</v>
      </c>
      <c r="C1701">
        <v>-61</v>
      </c>
    </row>
    <row r="1702" spans="1:3" x14ac:dyDescent="0.25">
      <c r="A1702">
        <v>37</v>
      </c>
      <c r="B1702" t="str">
        <f>"3:24:58.049930"</f>
        <v>3:24:58.049930</v>
      </c>
      <c r="C1702">
        <v>-80</v>
      </c>
    </row>
    <row r="1703" spans="1:3" x14ac:dyDescent="0.25">
      <c r="A1703">
        <v>38</v>
      </c>
      <c r="B1703" t="str">
        <f>"3:24:58.050627"</f>
        <v>3:24:58.050627</v>
      </c>
      <c r="C1703">
        <v>-63</v>
      </c>
    </row>
    <row r="1704" spans="1:3" x14ac:dyDescent="0.25">
      <c r="A1704">
        <v>39</v>
      </c>
      <c r="B1704" t="str">
        <f>"3:24:58.051324"</f>
        <v>3:24:58.051324</v>
      </c>
      <c r="C1704">
        <v>-61</v>
      </c>
    </row>
    <row r="1705" spans="1:3" x14ac:dyDescent="0.25">
      <c r="A1705">
        <v>38</v>
      </c>
      <c r="B1705" t="str">
        <f>"3:24:59.302413"</f>
        <v>3:24:59.302413</v>
      </c>
      <c r="C1705">
        <v>-63</v>
      </c>
    </row>
    <row r="1706" spans="1:3" x14ac:dyDescent="0.25">
      <c r="A1706">
        <v>39</v>
      </c>
      <c r="B1706" t="str">
        <f>"3:24:59.303110"</f>
        <v>3:24:59.303110</v>
      </c>
      <c r="C1706">
        <v>-61</v>
      </c>
    </row>
    <row r="1707" spans="1:3" x14ac:dyDescent="0.25">
      <c r="A1707">
        <v>38</v>
      </c>
      <c r="B1707" t="str">
        <f>"3:25:00.555985"</f>
        <v>3:25:00.555985</v>
      </c>
      <c r="C1707">
        <v>-63</v>
      </c>
    </row>
    <row r="1708" spans="1:3" x14ac:dyDescent="0.25">
      <c r="A1708">
        <v>39</v>
      </c>
      <c r="B1708" t="str">
        <f>"3:25:00.556682"</f>
        <v>3:25:00.556682</v>
      </c>
      <c r="C1708">
        <v>-61</v>
      </c>
    </row>
    <row r="1709" spans="1:3" x14ac:dyDescent="0.25">
      <c r="A1709">
        <v>39</v>
      </c>
      <c r="B1709" t="str">
        <f>"3:25:01.767567"</f>
        <v>3:25:01.767567</v>
      </c>
      <c r="C1709">
        <v>-61</v>
      </c>
    </row>
    <row r="1710" spans="1:3" x14ac:dyDescent="0.25">
      <c r="A1710">
        <v>38</v>
      </c>
      <c r="B1710" t="str">
        <f>"3:25:03.021247"</f>
        <v>3:25:03.021247</v>
      </c>
      <c r="C1710">
        <v>-63</v>
      </c>
    </row>
    <row r="1711" spans="1:3" x14ac:dyDescent="0.25">
      <c r="A1711">
        <v>39</v>
      </c>
      <c r="B1711" t="str">
        <f>"3:25:03.021945"</f>
        <v>3:25:03.021945</v>
      </c>
      <c r="C1711">
        <v>-61</v>
      </c>
    </row>
    <row r="1712" spans="1:3" x14ac:dyDescent="0.25">
      <c r="A1712">
        <v>37</v>
      </c>
      <c r="B1712" t="str">
        <f>"3:25:04.264411"</f>
        <v>3:25:04.264411</v>
      </c>
      <c r="C1712">
        <v>-81</v>
      </c>
    </row>
    <row r="1713" spans="1:3" x14ac:dyDescent="0.25">
      <c r="A1713">
        <v>38</v>
      </c>
      <c r="B1713" t="str">
        <f>"3:25:04.265108"</f>
        <v>3:25:04.265108</v>
      </c>
      <c r="C1713">
        <v>-63</v>
      </c>
    </row>
    <row r="1714" spans="1:3" x14ac:dyDescent="0.25">
      <c r="A1714">
        <v>39</v>
      </c>
      <c r="B1714" t="str">
        <f>"3:25:04.265805"</f>
        <v>3:25:04.265805</v>
      </c>
      <c r="C1714">
        <v>-61</v>
      </c>
    </row>
    <row r="1715" spans="1:3" x14ac:dyDescent="0.25">
      <c r="A1715">
        <v>39</v>
      </c>
      <c r="B1715" t="str">
        <f>"3:25:05.503949"</f>
        <v>3:25:05.503949</v>
      </c>
      <c r="C1715">
        <v>-61</v>
      </c>
    </row>
    <row r="1716" spans="1:3" x14ac:dyDescent="0.25">
      <c r="A1716">
        <v>38</v>
      </c>
      <c r="B1716" t="str">
        <f>"3:25:06.778008"</f>
        <v>3:25:06.778008</v>
      </c>
      <c r="C1716">
        <v>-63</v>
      </c>
    </row>
    <row r="1717" spans="1:3" x14ac:dyDescent="0.25">
      <c r="A1717">
        <v>39</v>
      </c>
      <c r="B1717" t="str">
        <f>"3:25:06.778705"</f>
        <v>3:25:06.778705</v>
      </c>
      <c r="C1717">
        <v>-61</v>
      </c>
    </row>
    <row r="1718" spans="1:3" x14ac:dyDescent="0.25">
      <c r="A1718">
        <v>37</v>
      </c>
      <c r="B1718" t="str">
        <f>"3:25:08.008330"</f>
        <v>3:25:08.008330</v>
      </c>
      <c r="C1718">
        <v>-81</v>
      </c>
    </row>
    <row r="1719" spans="1:3" x14ac:dyDescent="0.25">
      <c r="A1719">
        <v>38</v>
      </c>
      <c r="B1719" t="str">
        <f>"3:25:08.009027"</f>
        <v>3:25:08.009027</v>
      </c>
      <c r="C1719">
        <v>-63</v>
      </c>
    </row>
    <row r="1720" spans="1:3" x14ac:dyDescent="0.25">
      <c r="A1720">
        <v>39</v>
      </c>
      <c r="B1720" t="str">
        <f>"3:25:08.009724"</f>
        <v>3:25:08.009724</v>
      </c>
      <c r="C1720">
        <v>-61</v>
      </c>
    </row>
    <row r="1721" spans="1:3" x14ac:dyDescent="0.25">
      <c r="A1721">
        <v>38</v>
      </c>
      <c r="B1721" t="str">
        <f>"3:25:09.242032"</f>
        <v>3:25:09.242032</v>
      </c>
      <c r="C1721">
        <v>-63</v>
      </c>
    </row>
    <row r="1722" spans="1:3" x14ac:dyDescent="0.25">
      <c r="A1722">
        <v>39</v>
      </c>
      <c r="B1722" t="str">
        <f>"3:25:09.242729"</f>
        <v>3:25:09.242729</v>
      </c>
      <c r="C1722">
        <v>-62</v>
      </c>
    </row>
    <row r="1723" spans="1:3" x14ac:dyDescent="0.25">
      <c r="A1723">
        <v>38</v>
      </c>
      <c r="B1723" t="str">
        <f>"3:25:10.506105"</f>
        <v>3:25:10.506105</v>
      </c>
      <c r="C1723">
        <v>-63</v>
      </c>
    </row>
    <row r="1724" spans="1:3" x14ac:dyDescent="0.25">
      <c r="A1724">
        <v>39</v>
      </c>
      <c r="B1724" t="str">
        <f>"3:25:10.506802"</f>
        <v>3:25:10.506802</v>
      </c>
      <c r="C1724">
        <v>-61</v>
      </c>
    </row>
    <row r="1725" spans="1:3" x14ac:dyDescent="0.25">
      <c r="A1725">
        <v>38</v>
      </c>
      <c r="B1725" t="str">
        <f>"3:25:11.740710"</f>
        <v>3:25:11.740710</v>
      </c>
      <c r="C1725">
        <v>-62</v>
      </c>
    </row>
    <row r="1726" spans="1:3" x14ac:dyDescent="0.25">
      <c r="A1726">
        <v>39</v>
      </c>
      <c r="B1726" t="str">
        <f>"3:25:11.741407"</f>
        <v>3:25:11.741407</v>
      </c>
      <c r="C1726">
        <v>-61</v>
      </c>
    </row>
    <row r="1727" spans="1:3" x14ac:dyDescent="0.25">
      <c r="A1727">
        <v>37</v>
      </c>
      <c r="B1727" t="str">
        <f>"3:25:12.986900"</f>
        <v>3:25:12.986900</v>
      </c>
      <c r="C1727">
        <v>-80</v>
      </c>
    </row>
    <row r="1728" spans="1:3" x14ac:dyDescent="0.25">
      <c r="A1728">
        <v>38</v>
      </c>
      <c r="B1728" t="str">
        <f>"3:25:12.987597"</f>
        <v>3:25:12.987597</v>
      </c>
      <c r="C1728">
        <v>-62</v>
      </c>
    </row>
    <row r="1729" spans="1:3" x14ac:dyDescent="0.25">
      <c r="A1729">
        <v>39</v>
      </c>
      <c r="B1729" t="str">
        <f>"3:25:12.988294"</f>
        <v>3:25:12.988294</v>
      </c>
      <c r="C1729">
        <v>-61</v>
      </c>
    </row>
    <row r="1730" spans="1:3" x14ac:dyDescent="0.25">
      <c r="A1730">
        <v>37</v>
      </c>
      <c r="B1730" t="str">
        <f>"3:25:14.217442"</f>
        <v>3:25:14.217442</v>
      </c>
      <c r="C1730">
        <v>-79</v>
      </c>
    </row>
    <row r="1731" spans="1:3" x14ac:dyDescent="0.25">
      <c r="A1731">
        <v>38</v>
      </c>
      <c r="B1731" t="str">
        <f>"3:25:14.218139"</f>
        <v>3:25:14.218139</v>
      </c>
      <c r="C1731">
        <v>-63</v>
      </c>
    </row>
    <row r="1732" spans="1:3" x14ac:dyDescent="0.25">
      <c r="A1732">
        <v>39</v>
      </c>
      <c r="B1732" t="str">
        <f>"3:25:14.218836"</f>
        <v>3:25:14.218836</v>
      </c>
      <c r="C1732">
        <v>-61</v>
      </c>
    </row>
    <row r="1733" spans="1:3" x14ac:dyDescent="0.25">
      <c r="A1733">
        <v>37</v>
      </c>
      <c r="B1733" t="str">
        <f>"3:25:15.472119"</f>
        <v>3:25:15.472119</v>
      </c>
      <c r="C1733">
        <v>-80</v>
      </c>
    </row>
    <row r="1734" spans="1:3" x14ac:dyDescent="0.25">
      <c r="A1734">
        <v>38</v>
      </c>
      <c r="B1734" t="str">
        <f>"3:25:15.472816"</f>
        <v>3:25:15.472816</v>
      </c>
      <c r="C1734">
        <v>-62</v>
      </c>
    </row>
    <row r="1735" spans="1:3" x14ac:dyDescent="0.25">
      <c r="A1735">
        <v>39</v>
      </c>
      <c r="B1735" t="str">
        <f>"3:25:15.473513"</f>
        <v>3:25:15.473513</v>
      </c>
      <c r="C1735">
        <v>-61</v>
      </c>
    </row>
    <row r="1736" spans="1:3" x14ac:dyDescent="0.25">
      <c r="A1736">
        <v>37</v>
      </c>
      <c r="B1736" t="str">
        <f>"3:25:16.719724"</f>
        <v>3:25:16.719724</v>
      </c>
      <c r="C1736">
        <v>-78</v>
      </c>
    </row>
    <row r="1737" spans="1:3" x14ac:dyDescent="0.25">
      <c r="A1737">
        <v>38</v>
      </c>
      <c r="B1737" t="str">
        <f>"3:25:16.720421"</f>
        <v>3:25:16.720421</v>
      </c>
      <c r="C1737">
        <v>-62</v>
      </c>
    </row>
    <row r="1738" spans="1:3" x14ac:dyDescent="0.25">
      <c r="A1738">
        <v>39</v>
      </c>
      <c r="B1738" t="str">
        <f>"3:25:16.721118"</f>
        <v>3:25:16.721118</v>
      </c>
      <c r="C1738">
        <v>-61</v>
      </c>
    </row>
    <row r="1739" spans="1:3" x14ac:dyDescent="0.25">
      <c r="A1739">
        <v>38</v>
      </c>
      <c r="B1739" t="str">
        <f>"3:25:17.957748"</f>
        <v>3:25:17.957748</v>
      </c>
      <c r="C1739">
        <v>-62</v>
      </c>
    </row>
    <row r="1740" spans="1:3" x14ac:dyDescent="0.25">
      <c r="A1740">
        <v>39</v>
      </c>
      <c r="B1740" t="str">
        <f>"3:25:17.958445"</f>
        <v>3:25:17.958445</v>
      </c>
      <c r="C1740">
        <v>-61</v>
      </c>
    </row>
    <row r="1741" spans="1:3" x14ac:dyDescent="0.25">
      <c r="A1741">
        <v>38</v>
      </c>
      <c r="B1741" t="str">
        <f>"3:25:19.243467"</f>
        <v>3:25:19.243467</v>
      </c>
      <c r="C1741">
        <v>-63</v>
      </c>
    </row>
    <row r="1742" spans="1:3" x14ac:dyDescent="0.25">
      <c r="A1742">
        <v>39</v>
      </c>
      <c r="B1742" t="str">
        <f>"3:25:19.244165"</f>
        <v>3:25:19.244165</v>
      </c>
      <c r="C1742">
        <v>-61</v>
      </c>
    </row>
    <row r="1743" spans="1:3" x14ac:dyDescent="0.25">
      <c r="A1743">
        <v>39</v>
      </c>
      <c r="B1743" t="str">
        <f>"3:25:20.465756"</f>
        <v>3:25:20.465756</v>
      </c>
      <c r="C1743">
        <v>-61</v>
      </c>
    </row>
    <row r="1744" spans="1:3" x14ac:dyDescent="0.25">
      <c r="A1744">
        <v>37</v>
      </c>
      <c r="B1744" t="str">
        <f>"3:25:21.719952"</f>
        <v>3:25:21.719952</v>
      </c>
      <c r="C1744">
        <v>-79</v>
      </c>
    </row>
    <row r="1745" spans="1:3" x14ac:dyDescent="0.25">
      <c r="A1745">
        <v>38</v>
      </c>
      <c r="B1745" t="str">
        <f>"3:25:21.720649"</f>
        <v>3:25:21.720649</v>
      </c>
      <c r="C1745">
        <v>-63</v>
      </c>
    </row>
    <row r="1746" spans="1:3" x14ac:dyDescent="0.25">
      <c r="A1746">
        <v>39</v>
      </c>
      <c r="B1746" t="str">
        <f>"3:25:21.721346"</f>
        <v>3:25:21.721346</v>
      </c>
      <c r="C1746">
        <v>-61</v>
      </c>
    </row>
    <row r="1747" spans="1:3" x14ac:dyDescent="0.25">
      <c r="A1747">
        <v>37</v>
      </c>
      <c r="B1747" t="str">
        <f>"3:25:22.955294"</f>
        <v>3:25:22.955294</v>
      </c>
      <c r="C1747">
        <v>-79</v>
      </c>
    </row>
    <row r="1748" spans="1:3" x14ac:dyDescent="0.25">
      <c r="A1748">
        <v>38</v>
      </c>
      <c r="B1748" t="str">
        <f>"3:25:22.955991"</f>
        <v>3:25:22.955991</v>
      </c>
      <c r="C1748">
        <v>-63</v>
      </c>
    </row>
    <row r="1749" spans="1:3" x14ac:dyDescent="0.25">
      <c r="A1749">
        <v>39</v>
      </c>
      <c r="B1749" t="str">
        <f>"3:25:22.956688"</f>
        <v>3:25:22.956688</v>
      </c>
      <c r="C1749">
        <v>-61</v>
      </c>
    </row>
    <row r="1750" spans="1:3" x14ac:dyDescent="0.25">
      <c r="A1750">
        <v>37</v>
      </c>
      <c r="B1750" t="str">
        <f>"3:25:25.465291"</f>
        <v>3:25:25.465291</v>
      </c>
      <c r="C1750">
        <v>-79</v>
      </c>
    </row>
    <row r="1751" spans="1:3" x14ac:dyDescent="0.25">
      <c r="A1751">
        <v>38</v>
      </c>
      <c r="B1751" t="str">
        <f>"3:25:25.465988"</f>
        <v>3:25:25.465988</v>
      </c>
      <c r="C1751">
        <v>-63</v>
      </c>
    </row>
    <row r="1752" spans="1:3" x14ac:dyDescent="0.25">
      <c r="A1752">
        <v>39</v>
      </c>
      <c r="B1752" t="str">
        <f>"3:25:25.466685"</f>
        <v>3:25:25.466685</v>
      </c>
      <c r="C1752">
        <v>-61</v>
      </c>
    </row>
    <row r="1753" spans="1:3" x14ac:dyDescent="0.25">
      <c r="A1753">
        <v>37</v>
      </c>
      <c r="B1753" t="str">
        <f>"3:25:27.943582"</f>
        <v>3:25:27.943582</v>
      </c>
      <c r="C1753">
        <v>-80</v>
      </c>
    </row>
    <row r="1754" spans="1:3" x14ac:dyDescent="0.25">
      <c r="A1754">
        <v>38</v>
      </c>
      <c r="B1754" t="str">
        <f>"3:25:27.944279"</f>
        <v>3:25:27.944279</v>
      </c>
      <c r="C1754">
        <v>-63</v>
      </c>
    </row>
    <row r="1755" spans="1:3" x14ac:dyDescent="0.25">
      <c r="A1755">
        <v>39</v>
      </c>
      <c r="B1755" t="str">
        <f>"3:25:27.944976"</f>
        <v>3:25:27.944976</v>
      </c>
      <c r="C1755">
        <v>-61</v>
      </c>
    </row>
    <row r="1756" spans="1:3" x14ac:dyDescent="0.25">
      <c r="A1756">
        <v>38</v>
      </c>
      <c r="B1756" t="str">
        <f>"3:25:30.420557"</f>
        <v>3:25:30.420557</v>
      </c>
      <c r="C1756">
        <v>-62</v>
      </c>
    </row>
    <row r="1757" spans="1:3" x14ac:dyDescent="0.25">
      <c r="A1757">
        <v>39</v>
      </c>
      <c r="B1757" t="str">
        <f>"3:25:30.421254"</f>
        <v>3:25:30.421254</v>
      </c>
      <c r="C1757">
        <v>-60</v>
      </c>
    </row>
    <row r="1758" spans="1:3" x14ac:dyDescent="0.25">
      <c r="A1758">
        <v>38</v>
      </c>
      <c r="B1758" t="str">
        <f>"3:25:31.675035"</f>
        <v>3:25:31.675035</v>
      </c>
      <c r="C1758">
        <v>-63</v>
      </c>
    </row>
    <row r="1759" spans="1:3" x14ac:dyDescent="0.25">
      <c r="A1759">
        <v>39</v>
      </c>
      <c r="B1759" t="str">
        <f>"3:25:31.675732"</f>
        <v>3:25:31.675732</v>
      </c>
      <c r="C1759">
        <v>-61</v>
      </c>
    </row>
    <row r="1760" spans="1:3" x14ac:dyDescent="0.25">
      <c r="A1760">
        <v>37</v>
      </c>
      <c r="B1760" t="str">
        <f>"3:25:32.912865"</f>
        <v>3:25:32.912865</v>
      </c>
      <c r="C1760">
        <v>-80</v>
      </c>
    </row>
    <row r="1761" spans="1:3" x14ac:dyDescent="0.25">
      <c r="A1761">
        <v>38</v>
      </c>
      <c r="B1761" t="str">
        <f>"3:25:32.913562"</f>
        <v>3:25:32.913562</v>
      </c>
      <c r="C1761">
        <v>-63</v>
      </c>
    </row>
    <row r="1762" spans="1:3" x14ac:dyDescent="0.25">
      <c r="A1762">
        <v>39</v>
      </c>
      <c r="B1762" t="str">
        <f>"3:25:32.914259"</f>
        <v>3:25:32.914259</v>
      </c>
      <c r="C1762">
        <v>-61</v>
      </c>
    </row>
    <row r="1763" spans="1:3" x14ac:dyDescent="0.25">
      <c r="A1763">
        <v>38</v>
      </c>
      <c r="B1763" t="str">
        <f>"3:25:34.161572"</f>
        <v>3:25:34.161572</v>
      </c>
      <c r="C1763">
        <v>-63</v>
      </c>
    </row>
    <row r="1764" spans="1:3" x14ac:dyDescent="0.25">
      <c r="A1764">
        <v>39</v>
      </c>
      <c r="B1764" t="str">
        <f>"3:25:34.162269"</f>
        <v>3:25:34.162269</v>
      </c>
      <c r="C1764">
        <v>-61</v>
      </c>
    </row>
    <row r="1765" spans="1:3" x14ac:dyDescent="0.25">
      <c r="A1765">
        <v>38</v>
      </c>
      <c r="B1765" t="str">
        <f>"3:25:36.669727"</f>
        <v>3:25:36.669727</v>
      </c>
      <c r="C1765">
        <v>-63</v>
      </c>
    </row>
    <row r="1766" spans="1:3" x14ac:dyDescent="0.25">
      <c r="A1766">
        <v>39</v>
      </c>
      <c r="B1766" t="str">
        <f>"3:25:36.670424"</f>
        <v>3:25:36.670424</v>
      </c>
      <c r="C1766">
        <v>-61</v>
      </c>
    </row>
    <row r="1767" spans="1:3" x14ac:dyDescent="0.25">
      <c r="A1767">
        <v>38</v>
      </c>
      <c r="B1767" t="str">
        <f>"3:25:37.908790"</f>
        <v>3:25:37.908790</v>
      </c>
      <c r="C1767">
        <v>-63</v>
      </c>
    </row>
    <row r="1768" spans="1:3" x14ac:dyDescent="0.25">
      <c r="A1768">
        <v>39</v>
      </c>
      <c r="B1768" t="str">
        <f>"3:25:37.909487"</f>
        <v>3:25:37.909487</v>
      </c>
      <c r="C1768">
        <v>-61</v>
      </c>
    </row>
    <row r="1769" spans="1:3" x14ac:dyDescent="0.25">
      <c r="A1769">
        <v>37</v>
      </c>
      <c r="B1769" t="str">
        <f>"3:25:39.131747"</f>
        <v>3:25:39.131747</v>
      </c>
      <c r="C1769">
        <v>-79</v>
      </c>
    </row>
    <row r="1770" spans="1:3" x14ac:dyDescent="0.25">
      <c r="A1770">
        <v>38</v>
      </c>
      <c r="B1770" t="str">
        <f>"3:25:39.132444"</f>
        <v>3:25:39.132444</v>
      </c>
      <c r="C1770">
        <v>-63</v>
      </c>
    </row>
    <row r="1771" spans="1:3" x14ac:dyDescent="0.25">
      <c r="A1771">
        <v>39</v>
      </c>
      <c r="B1771" t="str">
        <f>"3:25:39.133141"</f>
        <v>3:25:39.133141</v>
      </c>
      <c r="C1771">
        <v>-61</v>
      </c>
    </row>
    <row r="1772" spans="1:3" x14ac:dyDescent="0.25">
      <c r="A1772">
        <v>37</v>
      </c>
      <c r="B1772" t="str">
        <f>"3:25:40.379174"</f>
        <v>3:25:40.379174</v>
      </c>
      <c r="C1772">
        <v>-79</v>
      </c>
    </row>
    <row r="1773" spans="1:3" x14ac:dyDescent="0.25">
      <c r="A1773">
        <v>38</v>
      </c>
      <c r="B1773" t="str">
        <f>"3:25:40.379871"</f>
        <v>3:25:40.379871</v>
      </c>
      <c r="C1773">
        <v>-63</v>
      </c>
    </row>
    <row r="1774" spans="1:3" x14ac:dyDescent="0.25">
      <c r="A1774">
        <v>39</v>
      </c>
      <c r="B1774" t="str">
        <f>"3:25:40.380568"</f>
        <v>3:25:40.380568</v>
      </c>
      <c r="C1774">
        <v>-61</v>
      </c>
    </row>
    <row r="1775" spans="1:3" x14ac:dyDescent="0.25">
      <c r="A1775">
        <v>37</v>
      </c>
      <c r="B1775" t="str">
        <f>"3:25:41.627401"</f>
        <v>3:25:41.627401</v>
      </c>
      <c r="C1775">
        <v>-79</v>
      </c>
    </row>
    <row r="1776" spans="1:3" x14ac:dyDescent="0.25">
      <c r="A1776">
        <v>38</v>
      </c>
      <c r="B1776" t="str">
        <f>"3:25:41.628098"</f>
        <v>3:25:41.628098</v>
      </c>
      <c r="C1776">
        <v>-63</v>
      </c>
    </row>
    <row r="1777" spans="1:3" x14ac:dyDescent="0.25">
      <c r="A1777">
        <v>39</v>
      </c>
      <c r="B1777" t="str">
        <f>"3:25:41.628795"</f>
        <v>3:25:41.628795</v>
      </c>
      <c r="C1777">
        <v>-61</v>
      </c>
    </row>
    <row r="1778" spans="1:3" x14ac:dyDescent="0.25">
      <c r="A1778">
        <v>37</v>
      </c>
      <c r="B1778" t="str">
        <f>"3:25:42.871206"</f>
        <v>3:25:42.871206</v>
      </c>
      <c r="C1778">
        <v>-80</v>
      </c>
    </row>
    <row r="1779" spans="1:3" x14ac:dyDescent="0.25">
      <c r="A1779">
        <v>38</v>
      </c>
      <c r="B1779" t="str">
        <f>"3:25:42.871903"</f>
        <v>3:25:42.871903</v>
      </c>
      <c r="C1779">
        <v>-63</v>
      </c>
    </row>
    <row r="1780" spans="1:3" x14ac:dyDescent="0.25">
      <c r="A1780">
        <v>39</v>
      </c>
      <c r="B1780" t="str">
        <f>"3:25:42.872600"</f>
        <v>3:25:42.872600</v>
      </c>
      <c r="C1780">
        <v>-61</v>
      </c>
    </row>
    <row r="1781" spans="1:3" x14ac:dyDescent="0.25">
      <c r="A1781">
        <v>38</v>
      </c>
      <c r="B1781" t="str">
        <f>"3:25:44.112630"</f>
        <v>3:25:44.112630</v>
      </c>
      <c r="C1781">
        <v>-63</v>
      </c>
    </row>
    <row r="1782" spans="1:3" x14ac:dyDescent="0.25">
      <c r="A1782">
        <v>39</v>
      </c>
      <c r="B1782" t="str">
        <f>"3:25:44.113327"</f>
        <v>3:25:44.113327</v>
      </c>
      <c r="C1782">
        <v>-61</v>
      </c>
    </row>
    <row r="1783" spans="1:3" x14ac:dyDescent="0.25">
      <c r="A1783">
        <v>37</v>
      </c>
      <c r="B1783" t="str">
        <f>"3:25:45.403757"</f>
        <v>3:25:45.403757</v>
      </c>
      <c r="C1783">
        <v>-78</v>
      </c>
    </row>
    <row r="1784" spans="1:3" x14ac:dyDescent="0.25">
      <c r="A1784">
        <v>38</v>
      </c>
      <c r="B1784" t="str">
        <f>"3:25:45.404454"</f>
        <v>3:25:45.404454</v>
      </c>
      <c r="C1784">
        <v>-63</v>
      </c>
    </row>
    <row r="1785" spans="1:3" x14ac:dyDescent="0.25">
      <c r="A1785">
        <v>39</v>
      </c>
      <c r="B1785" t="str">
        <f>"3:25:45.405151"</f>
        <v>3:25:45.405151</v>
      </c>
      <c r="C1785">
        <v>-61</v>
      </c>
    </row>
    <row r="1786" spans="1:3" x14ac:dyDescent="0.25">
      <c r="A1786">
        <v>37</v>
      </c>
      <c r="B1786" t="str">
        <f>"3:25:46.614812"</f>
        <v>3:25:46.614812</v>
      </c>
      <c r="C1786">
        <v>-79</v>
      </c>
    </row>
    <row r="1787" spans="1:3" x14ac:dyDescent="0.25">
      <c r="A1787">
        <v>38</v>
      </c>
      <c r="B1787" t="str">
        <f>"3:25:46.615509"</f>
        <v>3:25:46.615509</v>
      </c>
      <c r="C1787">
        <v>-63</v>
      </c>
    </row>
    <row r="1788" spans="1:3" x14ac:dyDescent="0.25">
      <c r="A1788">
        <v>39</v>
      </c>
      <c r="B1788" t="str">
        <f>"3:25:46.616206"</f>
        <v>3:25:46.616206</v>
      </c>
      <c r="C1788">
        <v>-61</v>
      </c>
    </row>
    <row r="1789" spans="1:3" x14ac:dyDescent="0.25">
      <c r="A1789">
        <v>38</v>
      </c>
      <c r="B1789" t="str">
        <f>"3:25:49.101637"</f>
        <v>3:25:49.101637</v>
      </c>
      <c r="C1789">
        <v>-62</v>
      </c>
    </row>
    <row r="1790" spans="1:3" x14ac:dyDescent="0.25">
      <c r="A1790">
        <v>39</v>
      </c>
      <c r="B1790" t="str">
        <f>"3:25:49.102334"</f>
        <v>3:25:49.102334</v>
      </c>
      <c r="C1790">
        <v>-61</v>
      </c>
    </row>
    <row r="1791" spans="1:3" x14ac:dyDescent="0.25">
      <c r="A1791">
        <v>38</v>
      </c>
      <c r="B1791" t="str">
        <f>"3:25:50.349314"</f>
        <v>3:25:50.349314</v>
      </c>
      <c r="C1791">
        <v>-63</v>
      </c>
    </row>
    <row r="1792" spans="1:3" x14ac:dyDescent="0.25">
      <c r="A1792">
        <v>39</v>
      </c>
      <c r="B1792" t="str">
        <f>"3:25:50.350011"</f>
        <v>3:25:50.350011</v>
      </c>
      <c r="C1792">
        <v>-61</v>
      </c>
    </row>
    <row r="1793" spans="1:3" x14ac:dyDescent="0.25">
      <c r="A1793">
        <v>37</v>
      </c>
      <c r="B1793" t="str">
        <f>"3:25:51.593973"</f>
        <v>3:25:51.593973</v>
      </c>
      <c r="C1793">
        <v>-80</v>
      </c>
    </row>
    <row r="1794" spans="1:3" x14ac:dyDescent="0.25">
      <c r="A1794">
        <v>38</v>
      </c>
      <c r="B1794" t="str">
        <f>"3:25:51.594669"</f>
        <v>3:25:51.594669</v>
      </c>
      <c r="C1794">
        <v>-63</v>
      </c>
    </row>
    <row r="1795" spans="1:3" x14ac:dyDescent="0.25">
      <c r="A1795">
        <v>39</v>
      </c>
      <c r="B1795" t="str">
        <f>"3:25:51.595366"</f>
        <v>3:25:51.595366</v>
      </c>
      <c r="C1795">
        <v>-61</v>
      </c>
    </row>
    <row r="1796" spans="1:3" x14ac:dyDescent="0.25">
      <c r="A1796">
        <v>37</v>
      </c>
      <c r="B1796" t="str">
        <f>"3:25:52.845078"</f>
        <v>3:25:52.845078</v>
      </c>
      <c r="C1796">
        <v>-78</v>
      </c>
    </row>
    <row r="1797" spans="1:3" x14ac:dyDescent="0.25">
      <c r="A1797">
        <v>38</v>
      </c>
      <c r="B1797" t="str">
        <f>"3:25:52.845775"</f>
        <v>3:25:52.845775</v>
      </c>
      <c r="C1797">
        <v>-63</v>
      </c>
    </row>
    <row r="1798" spans="1:3" x14ac:dyDescent="0.25">
      <c r="A1798">
        <v>39</v>
      </c>
      <c r="B1798" t="str">
        <f>"3:25:52.846472"</f>
        <v>3:25:52.846472</v>
      </c>
      <c r="C1798">
        <v>-61</v>
      </c>
    </row>
    <row r="1799" spans="1:3" x14ac:dyDescent="0.25">
      <c r="A1799">
        <v>38</v>
      </c>
      <c r="B1799" t="str">
        <f>"3:25:54.088174"</f>
        <v>3:25:54.088174</v>
      </c>
      <c r="C1799">
        <v>-63</v>
      </c>
    </row>
    <row r="1800" spans="1:3" x14ac:dyDescent="0.25">
      <c r="A1800">
        <v>39</v>
      </c>
      <c r="B1800" t="str">
        <f>"3:25:54.088871"</f>
        <v>3:25:54.088871</v>
      </c>
      <c r="C1800">
        <v>-61</v>
      </c>
    </row>
    <row r="1801" spans="1:3" x14ac:dyDescent="0.25">
      <c r="A1801">
        <v>37</v>
      </c>
      <c r="B1801" t="str">
        <f>"3:25:55.332404"</f>
        <v>3:25:55.332404</v>
      </c>
      <c r="C1801">
        <v>-79</v>
      </c>
    </row>
    <row r="1802" spans="1:3" x14ac:dyDescent="0.25">
      <c r="A1802">
        <v>38</v>
      </c>
      <c r="B1802" t="str">
        <f>"3:25:55.333101"</f>
        <v>3:25:55.333101</v>
      </c>
      <c r="C1802">
        <v>-63</v>
      </c>
    </row>
    <row r="1803" spans="1:3" x14ac:dyDescent="0.25">
      <c r="A1803">
        <v>39</v>
      </c>
      <c r="B1803" t="str">
        <f>"3:25:55.333798"</f>
        <v>3:25:55.333798</v>
      </c>
      <c r="C1803">
        <v>-61</v>
      </c>
    </row>
    <row r="1804" spans="1:3" x14ac:dyDescent="0.25">
      <c r="A1804">
        <v>38</v>
      </c>
      <c r="B1804" t="str">
        <f>"3:25:56.576578"</f>
        <v>3:25:56.576578</v>
      </c>
      <c r="C1804">
        <v>-63</v>
      </c>
    </row>
    <row r="1805" spans="1:3" x14ac:dyDescent="0.25">
      <c r="A1805">
        <v>39</v>
      </c>
      <c r="B1805" t="str">
        <f>"3:25:56.577275"</f>
        <v>3:25:56.577275</v>
      </c>
      <c r="C1805">
        <v>-61</v>
      </c>
    </row>
    <row r="1806" spans="1:3" x14ac:dyDescent="0.25">
      <c r="A1806">
        <v>37</v>
      </c>
      <c r="B1806" t="str">
        <f>"3:25:57.819308"</f>
        <v>3:25:57.819308</v>
      </c>
      <c r="C1806">
        <v>-79</v>
      </c>
    </row>
    <row r="1807" spans="1:3" x14ac:dyDescent="0.25">
      <c r="A1807">
        <v>38</v>
      </c>
      <c r="B1807" t="str">
        <f>"3:25:57.820005"</f>
        <v>3:25:57.820005</v>
      </c>
      <c r="C1807">
        <v>-63</v>
      </c>
    </row>
    <row r="1808" spans="1:3" x14ac:dyDescent="0.25">
      <c r="A1808">
        <v>39</v>
      </c>
      <c r="B1808" t="str">
        <f>"3:25:57.820702"</f>
        <v>3:25:57.820702</v>
      </c>
      <c r="C1808">
        <v>-61</v>
      </c>
    </row>
    <row r="1809" spans="1:3" x14ac:dyDescent="0.25">
      <c r="A1809">
        <v>37</v>
      </c>
      <c r="B1809" t="str">
        <f>"3:25:59.083586"</f>
        <v>3:25:59.083586</v>
      </c>
      <c r="C1809">
        <v>-78</v>
      </c>
    </row>
    <row r="1810" spans="1:3" x14ac:dyDescent="0.25">
      <c r="A1810">
        <v>38</v>
      </c>
      <c r="B1810" t="str">
        <f>"3:25:59.084283"</f>
        <v>3:25:59.084283</v>
      </c>
      <c r="C1810">
        <v>-63</v>
      </c>
    </row>
    <row r="1811" spans="1:3" x14ac:dyDescent="0.25">
      <c r="A1811">
        <v>39</v>
      </c>
      <c r="B1811" t="str">
        <f>"3:25:59.084981"</f>
        <v>3:25:59.084981</v>
      </c>
      <c r="C1811">
        <v>-61</v>
      </c>
    </row>
    <row r="1812" spans="1:3" x14ac:dyDescent="0.25">
      <c r="A1812">
        <v>38</v>
      </c>
      <c r="B1812" t="str">
        <f>"3:26:01.547159"</f>
        <v>3:26:01.547159</v>
      </c>
      <c r="C1812">
        <v>-63</v>
      </c>
    </row>
    <row r="1813" spans="1:3" x14ac:dyDescent="0.25">
      <c r="A1813">
        <v>39</v>
      </c>
      <c r="B1813" t="str">
        <f>"3:26:01.547856"</f>
        <v>3:26:01.547856</v>
      </c>
      <c r="C1813">
        <v>-61</v>
      </c>
    </row>
    <row r="1814" spans="1:3" x14ac:dyDescent="0.25">
      <c r="A1814">
        <v>38</v>
      </c>
      <c r="B1814" t="str">
        <f>"3:26:02.794290"</f>
        <v>3:26:02.794290</v>
      </c>
      <c r="C1814">
        <v>-63</v>
      </c>
    </row>
    <row r="1815" spans="1:3" x14ac:dyDescent="0.25">
      <c r="A1815">
        <v>39</v>
      </c>
      <c r="B1815" t="str">
        <f>"3:26:02.794987"</f>
        <v>3:26:02.794987</v>
      </c>
      <c r="C1815">
        <v>-61</v>
      </c>
    </row>
    <row r="1816" spans="1:3" x14ac:dyDescent="0.25">
      <c r="A1816">
        <v>37</v>
      </c>
      <c r="B1816" t="str">
        <f>"3:26:04.040223"</f>
        <v>3:26:04.040223</v>
      </c>
      <c r="C1816">
        <v>-81</v>
      </c>
    </row>
    <row r="1817" spans="1:3" x14ac:dyDescent="0.25">
      <c r="A1817">
        <v>38</v>
      </c>
      <c r="B1817" t="str">
        <f>"3:26:04.040920"</f>
        <v>3:26:04.040920</v>
      </c>
      <c r="C1817">
        <v>-63</v>
      </c>
    </row>
    <row r="1818" spans="1:3" x14ac:dyDescent="0.25">
      <c r="A1818">
        <v>39</v>
      </c>
      <c r="B1818" t="str">
        <f>"3:26:04.041617"</f>
        <v>3:26:04.041617</v>
      </c>
      <c r="C1818">
        <v>-61</v>
      </c>
    </row>
    <row r="1819" spans="1:3" x14ac:dyDescent="0.25">
      <c r="A1819">
        <v>37</v>
      </c>
      <c r="B1819" t="str">
        <f>"3:26:05.319135"</f>
        <v>3:26:05.319135</v>
      </c>
      <c r="C1819">
        <v>-80</v>
      </c>
    </row>
    <row r="1820" spans="1:3" x14ac:dyDescent="0.25">
      <c r="A1820">
        <v>38</v>
      </c>
      <c r="B1820" t="str">
        <f>"3:26:05.319832"</f>
        <v>3:26:05.319832</v>
      </c>
      <c r="C1820">
        <v>-63</v>
      </c>
    </row>
    <row r="1821" spans="1:3" x14ac:dyDescent="0.25">
      <c r="A1821">
        <v>39</v>
      </c>
      <c r="B1821" t="str">
        <f>"3:26:05.320529"</f>
        <v>3:26:05.320529</v>
      </c>
      <c r="C1821">
        <v>-61</v>
      </c>
    </row>
    <row r="1822" spans="1:3" x14ac:dyDescent="0.25">
      <c r="A1822">
        <v>37</v>
      </c>
      <c r="B1822" t="str">
        <f>"3:26:06.520151"</f>
        <v>3:26:06.520151</v>
      </c>
      <c r="C1822">
        <v>-80</v>
      </c>
    </row>
    <row r="1823" spans="1:3" x14ac:dyDescent="0.25">
      <c r="A1823">
        <v>38</v>
      </c>
      <c r="B1823" t="str">
        <f>"3:26:06.520848"</f>
        <v>3:26:06.520848</v>
      </c>
      <c r="C1823">
        <v>-63</v>
      </c>
    </row>
    <row r="1824" spans="1:3" x14ac:dyDescent="0.25">
      <c r="A1824">
        <v>39</v>
      </c>
      <c r="B1824" t="str">
        <f>"3:26:06.521545"</f>
        <v>3:26:06.521545</v>
      </c>
      <c r="C1824">
        <v>-61</v>
      </c>
    </row>
    <row r="1825" spans="1:3" x14ac:dyDescent="0.25">
      <c r="A1825">
        <v>37</v>
      </c>
      <c r="B1825" t="str">
        <f>"3:26:07.790156"</f>
        <v>3:26:07.790156</v>
      </c>
      <c r="C1825">
        <v>-79</v>
      </c>
    </row>
    <row r="1826" spans="1:3" x14ac:dyDescent="0.25">
      <c r="A1826">
        <v>38</v>
      </c>
      <c r="B1826" t="str">
        <f>"3:26:07.790853"</f>
        <v>3:26:07.790853</v>
      </c>
      <c r="C1826">
        <v>-63</v>
      </c>
    </row>
    <row r="1827" spans="1:3" x14ac:dyDescent="0.25">
      <c r="A1827">
        <v>39</v>
      </c>
      <c r="B1827" t="str">
        <f>"3:26:07.791550"</f>
        <v>3:26:07.791550</v>
      </c>
      <c r="C1827">
        <v>-61</v>
      </c>
    </row>
    <row r="1828" spans="1:3" x14ac:dyDescent="0.25">
      <c r="A1828">
        <v>37</v>
      </c>
      <c r="B1828" t="str">
        <f>"3:26:09.018530"</f>
        <v>3:26:09.018530</v>
      </c>
      <c r="C1828">
        <v>-79</v>
      </c>
    </row>
    <row r="1829" spans="1:3" x14ac:dyDescent="0.25">
      <c r="A1829">
        <v>38</v>
      </c>
      <c r="B1829" t="str">
        <f>"3:26:09.019227"</f>
        <v>3:26:09.019227</v>
      </c>
      <c r="C1829">
        <v>-63</v>
      </c>
    </row>
    <row r="1830" spans="1:3" x14ac:dyDescent="0.25">
      <c r="A1830">
        <v>39</v>
      </c>
      <c r="B1830" t="str">
        <f>"3:26:09.019924"</f>
        <v>3:26:09.019924</v>
      </c>
      <c r="C1830">
        <v>-61</v>
      </c>
    </row>
    <row r="1831" spans="1:3" x14ac:dyDescent="0.25">
      <c r="A1831">
        <v>37</v>
      </c>
      <c r="B1831" t="str">
        <f>"3:26:10.266007"</f>
        <v>3:26:10.266007</v>
      </c>
      <c r="C1831">
        <v>-79</v>
      </c>
    </row>
    <row r="1832" spans="1:3" x14ac:dyDescent="0.25">
      <c r="A1832">
        <v>39</v>
      </c>
      <c r="B1832" t="str">
        <f>"3:26:10.267401"</f>
        <v>3:26:10.267401</v>
      </c>
      <c r="C1832">
        <v>-61</v>
      </c>
    </row>
    <row r="1833" spans="1:3" x14ac:dyDescent="0.25">
      <c r="A1833">
        <v>37</v>
      </c>
      <c r="B1833" t="str">
        <f>"3:26:11.511584"</f>
        <v>3:26:11.511584</v>
      </c>
      <c r="C1833">
        <v>-81</v>
      </c>
    </row>
    <row r="1834" spans="1:3" x14ac:dyDescent="0.25">
      <c r="A1834">
        <v>38</v>
      </c>
      <c r="B1834" t="str">
        <f>"3:26:11.512281"</f>
        <v>3:26:11.512281</v>
      </c>
      <c r="C1834">
        <v>-63</v>
      </c>
    </row>
    <row r="1835" spans="1:3" x14ac:dyDescent="0.25">
      <c r="A1835">
        <v>39</v>
      </c>
      <c r="B1835" t="str">
        <f>"3:26:11.512978"</f>
        <v>3:26:11.512978</v>
      </c>
      <c r="C1835">
        <v>-61</v>
      </c>
    </row>
    <row r="1836" spans="1:3" x14ac:dyDescent="0.25">
      <c r="A1836">
        <v>37</v>
      </c>
      <c r="B1836" t="str">
        <f>"3:26:12.755811"</f>
        <v>3:26:12.755811</v>
      </c>
      <c r="C1836">
        <v>-79</v>
      </c>
    </row>
    <row r="1837" spans="1:3" x14ac:dyDescent="0.25">
      <c r="A1837">
        <v>38</v>
      </c>
      <c r="B1837" t="str">
        <f>"3:26:12.756508"</f>
        <v>3:26:12.756508</v>
      </c>
      <c r="C1837">
        <v>-63</v>
      </c>
    </row>
    <row r="1838" spans="1:3" x14ac:dyDescent="0.25">
      <c r="A1838">
        <v>39</v>
      </c>
      <c r="B1838" t="str">
        <f>"3:26:12.757205"</f>
        <v>3:26:12.757205</v>
      </c>
      <c r="C1838">
        <v>-61</v>
      </c>
    </row>
    <row r="1839" spans="1:3" x14ac:dyDescent="0.25">
      <c r="A1839">
        <v>38</v>
      </c>
      <c r="B1839" t="str">
        <f>"3:26:13.992863"</f>
        <v>3:26:13.992863</v>
      </c>
      <c r="C1839">
        <v>-62</v>
      </c>
    </row>
    <row r="1840" spans="1:3" x14ac:dyDescent="0.25">
      <c r="A1840">
        <v>39</v>
      </c>
      <c r="B1840" t="str">
        <f>"3:26:13.993560"</f>
        <v>3:26:13.993560</v>
      </c>
      <c r="C1840">
        <v>-60</v>
      </c>
    </row>
    <row r="1841" spans="1:3" x14ac:dyDescent="0.25">
      <c r="A1841">
        <v>37</v>
      </c>
      <c r="B1841" t="str">
        <f>"3:26:15.250321"</f>
        <v>3:26:15.250321</v>
      </c>
      <c r="C1841">
        <v>-79</v>
      </c>
    </row>
    <row r="1842" spans="1:3" x14ac:dyDescent="0.25">
      <c r="A1842">
        <v>38</v>
      </c>
      <c r="B1842" t="str">
        <f>"3:26:15.251018"</f>
        <v>3:26:15.251018</v>
      </c>
      <c r="C1842">
        <v>-63</v>
      </c>
    </row>
    <row r="1843" spans="1:3" x14ac:dyDescent="0.25">
      <c r="A1843">
        <v>39</v>
      </c>
      <c r="B1843" t="str">
        <f>"3:26:15.251715"</f>
        <v>3:26:15.251715</v>
      </c>
      <c r="C1843">
        <v>-61</v>
      </c>
    </row>
    <row r="1844" spans="1:3" x14ac:dyDescent="0.25">
      <c r="A1844">
        <v>37</v>
      </c>
      <c r="B1844" t="str">
        <f>"3:26:16.477966"</f>
        <v>3:26:16.477966</v>
      </c>
      <c r="C1844">
        <v>-79</v>
      </c>
    </row>
    <row r="1845" spans="1:3" x14ac:dyDescent="0.25">
      <c r="A1845">
        <v>38</v>
      </c>
      <c r="B1845" t="str">
        <f>"3:26:16.478663"</f>
        <v>3:26:16.478663</v>
      </c>
      <c r="C1845">
        <v>-63</v>
      </c>
    </row>
    <row r="1846" spans="1:3" x14ac:dyDescent="0.25">
      <c r="A1846">
        <v>39</v>
      </c>
      <c r="B1846" t="str">
        <f>"3:26:16.479360"</f>
        <v>3:26:16.479360</v>
      </c>
      <c r="C1846">
        <v>-62</v>
      </c>
    </row>
    <row r="1847" spans="1:3" x14ac:dyDescent="0.25">
      <c r="A1847">
        <v>37</v>
      </c>
      <c r="B1847" t="str">
        <f>"3:26:17.736700"</f>
        <v>3:26:17.736700</v>
      </c>
      <c r="C1847">
        <v>-78</v>
      </c>
    </row>
    <row r="1848" spans="1:3" x14ac:dyDescent="0.25">
      <c r="A1848">
        <v>38</v>
      </c>
      <c r="B1848" t="str">
        <f>"3:26:17.737397"</f>
        <v>3:26:17.737397</v>
      </c>
      <c r="C1848">
        <v>-63</v>
      </c>
    </row>
    <row r="1849" spans="1:3" x14ac:dyDescent="0.25">
      <c r="A1849">
        <v>39</v>
      </c>
      <c r="B1849" t="str">
        <f>"3:26:17.738094"</f>
        <v>3:26:17.738094</v>
      </c>
      <c r="C1849">
        <v>-61</v>
      </c>
    </row>
    <row r="1850" spans="1:3" x14ac:dyDescent="0.25">
      <c r="A1850">
        <v>37</v>
      </c>
      <c r="B1850" t="str">
        <f>"3:26:18.971045"</f>
        <v>3:26:18.971045</v>
      </c>
      <c r="C1850">
        <v>-79</v>
      </c>
    </row>
    <row r="1851" spans="1:3" x14ac:dyDescent="0.25">
      <c r="A1851">
        <v>37</v>
      </c>
      <c r="B1851" t="str">
        <f>"3:26:18.971548"</f>
        <v>3:26:18.971548</v>
      </c>
      <c r="C1851">
        <v>-65</v>
      </c>
    </row>
    <row r="1852" spans="1:3" x14ac:dyDescent="0.25">
      <c r="A1852">
        <v>38</v>
      </c>
      <c r="B1852" t="str">
        <f>"3:26:18.972002"</f>
        <v>3:26:18.972002</v>
      </c>
      <c r="C1852">
        <v>-63</v>
      </c>
    </row>
    <row r="1853" spans="1:3" x14ac:dyDescent="0.25">
      <c r="A1853">
        <v>39</v>
      </c>
      <c r="B1853" t="str">
        <f>"3:26:18.972699"</f>
        <v>3:26:18.972699</v>
      </c>
      <c r="C1853">
        <v>-61</v>
      </c>
    </row>
    <row r="1854" spans="1:3" x14ac:dyDescent="0.25">
      <c r="A1854">
        <v>37</v>
      </c>
      <c r="B1854" t="str">
        <f>"3:26:20.210796"</f>
        <v>3:26:20.210796</v>
      </c>
      <c r="C1854">
        <v>-78</v>
      </c>
    </row>
    <row r="1855" spans="1:3" x14ac:dyDescent="0.25">
      <c r="A1855">
        <v>38</v>
      </c>
      <c r="B1855" t="str">
        <f>"3:26:20.211493"</f>
        <v>3:26:20.211493</v>
      </c>
      <c r="C1855">
        <v>-63</v>
      </c>
    </row>
    <row r="1856" spans="1:3" x14ac:dyDescent="0.25">
      <c r="A1856">
        <v>39</v>
      </c>
      <c r="B1856" t="str">
        <f>"3:26:20.212190"</f>
        <v>3:26:20.212190</v>
      </c>
      <c r="C1856">
        <v>-61</v>
      </c>
    </row>
    <row r="1857" spans="1:3" x14ac:dyDescent="0.25">
      <c r="A1857">
        <v>37</v>
      </c>
      <c r="B1857" t="str">
        <f>"3:26:21.463873"</f>
        <v>3:26:21.463873</v>
      </c>
      <c r="C1857">
        <v>-79</v>
      </c>
    </row>
    <row r="1858" spans="1:3" x14ac:dyDescent="0.25">
      <c r="A1858">
        <v>38</v>
      </c>
      <c r="B1858" t="str">
        <f>"3:26:21.464570"</f>
        <v>3:26:21.464570</v>
      </c>
      <c r="C1858">
        <v>-63</v>
      </c>
    </row>
    <row r="1859" spans="1:3" x14ac:dyDescent="0.25">
      <c r="A1859">
        <v>39</v>
      </c>
      <c r="B1859" t="str">
        <f>"3:26:21.465267"</f>
        <v>3:26:21.465267</v>
      </c>
      <c r="C1859">
        <v>-61</v>
      </c>
    </row>
    <row r="1860" spans="1:3" x14ac:dyDescent="0.25">
      <c r="A1860">
        <v>37</v>
      </c>
      <c r="B1860" t="str">
        <f>"3:26:22.706450"</f>
        <v>3:26:22.706450</v>
      </c>
      <c r="C1860">
        <v>-79</v>
      </c>
    </row>
    <row r="1861" spans="1:3" x14ac:dyDescent="0.25">
      <c r="A1861">
        <v>38</v>
      </c>
      <c r="B1861" t="str">
        <f>"3:26:22.707147"</f>
        <v>3:26:22.707147</v>
      </c>
      <c r="C1861">
        <v>-63</v>
      </c>
    </row>
    <row r="1862" spans="1:3" x14ac:dyDescent="0.25">
      <c r="A1862">
        <v>39</v>
      </c>
      <c r="B1862" t="str">
        <f>"3:26:22.707844"</f>
        <v>3:26:22.707844</v>
      </c>
      <c r="C1862">
        <v>-61</v>
      </c>
    </row>
    <row r="1863" spans="1:3" x14ac:dyDescent="0.25">
      <c r="A1863">
        <v>37</v>
      </c>
      <c r="B1863" t="str">
        <f>"3:26:23.976834"</f>
        <v>3:26:23.976834</v>
      </c>
      <c r="C1863">
        <v>-78</v>
      </c>
    </row>
    <row r="1864" spans="1:3" x14ac:dyDescent="0.25">
      <c r="A1864">
        <v>38</v>
      </c>
      <c r="B1864" t="str">
        <f>"3:26:23.977531"</f>
        <v>3:26:23.977531</v>
      </c>
      <c r="C1864">
        <v>-63</v>
      </c>
    </row>
    <row r="1865" spans="1:3" x14ac:dyDescent="0.25">
      <c r="A1865">
        <v>39</v>
      </c>
      <c r="B1865" t="str">
        <f>"3:26:23.978228"</f>
        <v>3:26:23.978228</v>
      </c>
      <c r="C1865">
        <v>-61</v>
      </c>
    </row>
    <row r="1866" spans="1:3" x14ac:dyDescent="0.25">
      <c r="A1866">
        <v>38</v>
      </c>
      <c r="B1866" t="str">
        <f>"3:26:25.205657"</f>
        <v>3:26:25.205657</v>
      </c>
      <c r="C1866">
        <v>-63</v>
      </c>
    </row>
    <row r="1867" spans="1:3" x14ac:dyDescent="0.25">
      <c r="A1867">
        <v>39</v>
      </c>
      <c r="B1867" t="str">
        <f>"3:26:25.206354"</f>
        <v>3:26:25.206354</v>
      </c>
      <c r="C1867">
        <v>-61</v>
      </c>
    </row>
    <row r="1868" spans="1:3" x14ac:dyDescent="0.25">
      <c r="A1868">
        <v>37</v>
      </c>
      <c r="B1868" t="str">
        <f>"3:26:26.454342"</f>
        <v>3:26:26.454342</v>
      </c>
      <c r="C1868">
        <v>-79</v>
      </c>
    </row>
    <row r="1869" spans="1:3" x14ac:dyDescent="0.25">
      <c r="A1869">
        <v>38</v>
      </c>
      <c r="B1869" t="str">
        <f>"3:26:26.455039"</f>
        <v>3:26:26.455039</v>
      </c>
      <c r="C1869">
        <v>-63</v>
      </c>
    </row>
    <row r="1870" spans="1:3" x14ac:dyDescent="0.25">
      <c r="A1870">
        <v>39</v>
      </c>
      <c r="B1870" t="str">
        <f>"3:26:26.455736"</f>
        <v>3:26:26.455736</v>
      </c>
      <c r="C1870">
        <v>-61</v>
      </c>
    </row>
    <row r="1871" spans="1:3" x14ac:dyDescent="0.25">
      <c r="A1871">
        <v>37</v>
      </c>
      <c r="B1871" t="str">
        <f>"3:26:28.927179"</f>
        <v>3:26:28.927179</v>
      </c>
      <c r="C1871">
        <v>-78</v>
      </c>
    </row>
    <row r="1872" spans="1:3" x14ac:dyDescent="0.25">
      <c r="A1872">
        <v>38</v>
      </c>
      <c r="B1872" t="str">
        <f>"3:26:28.927876"</f>
        <v>3:26:28.927876</v>
      </c>
      <c r="C1872">
        <v>-63</v>
      </c>
    </row>
    <row r="1873" spans="1:3" x14ac:dyDescent="0.25">
      <c r="A1873">
        <v>39</v>
      </c>
      <c r="B1873" t="str">
        <f>"3:26:28.928573"</f>
        <v>3:26:28.928573</v>
      </c>
      <c r="C1873">
        <v>-61</v>
      </c>
    </row>
    <row r="1874" spans="1:3" x14ac:dyDescent="0.25">
      <c r="A1874">
        <v>37</v>
      </c>
      <c r="B1874" t="str">
        <f>"3:26:30.177184"</f>
        <v>3:26:30.177184</v>
      </c>
      <c r="C1874">
        <v>-79</v>
      </c>
    </row>
    <row r="1875" spans="1:3" x14ac:dyDescent="0.25">
      <c r="A1875">
        <v>38</v>
      </c>
      <c r="B1875" t="str">
        <f>"3:26:30.177881"</f>
        <v>3:26:30.177881</v>
      </c>
      <c r="C1875">
        <v>-63</v>
      </c>
    </row>
    <row r="1876" spans="1:3" x14ac:dyDescent="0.25">
      <c r="A1876">
        <v>39</v>
      </c>
      <c r="B1876" t="str">
        <f>"3:26:30.178578"</f>
        <v>3:26:30.178578</v>
      </c>
      <c r="C1876">
        <v>-61</v>
      </c>
    </row>
    <row r="1877" spans="1:3" x14ac:dyDescent="0.25">
      <c r="A1877">
        <v>38</v>
      </c>
      <c r="B1877" t="str">
        <f>"3:26:31.422848"</f>
        <v>3:26:31.422848</v>
      </c>
      <c r="C1877">
        <v>-63</v>
      </c>
    </row>
    <row r="1878" spans="1:3" x14ac:dyDescent="0.25">
      <c r="A1878">
        <v>39</v>
      </c>
      <c r="B1878" t="str">
        <f>"3:26:31.423545"</f>
        <v>3:26:31.423545</v>
      </c>
      <c r="C1878">
        <v>-61</v>
      </c>
    </row>
    <row r="1879" spans="1:3" x14ac:dyDescent="0.25">
      <c r="A1879">
        <v>38</v>
      </c>
      <c r="B1879" t="str">
        <f>"3:26:32.664876"</f>
        <v>3:26:32.664876</v>
      </c>
      <c r="C1879">
        <v>-63</v>
      </c>
    </row>
    <row r="1880" spans="1:3" x14ac:dyDescent="0.25">
      <c r="A1880">
        <v>39</v>
      </c>
      <c r="B1880" t="str">
        <f>"3:26:32.665573"</f>
        <v>3:26:32.665573</v>
      </c>
      <c r="C1880">
        <v>-61</v>
      </c>
    </row>
    <row r="1881" spans="1:3" x14ac:dyDescent="0.25">
      <c r="A1881">
        <v>38</v>
      </c>
      <c r="B1881" t="str">
        <f>"3:26:33.911496"</f>
        <v>3:26:33.911496</v>
      </c>
      <c r="C1881">
        <v>-61</v>
      </c>
    </row>
    <row r="1882" spans="1:3" x14ac:dyDescent="0.25">
      <c r="A1882">
        <v>37</v>
      </c>
      <c r="B1882" t="str">
        <f>"3:26:35.147685"</f>
        <v>3:26:35.147685</v>
      </c>
      <c r="C1882">
        <v>-78</v>
      </c>
    </row>
    <row r="1883" spans="1:3" x14ac:dyDescent="0.25">
      <c r="A1883">
        <v>38</v>
      </c>
      <c r="B1883" t="str">
        <f>"3:26:35.148382"</f>
        <v>3:26:35.148382</v>
      </c>
      <c r="C1883">
        <v>-63</v>
      </c>
    </row>
    <row r="1884" spans="1:3" x14ac:dyDescent="0.25">
      <c r="A1884">
        <v>39</v>
      </c>
      <c r="B1884" t="str">
        <f>"3:26:35.149079"</f>
        <v>3:26:35.149079</v>
      </c>
      <c r="C1884">
        <v>-61</v>
      </c>
    </row>
    <row r="1885" spans="1:3" x14ac:dyDescent="0.25">
      <c r="A1885">
        <v>37</v>
      </c>
      <c r="B1885" t="str">
        <f>"3:26:36.434367"</f>
        <v>3:26:36.434367</v>
      </c>
      <c r="C1885">
        <v>-76</v>
      </c>
    </row>
    <row r="1886" spans="1:3" x14ac:dyDescent="0.25">
      <c r="A1886">
        <v>38</v>
      </c>
      <c r="B1886" t="str">
        <f>"3:26:36.435064"</f>
        <v>3:26:36.435064</v>
      </c>
      <c r="C1886">
        <v>-63</v>
      </c>
    </row>
    <row r="1887" spans="1:3" x14ac:dyDescent="0.25">
      <c r="A1887">
        <v>39</v>
      </c>
      <c r="B1887" t="str">
        <f>"3:26:36.435761"</f>
        <v>3:26:36.435761</v>
      </c>
      <c r="C1887">
        <v>-61</v>
      </c>
    </row>
    <row r="1888" spans="1:3" x14ac:dyDescent="0.25">
      <c r="A1888">
        <v>37</v>
      </c>
      <c r="B1888" t="str">
        <f>"3:26:37.642966"</f>
        <v>3:26:37.642966</v>
      </c>
      <c r="C1888">
        <v>-79</v>
      </c>
    </row>
    <row r="1889" spans="1:3" x14ac:dyDescent="0.25">
      <c r="A1889">
        <v>38</v>
      </c>
      <c r="B1889" t="str">
        <f>"3:26:37.643663"</f>
        <v>3:26:37.643663</v>
      </c>
      <c r="C1889">
        <v>-63</v>
      </c>
    </row>
    <row r="1890" spans="1:3" x14ac:dyDescent="0.25">
      <c r="A1890">
        <v>39</v>
      </c>
      <c r="B1890" t="str">
        <f>"3:26:37.644360"</f>
        <v>3:26:37.644360</v>
      </c>
      <c r="C1890">
        <v>-61</v>
      </c>
    </row>
    <row r="1891" spans="1:3" x14ac:dyDescent="0.25">
      <c r="A1891">
        <v>38</v>
      </c>
      <c r="B1891" t="str">
        <f>"3:26:38.889968"</f>
        <v>3:26:38.889968</v>
      </c>
      <c r="C1891">
        <v>-63</v>
      </c>
    </row>
    <row r="1892" spans="1:3" x14ac:dyDescent="0.25">
      <c r="A1892">
        <v>39</v>
      </c>
      <c r="B1892" t="str">
        <f>"3:26:38.890665"</f>
        <v>3:26:38.890665</v>
      </c>
      <c r="C1892">
        <v>-61</v>
      </c>
    </row>
    <row r="1893" spans="1:3" x14ac:dyDescent="0.25">
      <c r="A1893">
        <v>37</v>
      </c>
      <c r="B1893" t="str">
        <f>"3:26:40.135699"</f>
        <v>3:26:40.135699</v>
      </c>
      <c r="C1893">
        <v>-79</v>
      </c>
    </row>
    <row r="1894" spans="1:3" x14ac:dyDescent="0.25">
      <c r="A1894">
        <v>38</v>
      </c>
      <c r="B1894" t="str">
        <f>"3:26:40.136396"</f>
        <v>3:26:40.136396</v>
      </c>
      <c r="C1894">
        <v>-63</v>
      </c>
    </row>
    <row r="1895" spans="1:3" x14ac:dyDescent="0.25">
      <c r="A1895">
        <v>39</v>
      </c>
      <c r="B1895" t="str">
        <f>"3:26:40.137093"</f>
        <v>3:26:40.137093</v>
      </c>
      <c r="C1895">
        <v>-61</v>
      </c>
    </row>
    <row r="1896" spans="1:3" x14ac:dyDescent="0.25">
      <c r="A1896">
        <v>37</v>
      </c>
      <c r="B1896" t="str">
        <f>"3:26:41.381176"</f>
        <v>3:26:41.381176</v>
      </c>
      <c r="C1896">
        <v>-78</v>
      </c>
    </row>
    <row r="1897" spans="1:3" x14ac:dyDescent="0.25">
      <c r="A1897">
        <v>38</v>
      </c>
      <c r="B1897" t="str">
        <f>"3:26:41.381873"</f>
        <v>3:26:41.381873</v>
      </c>
      <c r="C1897">
        <v>-63</v>
      </c>
    </row>
    <row r="1898" spans="1:3" x14ac:dyDescent="0.25">
      <c r="A1898">
        <v>39</v>
      </c>
      <c r="B1898" t="str">
        <f>"3:26:41.382570"</f>
        <v>3:26:41.382570</v>
      </c>
      <c r="C1898">
        <v>-61</v>
      </c>
    </row>
    <row r="1899" spans="1:3" x14ac:dyDescent="0.25">
      <c r="A1899">
        <v>37</v>
      </c>
      <c r="B1899" t="str">
        <f>"3:26:42.649839"</f>
        <v>3:26:42.649839</v>
      </c>
      <c r="C1899">
        <v>-78</v>
      </c>
    </row>
    <row r="1900" spans="1:3" x14ac:dyDescent="0.25">
      <c r="A1900">
        <v>38</v>
      </c>
      <c r="B1900" t="str">
        <f>"3:26:42.650536"</f>
        <v>3:26:42.650536</v>
      </c>
      <c r="C1900">
        <v>-63</v>
      </c>
    </row>
    <row r="1901" spans="1:3" x14ac:dyDescent="0.25">
      <c r="A1901">
        <v>39</v>
      </c>
      <c r="B1901" t="str">
        <f>"3:26:42.651233"</f>
        <v>3:26:42.651233</v>
      </c>
      <c r="C1901">
        <v>-61</v>
      </c>
    </row>
    <row r="1902" spans="1:3" x14ac:dyDescent="0.25">
      <c r="A1902">
        <v>38</v>
      </c>
      <c r="B1902" t="str">
        <f>"3:26:43.870801"</f>
        <v>3:26:43.870801</v>
      </c>
      <c r="C1902">
        <v>-63</v>
      </c>
    </row>
    <row r="1903" spans="1:3" x14ac:dyDescent="0.25">
      <c r="A1903">
        <v>39</v>
      </c>
      <c r="B1903" t="str">
        <f>"3:26:43.871498"</f>
        <v>3:26:43.871498</v>
      </c>
      <c r="C1903">
        <v>-61</v>
      </c>
    </row>
    <row r="1904" spans="1:3" x14ac:dyDescent="0.25">
      <c r="A1904">
        <v>37</v>
      </c>
      <c r="B1904" t="str">
        <f>"3:26:45.150461"</f>
        <v>3:26:45.150461</v>
      </c>
      <c r="C1904">
        <v>-78</v>
      </c>
    </row>
    <row r="1905" spans="1:3" x14ac:dyDescent="0.25">
      <c r="A1905">
        <v>38</v>
      </c>
      <c r="B1905" t="str">
        <f>"3:26:45.151158"</f>
        <v>3:26:45.151158</v>
      </c>
      <c r="C1905">
        <v>-63</v>
      </c>
    </row>
    <row r="1906" spans="1:3" x14ac:dyDescent="0.25">
      <c r="A1906">
        <v>39</v>
      </c>
      <c r="B1906" t="str">
        <f>"3:26:45.151855"</f>
        <v>3:26:45.151855</v>
      </c>
      <c r="C1906">
        <v>-61</v>
      </c>
    </row>
    <row r="1907" spans="1:3" x14ac:dyDescent="0.25">
      <c r="A1907">
        <v>37</v>
      </c>
      <c r="B1907" t="str">
        <f>"3:26:46.357410"</f>
        <v>3:26:46.357410</v>
      </c>
      <c r="C1907">
        <v>-78</v>
      </c>
    </row>
    <row r="1908" spans="1:3" x14ac:dyDescent="0.25">
      <c r="A1908">
        <v>38</v>
      </c>
      <c r="B1908" t="str">
        <f>"3:26:46.358107"</f>
        <v>3:26:46.358107</v>
      </c>
      <c r="C1908">
        <v>-63</v>
      </c>
    </row>
    <row r="1909" spans="1:3" x14ac:dyDescent="0.25">
      <c r="A1909">
        <v>39</v>
      </c>
      <c r="B1909" t="str">
        <f>"3:26:46.358804"</f>
        <v>3:26:46.358804</v>
      </c>
      <c r="C1909">
        <v>-61</v>
      </c>
    </row>
    <row r="1910" spans="1:3" x14ac:dyDescent="0.25">
      <c r="A1910">
        <v>38</v>
      </c>
      <c r="B1910" t="str">
        <f>"3:26:47.634440"</f>
        <v>3:26:47.634440</v>
      </c>
      <c r="C1910">
        <v>-63</v>
      </c>
    </row>
    <row r="1911" spans="1:3" x14ac:dyDescent="0.25">
      <c r="A1911">
        <v>39</v>
      </c>
      <c r="B1911" t="str">
        <f>"3:26:47.635137"</f>
        <v>3:26:47.635137</v>
      </c>
      <c r="C1911">
        <v>-61</v>
      </c>
    </row>
    <row r="1912" spans="1:3" x14ac:dyDescent="0.25">
      <c r="A1912">
        <v>38</v>
      </c>
      <c r="B1912" t="str">
        <f>"3:26:48.846707"</f>
        <v>3:26:48.846707</v>
      </c>
      <c r="C1912">
        <v>-63</v>
      </c>
    </row>
    <row r="1913" spans="1:3" x14ac:dyDescent="0.25">
      <c r="A1913">
        <v>39</v>
      </c>
      <c r="B1913" t="str">
        <f>"3:26:48.847404"</f>
        <v>3:26:48.847404</v>
      </c>
      <c r="C1913">
        <v>-61</v>
      </c>
    </row>
    <row r="1914" spans="1:3" x14ac:dyDescent="0.25">
      <c r="A1914">
        <v>38</v>
      </c>
      <c r="B1914" t="str">
        <f>"3:26:50.089584"</f>
        <v>3:26:50.089584</v>
      </c>
      <c r="C1914">
        <v>-63</v>
      </c>
    </row>
    <row r="1915" spans="1:3" x14ac:dyDescent="0.25">
      <c r="A1915">
        <v>39</v>
      </c>
      <c r="B1915" t="str">
        <f>"3:26:50.090281"</f>
        <v>3:26:50.090281</v>
      </c>
      <c r="C1915">
        <v>-61</v>
      </c>
    </row>
    <row r="1916" spans="1:3" x14ac:dyDescent="0.25">
      <c r="A1916">
        <v>37</v>
      </c>
      <c r="B1916" t="str">
        <f>"3:26:51.349365"</f>
        <v>3:26:51.349365</v>
      </c>
      <c r="C1916">
        <v>-78</v>
      </c>
    </row>
    <row r="1917" spans="1:3" x14ac:dyDescent="0.25">
      <c r="A1917">
        <v>38</v>
      </c>
      <c r="B1917" t="str">
        <f>"3:26:51.350062"</f>
        <v>3:26:51.350062</v>
      </c>
      <c r="C1917">
        <v>-63</v>
      </c>
    </row>
    <row r="1918" spans="1:3" x14ac:dyDescent="0.25">
      <c r="A1918">
        <v>39</v>
      </c>
      <c r="B1918" t="str">
        <f>"3:26:51.350759"</f>
        <v>3:26:51.350759</v>
      </c>
      <c r="C1918">
        <v>-61</v>
      </c>
    </row>
    <row r="1919" spans="1:3" x14ac:dyDescent="0.25">
      <c r="A1919">
        <v>38</v>
      </c>
      <c r="B1919" t="str">
        <f>"3:26:52.594323"</f>
        <v>3:26:52.594323</v>
      </c>
      <c r="C1919">
        <v>-63</v>
      </c>
    </row>
    <row r="1920" spans="1:3" x14ac:dyDescent="0.25">
      <c r="A1920">
        <v>39</v>
      </c>
      <c r="B1920" t="str">
        <f>"3:26:52.595020"</f>
        <v>3:26:52.595020</v>
      </c>
      <c r="C1920">
        <v>-61</v>
      </c>
    </row>
    <row r="1921" spans="1:3" x14ac:dyDescent="0.25">
      <c r="A1921">
        <v>37</v>
      </c>
      <c r="B1921" t="str">
        <f>"3:26:53.873281"</f>
        <v>3:26:53.873281</v>
      </c>
      <c r="C1921">
        <v>-77</v>
      </c>
    </row>
    <row r="1922" spans="1:3" x14ac:dyDescent="0.25">
      <c r="A1922">
        <v>38</v>
      </c>
      <c r="B1922" t="str">
        <f>"3:26:53.873977"</f>
        <v>3:26:53.873977</v>
      </c>
      <c r="C1922">
        <v>-63</v>
      </c>
    </row>
    <row r="1923" spans="1:3" x14ac:dyDescent="0.25">
      <c r="A1923">
        <v>39</v>
      </c>
      <c r="B1923" t="str">
        <f>"3:26:53.874675"</f>
        <v>3:26:53.874675</v>
      </c>
      <c r="C1923">
        <v>-61</v>
      </c>
    </row>
    <row r="1924" spans="1:3" x14ac:dyDescent="0.25">
      <c r="A1924">
        <v>37</v>
      </c>
      <c r="B1924" t="str">
        <f>"3:26:55.068458"</f>
        <v>3:26:55.068458</v>
      </c>
      <c r="C1924">
        <v>-77</v>
      </c>
    </row>
    <row r="1925" spans="1:3" x14ac:dyDescent="0.25">
      <c r="A1925">
        <v>38</v>
      </c>
      <c r="B1925" t="str">
        <f>"3:26:55.069154"</f>
        <v>3:26:55.069154</v>
      </c>
      <c r="C1925">
        <v>-63</v>
      </c>
    </row>
    <row r="1926" spans="1:3" x14ac:dyDescent="0.25">
      <c r="A1926">
        <v>39</v>
      </c>
      <c r="B1926" t="str">
        <f>"3:26:55.069852"</f>
        <v>3:26:55.069852</v>
      </c>
      <c r="C1926">
        <v>-61</v>
      </c>
    </row>
    <row r="1927" spans="1:3" x14ac:dyDescent="0.25">
      <c r="A1927">
        <v>37</v>
      </c>
      <c r="B1927" t="str">
        <f>"3:26:56.326893"</f>
        <v>3:26:56.326893</v>
      </c>
      <c r="C1927">
        <v>-77</v>
      </c>
    </row>
    <row r="1928" spans="1:3" x14ac:dyDescent="0.25">
      <c r="A1928">
        <v>38</v>
      </c>
      <c r="B1928" t="str">
        <f>"3:26:56.327590"</f>
        <v>3:26:56.327590</v>
      </c>
      <c r="C1928">
        <v>-63</v>
      </c>
    </row>
    <row r="1929" spans="1:3" x14ac:dyDescent="0.25">
      <c r="A1929">
        <v>39</v>
      </c>
      <c r="B1929" t="str">
        <f>"3:26:56.328287"</f>
        <v>3:26:56.328287</v>
      </c>
      <c r="C1929">
        <v>-61</v>
      </c>
    </row>
    <row r="1930" spans="1:3" x14ac:dyDescent="0.25">
      <c r="A1930">
        <v>37</v>
      </c>
      <c r="B1930" t="str">
        <f>"3:26:57.565586"</f>
        <v>3:26:57.565586</v>
      </c>
      <c r="C1930">
        <v>-77</v>
      </c>
    </row>
    <row r="1931" spans="1:3" x14ac:dyDescent="0.25">
      <c r="A1931">
        <v>38</v>
      </c>
      <c r="B1931" t="str">
        <f>"3:26:57.566283"</f>
        <v>3:26:57.566283</v>
      </c>
      <c r="C1931">
        <v>-63</v>
      </c>
    </row>
    <row r="1932" spans="1:3" x14ac:dyDescent="0.25">
      <c r="A1932">
        <v>39</v>
      </c>
      <c r="B1932" t="str">
        <f>"3:26:57.566980"</f>
        <v>3:26:57.566980</v>
      </c>
      <c r="C1932">
        <v>-61</v>
      </c>
    </row>
    <row r="1933" spans="1:3" x14ac:dyDescent="0.25">
      <c r="A1933">
        <v>37</v>
      </c>
      <c r="B1933" t="str">
        <f>"3:26:58.802720"</f>
        <v>3:26:58.802720</v>
      </c>
      <c r="C1933">
        <v>-78</v>
      </c>
    </row>
    <row r="1934" spans="1:3" x14ac:dyDescent="0.25">
      <c r="A1934">
        <v>38</v>
      </c>
      <c r="B1934" t="str">
        <f>"3:26:58.803417"</f>
        <v>3:26:58.803417</v>
      </c>
      <c r="C1934">
        <v>-63</v>
      </c>
    </row>
    <row r="1935" spans="1:3" x14ac:dyDescent="0.25">
      <c r="A1935">
        <v>39</v>
      </c>
      <c r="B1935" t="str">
        <f>"3:26:58.804114"</f>
        <v>3:26:58.804114</v>
      </c>
      <c r="C1935">
        <v>-61</v>
      </c>
    </row>
    <row r="1936" spans="1:3" x14ac:dyDescent="0.25">
      <c r="A1936">
        <v>37</v>
      </c>
      <c r="B1936" t="str">
        <f>"3:27:00.050847"</f>
        <v>3:27:00.050847</v>
      </c>
      <c r="C1936">
        <v>-78</v>
      </c>
    </row>
    <row r="1937" spans="1:3" x14ac:dyDescent="0.25">
      <c r="A1937">
        <v>38</v>
      </c>
      <c r="B1937" t="str">
        <f>"3:27:00.051544"</f>
        <v>3:27:00.051544</v>
      </c>
      <c r="C1937">
        <v>-63</v>
      </c>
    </row>
    <row r="1938" spans="1:3" x14ac:dyDescent="0.25">
      <c r="A1938">
        <v>39</v>
      </c>
      <c r="B1938" t="str">
        <f>"3:27:00.052241"</f>
        <v>3:27:00.052241</v>
      </c>
      <c r="C1938">
        <v>-61</v>
      </c>
    </row>
    <row r="1939" spans="1:3" x14ac:dyDescent="0.25">
      <c r="A1939">
        <v>37</v>
      </c>
      <c r="B1939" t="str">
        <f>"3:27:01.318260"</f>
        <v>3:27:01.318260</v>
      </c>
      <c r="C1939">
        <v>-79</v>
      </c>
    </row>
    <row r="1940" spans="1:3" x14ac:dyDescent="0.25">
      <c r="A1940">
        <v>38</v>
      </c>
      <c r="B1940" t="str">
        <f>"3:27:01.318957"</f>
        <v>3:27:01.318957</v>
      </c>
      <c r="C1940">
        <v>-63</v>
      </c>
    </row>
    <row r="1941" spans="1:3" x14ac:dyDescent="0.25">
      <c r="A1941">
        <v>39</v>
      </c>
      <c r="B1941" t="str">
        <f>"3:27:01.319654"</f>
        <v>3:27:01.319654</v>
      </c>
      <c r="C1941">
        <v>-61</v>
      </c>
    </row>
    <row r="1942" spans="1:3" x14ac:dyDescent="0.25">
      <c r="A1942">
        <v>39</v>
      </c>
      <c r="B1942" t="str">
        <f>"3:27:02.548169"</f>
        <v>3:27:02.548169</v>
      </c>
      <c r="C1942">
        <v>-61</v>
      </c>
    </row>
    <row r="1943" spans="1:3" x14ac:dyDescent="0.25">
      <c r="A1943">
        <v>37</v>
      </c>
      <c r="B1943" t="str">
        <f>"3:27:03.785288"</f>
        <v>3:27:03.785288</v>
      </c>
      <c r="C1943">
        <v>-77</v>
      </c>
    </row>
    <row r="1944" spans="1:3" x14ac:dyDescent="0.25">
      <c r="A1944">
        <v>38</v>
      </c>
      <c r="B1944" t="str">
        <f>"3:27:03.785985"</f>
        <v>3:27:03.785985</v>
      </c>
      <c r="C1944">
        <v>-63</v>
      </c>
    </row>
    <row r="1945" spans="1:3" x14ac:dyDescent="0.25">
      <c r="A1945">
        <v>39</v>
      </c>
      <c r="B1945" t="str">
        <f>"3:27:03.786682"</f>
        <v>3:27:03.786682</v>
      </c>
      <c r="C1945">
        <v>-61</v>
      </c>
    </row>
    <row r="1946" spans="1:3" x14ac:dyDescent="0.25">
      <c r="A1946">
        <v>37</v>
      </c>
      <c r="B1946" t="str">
        <f>"3:27:05.058704"</f>
        <v>3:27:05.058704</v>
      </c>
      <c r="C1946">
        <v>-78</v>
      </c>
    </row>
    <row r="1947" spans="1:3" x14ac:dyDescent="0.25">
      <c r="A1947">
        <v>38</v>
      </c>
      <c r="B1947" t="str">
        <f>"3:27:05.059401"</f>
        <v>3:27:05.059401</v>
      </c>
      <c r="C1947">
        <v>-63</v>
      </c>
    </row>
    <row r="1948" spans="1:3" x14ac:dyDescent="0.25">
      <c r="A1948">
        <v>39</v>
      </c>
      <c r="B1948" t="str">
        <f>"3:27:05.060098"</f>
        <v>3:27:05.060098</v>
      </c>
      <c r="C1948">
        <v>-61</v>
      </c>
    </row>
    <row r="1949" spans="1:3" x14ac:dyDescent="0.25">
      <c r="A1949">
        <v>37</v>
      </c>
      <c r="B1949" t="str">
        <f>"3:27:06.288795"</f>
        <v>3:27:06.288795</v>
      </c>
      <c r="C1949">
        <v>-77</v>
      </c>
    </row>
    <row r="1950" spans="1:3" x14ac:dyDescent="0.25">
      <c r="A1950">
        <v>38</v>
      </c>
      <c r="B1950" t="str">
        <f>"3:27:06.289492"</f>
        <v>3:27:06.289492</v>
      </c>
      <c r="C1950">
        <v>-63</v>
      </c>
    </row>
    <row r="1951" spans="1:3" x14ac:dyDescent="0.25">
      <c r="A1951">
        <v>39</v>
      </c>
      <c r="B1951" t="str">
        <f>"3:27:06.290189"</f>
        <v>3:27:06.290189</v>
      </c>
      <c r="C1951">
        <v>-61</v>
      </c>
    </row>
    <row r="1952" spans="1:3" x14ac:dyDescent="0.25">
      <c r="A1952">
        <v>37</v>
      </c>
      <c r="B1952" t="str">
        <f>"3:27:07.516804"</f>
        <v>3:27:07.516804</v>
      </c>
      <c r="C1952">
        <v>-78</v>
      </c>
    </row>
    <row r="1953" spans="1:3" x14ac:dyDescent="0.25">
      <c r="A1953">
        <v>38</v>
      </c>
      <c r="B1953" t="str">
        <f>"3:27:07.517501"</f>
        <v>3:27:07.517501</v>
      </c>
      <c r="C1953">
        <v>-63</v>
      </c>
    </row>
    <row r="1954" spans="1:3" x14ac:dyDescent="0.25">
      <c r="A1954">
        <v>39</v>
      </c>
      <c r="B1954" t="str">
        <f>"3:27:07.518198"</f>
        <v>3:27:07.518198</v>
      </c>
      <c r="C1954">
        <v>-61</v>
      </c>
    </row>
    <row r="1955" spans="1:3" x14ac:dyDescent="0.25">
      <c r="A1955">
        <v>37</v>
      </c>
      <c r="B1955" t="str">
        <f>"3:27:08.766356"</f>
        <v>3:27:08.766356</v>
      </c>
      <c r="C1955">
        <v>-77</v>
      </c>
    </row>
    <row r="1956" spans="1:3" x14ac:dyDescent="0.25">
      <c r="A1956">
        <v>38</v>
      </c>
      <c r="B1956" t="str">
        <f>"3:27:08.767053"</f>
        <v>3:27:08.767053</v>
      </c>
      <c r="C1956">
        <v>-63</v>
      </c>
    </row>
    <row r="1957" spans="1:3" x14ac:dyDescent="0.25">
      <c r="A1957">
        <v>39</v>
      </c>
      <c r="B1957" t="str">
        <f>"3:27:08.767750"</f>
        <v>3:27:08.767750</v>
      </c>
      <c r="C1957">
        <v>-61</v>
      </c>
    </row>
    <row r="1958" spans="1:3" x14ac:dyDescent="0.25">
      <c r="A1958">
        <v>37</v>
      </c>
      <c r="B1958" t="str">
        <f>"3:27:10.004910"</f>
        <v>3:27:10.004910</v>
      </c>
      <c r="C1958">
        <v>-78</v>
      </c>
    </row>
    <row r="1959" spans="1:3" x14ac:dyDescent="0.25">
      <c r="A1959">
        <v>38</v>
      </c>
      <c r="B1959" t="str">
        <f>"3:27:10.005607"</f>
        <v>3:27:10.005607</v>
      </c>
      <c r="C1959">
        <v>-63</v>
      </c>
    </row>
    <row r="1960" spans="1:3" x14ac:dyDescent="0.25">
      <c r="A1960">
        <v>39</v>
      </c>
      <c r="B1960" t="str">
        <f>"3:27:10.006304"</f>
        <v>3:27:10.006304</v>
      </c>
      <c r="C1960">
        <v>-61</v>
      </c>
    </row>
    <row r="1961" spans="1:3" x14ac:dyDescent="0.25">
      <c r="A1961">
        <v>37</v>
      </c>
      <c r="B1961" t="str">
        <f>"3:27:11.251784"</f>
        <v>3:27:11.251784</v>
      </c>
      <c r="C1961">
        <v>-78</v>
      </c>
    </row>
    <row r="1962" spans="1:3" x14ac:dyDescent="0.25">
      <c r="A1962">
        <v>38</v>
      </c>
      <c r="B1962" t="str">
        <f>"3:27:11.252481"</f>
        <v>3:27:11.252481</v>
      </c>
      <c r="C1962">
        <v>-63</v>
      </c>
    </row>
    <row r="1963" spans="1:3" x14ac:dyDescent="0.25">
      <c r="A1963">
        <v>39</v>
      </c>
      <c r="B1963" t="str">
        <f>"3:27:11.253178"</f>
        <v>3:27:11.253178</v>
      </c>
      <c r="C1963">
        <v>-61</v>
      </c>
    </row>
    <row r="1964" spans="1:3" x14ac:dyDescent="0.25">
      <c r="A1964">
        <v>37</v>
      </c>
      <c r="B1964" t="str">
        <f>"3:27:12.491011"</f>
        <v>3:27:12.491011</v>
      </c>
      <c r="C1964">
        <v>-77</v>
      </c>
    </row>
    <row r="1965" spans="1:3" x14ac:dyDescent="0.25">
      <c r="A1965">
        <v>38</v>
      </c>
      <c r="B1965" t="str">
        <f>"3:27:12.491708"</f>
        <v>3:27:12.491708</v>
      </c>
      <c r="C1965">
        <v>-63</v>
      </c>
    </row>
    <row r="1966" spans="1:3" x14ac:dyDescent="0.25">
      <c r="A1966">
        <v>39</v>
      </c>
      <c r="B1966" t="str">
        <f>"3:27:12.492405"</f>
        <v>3:27:12.492405</v>
      </c>
      <c r="C1966">
        <v>-61</v>
      </c>
    </row>
    <row r="1967" spans="1:3" x14ac:dyDescent="0.25">
      <c r="A1967">
        <v>37</v>
      </c>
      <c r="B1967" t="str">
        <f>"3:27:13.770685"</f>
        <v>3:27:13.770685</v>
      </c>
      <c r="C1967">
        <v>-79</v>
      </c>
    </row>
    <row r="1968" spans="1:3" x14ac:dyDescent="0.25">
      <c r="A1968">
        <v>38</v>
      </c>
      <c r="B1968" t="str">
        <f>"3:27:13.771382"</f>
        <v>3:27:13.771382</v>
      </c>
      <c r="C1968">
        <v>-63</v>
      </c>
    </row>
    <row r="1969" spans="1:3" x14ac:dyDescent="0.25">
      <c r="A1969">
        <v>39</v>
      </c>
      <c r="B1969" t="str">
        <f>"3:27:13.772079"</f>
        <v>3:27:13.772079</v>
      </c>
      <c r="C1969">
        <v>-61</v>
      </c>
    </row>
    <row r="1970" spans="1:3" x14ac:dyDescent="0.25">
      <c r="A1970">
        <v>39</v>
      </c>
      <c r="B1970" t="str">
        <f>"3:27:15.010416"</f>
        <v>3:27:15.010416</v>
      </c>
      <c r="C1970">
        <v>-61</v>
      </c>
    </row>
    <row r="1971" spans="1:3" x14ac:dyDescent="0.25">
      <c r="A1971">
        <v>38</v>
      </c>
      <c r="B1971" t="str">
        <f>"3:27:16.227648"</f>
        <v>3:27:16.227648</v>
      </c>
      <c r="C1971">
        <v>-63</v>
      </c>
    </row>
    <row r="1972" spans="1:3" x14ac:dyDescent="0.25">
      <c r="A1972">
        <v>39</v>
      </c>
      <c r="B1972" t="str">
        <f>"3:27:16.228345"</f>
        <v>3:27:16.228345</v>
      </c>
      <c r="C1972">
        <v>-61</v>
      </c>
    </row>
    <row r="1973" spans="1:3" x14ac:dyDescent="0.25">
      <c r="A1973">
        <v>37</v>
      </c>
      <c r="B1973" t="str">
        <f>"3:27:17.477511"</f>
        <v>3:27:17.477511</v>
      </c>
      <c r="C1973">
        <v>-77</v>
      </c>
    </row>
    <row r="1974" spans="1:3" x14ac:dyDescent="0.25">
      <c r="A1974">
        <v>38</v>
      </c>
      <c r="B1974" t="str">
        <f>"3:27:17.478208"</f>
        <v>3:27:17.478208</v>
      </c>
      <c r="C1974">
        <v>-63</v>
      </c>
    </row>
    <row r="1975" spans="1:3" x14ac:dyDescent="0.25">
      <c r="A1975">
        <v>39</v>
      </c>
      <c r="B1975" t="str">
        <f>"3:27:17.478905"</f>
        <v>3:27:17.478905</v>
      </c>
      <c r="C1975">
        <v>-61</v>
      </c>
    </row>
    <row r="1976" spans="1:3" x14ac:dyDescent="0.25">
      <c r="A1976">
        <v>37</v>
      </c>
      <c r="B1976" t="str">
        <f>"3:27:18.744951"</f>
        <v>3:27:18.744951</v>
      </c>
      <c r="C1976">
        <v>-78</v>
      </c>
    </row>
    <row r="1977" spans="1:3" x14ac:dyDescent="0.25">
      <c r="A1977">
        <v>38</v>
      </c>
      <c r="B1977" t="str">
        <f>"3:27:18.745648"</f>
        <v>3:27:18.745648</v>
      </c>
      <c r="C1977">
        <v>-63</v>
      </c>
    </row>
    <row r="1978" spans="1:3" x14ac:dyDescent="0.25">
      <c r="A1978">
        <v>39</v>
      </c>
      <c r="B1978" t="str">
        <f>"3:27:18.746345"</f>
        <v>3:27:18.746345</v>
      </c>
      <c r="C1978">
        <v>-61</v>
      </c>
    </row>
    <row r="1979" spans="1:3" x14ac:dyDescent="0.25">
      <c r="A1979">
        <v>37</v>
      </c>
      <c r="B1979" t="str">
        <f>"3:27:19.971839"</f>
        <v>3:27:19.971839</v>
      </c>
      <c r="C1979">
        <v>-78</v>
      </c>
    </row>
    <row r="1980" spans="1:3" x14ac:dyDescent="0.25">
      <c r="A1980">
        <v>38</v>
      </c>
      <c r="B1980" t="str">
        <f>"3:27:19.972536"</f>
        <v>3:27:19.972536</v>
      </c>
      <c r="C1980">
        <v>-63</v>
      </c>
    </row>
    <row r="1981" spans="1:3" x14ac:dyDescent="0.25">
      <c r="A1981">
        <v>39</v>
      </c>
      <c r="B1981" t="str">
        <f>"3:27:19.973233"</f>
        <v>3:27:19.973233</v>
      </c>
      <c r="C1981">
        <v>-61</v>
      </c>
    </row>
    <row r="1982" spans="1:3" x14ac:dyDescent="0.25">
      <c r="A1982">
        <v>37</v>
      </c>
      <c r="B1982" t="str">
        <f>"3:27:21.217166"</f>
        <v>3:27:21.217166</v>
      </c>
      <c r="C1982">
        <v>-77</v>
      </c>
    </row>
    <row r="1983" spans="1:3" x14ac:dyDescent="0.25">
      <c r="A1983">
        <v>38</v>
      </c>
      <c r="B1983" t="str">
        <f>"3:27:21.217863"</f>
        <v>3:27:21.217863</v>
      </c>
      <c r="C1983">
        <v>-63</v>
      </c>
    </row>
    <row r="1984" spans="1:3" x14ac:dyDescent="0.25">
      <c r="A1984">
        <v>39</v>
      </c>
      <c r="B1984" t="str">
        <f>"3:27:21.218560"</f>
        <v>3:27:21.218560</v>
      </c>
      <c r="C1984">
        <v>-61</v>
      </c>
    </row>
    <row r="1985" spans="1:3" x14ac:dyDescent="0.25">
      <c r="A1985">
        <v>37</v>
      </c>
      <c r="B1985" t="str">
        <f>"3:27:22.472356"</f>
        <v>3:27:22.472356</v>
      </c>
      <c r="C1985">
        <v>-79</v>
      </c>
    </row>
    <row r="1986" spans="1:3" x14ac:dyDescent="0.25">
      <c r="A1986">
        <v>38</v>
      </c>
      <c r="B1986" t="str">
        <f>"3:27:22.473052"</f>
        <v>3:27:22.473052</v>
      </c>
      <c r="C1986">
        <v>-63</v>
      </c>
    </row>
    <row r="1987" spans="1:3" x14ac:dyDescent="0.25">
      <c r="A1987">
        <v>39</v>
      </c>
      <c r="B1987" t="str">
        <f>"3:27:22.473750"</f>
        <v>3:27:22.473750</v>
      </c>
      <c r="C1987">
        <v>-61</v>
      </c>
    </row>
    <row r="1988" spans="1:3" x14ac:dyDescent="0.25">
      <c r="A1988">
        <v>38</v>
      </c>
      <c r="B1988" t="str">
        <f>"3:27:23.710440"</f>
        <v>3:27:23.710440</v>
      </c>
      <c r="C1988">
        <v>-63</v>
      </c>
    </row>
    <row r="1989" spans="1:3" x14ac:dyDescent="0.25">
      <c r="A1989">
        <v>39</v>
      </c>
      <c r="B1989" t="str">
        <f>"3:27:23.711138"</f>
        <v>3:27:23.711138</v>
      </c>
      <c r="C1989">
        <v>-61</v>
      </c>
    </row>
    <row r="1990" spans="1:3" x14ac:dyDescent="0.25">
      <c r="A1990">
        <v>37</v>
      </c>
      <c r="B1990" t="str">
        <f>"3:27:24.989829"</f>
        <v>3:27:24.989829</v>
      </c>
      <c r="C1990">
        <v>-79</v>
      </c>
    </row>
    <row r="1991" spans="1:3" x14ac:dyDescent="0.25">
      <c r="A1991">
        <v>38</v>
      </c>
      <c r="B1991" t="str">
        <f>"3:27:24.990526"</f>
        <v>3:27:24.990526</v>
      </c>
      <c r="C1991">
        <v>-63</v>
      </c>
    </row>
    <row r="1992" spans="1:3" x14ac:dyDescent="0.25">
      <c r="A1992">
        <v>39</v>
      </c>
      <c r="B1992" t="str">
        <f>"3:27:24.991223"</f>
        <v>3:27:24.991223</v>
      </c>
      <c r="C1992">
        <v>-61</v>
      </c>
    </row>
    <row r="1993" spans="1:3" x14ac:dyDescent="0.25">
      <c r="A1993">
        <v>37</v>
      </c>
      <c r="B1993" t="str">
        <f>"3:27:26.200667"</f>
        <v>3:27:26.200667</v>
      </c>
      <c r="C1993">
        <v>-78</v>
      </c>
    </row>
    <row r="1994" spans="1:3" x14ac:dyDescent="0.25">
      <c r="A1994">
        <v>38</v>
      </c>
      <c r="B1994" t="str">
        <f>"3:27:26.201364"</f>
        <v>3:27:26.201364</v>
      </c>
      <c r="C1994">
        <v>-63</v>
      </c>
    </row>
    <row r="1995" spans="1:3" x14ac:dyDescent="0.25">
      <c r="A1995">
        <v>39</v>
      </c>
      <c r="B1995" t="str">
        <f>"3:27:26.202061"</f>
        <v>3:27:26.202061</v>
      </c>
      <c r="C1995">
        <v>-61</v>
      </c>
    </row>
    <row r="1996" spans="1:3" x14ac:dyDescent="0.25">
      <c r="A1996">
        <v>37</v>
      </c>
      <c r="B1996" t="str">
        <f>"3:27:27.445499"</f>
        <v>3:27:27.445499</v>
      </c>
      <c r="C1996">
        <v>-79</v>
      </c>
    </row>
    <row r="1997" spans="1:3" x14ac:dyDescent="0.25">
      <c r="A1997">
        <v>38</v>
      </c>
      <c r="B1997" t="str">
        <f>"3:27:27.446196"</f>
        <v>3:27:27.446196</v>
      </c>
      <c r="C1997">
        <v>-63</v>
      </c>
    </row>
    <row r="1998" spans="1:3" x14ac:dyDescent="0.25">
      <c r="A1998">
        <v>39</v>
      </c>
      <c r="B1998" t="str">
        <f>"3:27:27.446893"</f>
        <v>3:27:27.446893</v>
      </c>
      <c r="C1998">
        <v>-61</v>
      </c>
    </row>
    <row r="1999" spans="1:3" x14ac:dyDescent="0.25">
      <c r="A1999">
        <v>37</v>
      </c>
      <c r="B1999" t="str">
        <f>"3:27:28.700003"</f>
        <v>3:27:28.700003</v>
      </c>
      <c r="C1999">
        <v>-77</v>
      </c>
    </row>
    <row r="2000" spans="1:3" x14ac:dyDescent="0.25">
      <c r="A2000">
        <v>38</v>
      </c>
      <c r="B2000" t="str">
        <f>"3:27:28.700700"</f>
        <v>3:27:28.700700</v>
      </c>
      <c r="C2000">
        <v>-63</v>
      </c>
    </row>
    <row r="2001" spans="1:3" x14ac:dyDescent="0.25">
      <c r="A2001">
        <v>39</v>
      </c>
      <c r="B2001" t="str">
        <f>"3:27:28.701397"</f>
        <v>3:27:28.701397</v>
      </c>
      <c r="C2001">
        <v>-61</v>
      </c>
    </row>
    <row r="2002" spans="1:3" x14ac:dyDescent="0.25">
      <c r="A2002">
        <v>37</v>
      </c>
      <c r="B2002" t="str">
        <f>"3:27:29.940277"</f>
        <v>3:27:29.940277</v>
      </c>
      <c r="C2002">
        <v>-77</v>
      </c>
    </row>
    <row r="2003" spans="1:3" x14ac:dyDescent="0.25">
      <c r="A2003">
        <v>38</v>
      </c>
      <c r="B2003" t="str">
        <f>"3:27:29.940974"</f>
        <v>3:27:29.940974</v>
      </c>
      <c r="C2003">
        <v>-63</v>
      </c>
    </row>
    <row r="2004" spans="1:3" x14ac:dyDescent="0.25">
      <c r="A2004">
        <v>39</v>
      </c>
      <c r="B2004" t="str">
        <f>"3:27:29.941671"</f>
        <v>3:27:29.941671</v>
      </c>
      <c r="C2004">
        <v>-61</v>
      </c>
    </row>
    <row r="2005" spans="1:3" x14ac:dyDescent="0.25">
      <c r="A2005">
        <v>37</v>
      </c>
      <c r="B2005" t="str">
        <f>"3:27:31.179504"</f>
        <v>3:27:31.179504</v>
      </c>
      <c r="C2005">
        <v>-77</v>
      </c>
    </row>
    <row r="2006" spans="1:3" x14ac:dyDescent="0.25">
      <c r="A2006">
        <v>38</v>
      </c>
      <c r="B2006" t="str">
        <f>"3:27:31.180201"</f>
        <v>3:27:31.180201</v>
      </c>
      <c r="C2006">
        <v>-63</v>
      </c>
    </row>
    <row r="2007" spans="1:3" x14ac:dyDescent="0.25">
      <c r="A2007">
        <v>39</v>
      </c>
      <c r="B2007" t="str">
        <f>"3:27:31.180898"</f>
        <v>3:27:31.180898</v>
      </c>
      <c r="C2007">
        <v>-61</v>
      </c>
    </row>
    <row r="2008" spans="1:3" x14ac:dyDescent="0.25">
      <c r="A2008">
        <v>37</v>
      </c>
      <c r="B2008" t="str">
        <f>"3:27:32.426181"</f>
        <v>3:27:32.426181</v>
      </c>
      <c r="C2008">
        <v>-78</v>
      </c>
    </row>
    <row r="2009" spans="1:3" x14ac:dyDescent="0.25">
      <c r="A2009">
        <v>38</v>
      </c>
      <c r="B2009" t="str">
        <f>"3:27:32.426878"</f>
        <v>3:27:32.426878</v>
      </c>
      <c r="C2009">
        <v>-63</v>
      </c>
    </row>
    <row r="2010" spans="1:3" x14ac:dyDescent="0.25">
      <c r="A2010">
        <v>39</v>
      </c>
      <c r="B2010" t="str">
        <f>"3:27:32.427575"</f>
        <v>3:27:32.427575</v>
      </c>
      <c r="C2010">
        <v>-61</v>
      </c>
    </row>
    <row r="2011" spans="1:3" x14ac:dyDescent="0.25">
      <c r="A2011">
        <v>38</v>
      </c>
      <c r="B2011" t="str">
        <f>"3:27:33.675183"</f>
        <v>3:27:33.675183</v>
      </c>
      <c r="C2011">
        <v>-64</v>
      </c>
    </row>
    <row r="2012" spans="1:3" x14ac:dyDescent="0.25">
      <c r="A2012">
        <v>39</v>
      </c>
      <c r="B2012" t="str">
        <f>"3:27:33.675880"</f>
        <v>3:27:33.675880</v>
      </c>
      <c r="C2012">
        <v>-61</v>
      </c>
    </row>
    <row r="2013" spans="1:3" x14ac:dyDescent="0.25">
      <c r="A2013">
        <v>37</v>
      </c>
      <c r="B2013" t="str">
        <f>"3:27:34.952656"</f>
        <v>3:27:34.952656</v>
      </c>
      <c r="C2013">
        <v>-78</v>
      </c>
    </row>
    <row r="2014" spans="1:3" x14ac:dyDescent="0.25">
      <c r="A2014">
        <v>38</v>
      </c>
      <c r="B2014" t="str">
        <f>"3:27:34.953353"</f>
        <v>3:27:34.953353</v>
      </c>
      <c r="C2014">
        <v>-63</v>
      </c>
    </row>
    <row r="2015" spans="1:3" x14ac:dyDescent="0.25">
      <c r="A2015">
        <v>39</v>
      </c>
      <c r="B2015" t="str">
        <f>"3:27:34.954050"</f>
        <v>3:27:34.954050</v>
      </c>
      <c r="C2015">
        <v>-61</v>
      </c>
    </row>
    <row r="2016" spans="1:3" x14ac:dyDescent="0.25">
      <c r="A2016">
        <v>37</v>
      </c>
      <c r="B2016" t="str">
        <f>"3:27:36.150310"</f>
        <v>3:27:36.150310</v>
      </c>
      <c r="C2016">
        <v>-78</v>
      </c>
    </row>
    <row r="2017" spans="1:3" x14ac:dyDescent="0.25">
      <c r="A2017">
        <v>38</v>
      </c>
      <c r="B2017" t="str">
        <f>"3:27:36.151007"</f>
        <v>3:27:36.151007</v>
      </c>
      <c r="C2017">
        <v>-63</v>
      </c>
    </row>
    <row r="2018" spans="1:3" x14ac:dyDescent="0.25">
      <c r="A2018">
        <v>39</v>
      </c>
      <c r="B2018" t="str">
        <f>"3:27:36.151704"</f>
        <v>3:27:36.151704</v>
      </c>
      <c r="C2018">
        <v>-61</v>
      </c>
    </row>
    <row r="2019" spans="1:3" x14ac:dyDescent="0.25">
      <c r="A2019">
        <v>37</v>
      </c>
      <c r="B2019" t="str">
        <f>"3:27:37.403487"</f>
        <v>3:27:37.403487</v>
      </c>
      <c r="C2019">
        <v>-78</v>
      </c>
    </row>
    <row r="2020" spans="1:3" x14ac:dyDescent="0.25">
      <c r="A2020">
        <v>38</v>
      </c>
      <c r="B2020" t="str">
        <f>"3:27:37.404184"</f>
        <v>3:27:37.404184</v>
      </c>
      <c r="C2020">
        <v>-63</v>
      </c>
    </row>
    <row r="2021" spans="1:3" x14ac:dyDescent="0.25">
      <c r="A2021">
        <v>39</v>
      </c>
      <c r="B2021" t="str">
        <f>"3:27:37.404881"</f>
        <v>3:27:37.404881</v>
      </c>
      <c r="C2021">
        <v>-61</v>
      </c>
    </row>
    <row r="2022" spans="1:3" x14ac:dyDescent="0.25">
      <c r="A2022">
        <v>38</v>
      </c>
      <c r="B2022" t="str">
        <f>"3:27:39.928239"</f>
        <v>3:27:39.928239</v>
      </c>
      <c r="C2022">
        <v>-63</v>
      </c>
    </row>
    <row r="2023" spans="1:3" x14ac:dyDescent="0.25">
      <c r="A2023">
        <v>39</v>
      </c>
      <c r="B2023" t="str">
        <f>"3:27:39.928936"</f>
        <v>3:27:39.928936</v>
      </c>
      <c r="C2023">
        <v>-61</v>
      </c>
    </row>
    <row r="2024" spans="1:3" x14ac:dyDescent="0.25">
      <c r="A2024">
        <v>37</v>
      </c>
      <c r="B2024" t="str">
        <f>"3:27:41.144371"</f>
        <v>3:27:41.144371</v>
      </c>
      <c r="C2024">
        <v>-77</v>
      </c>
    </row>
    <row r="2025" spans="1:3" x14ac:dyDescent="0.25">
      <c r="A2025">
        <v>38</v>
      </c>
      <c r="B2025" t="str">
        <f>"3:27:41.145068"</f>
        <v>3:27:41.145068</v>
      </c>
      <c r="C2025">
        <v>-63</v>
      </c>
    </row>
    <row r="2026" spans="1:3" x14ac:dyDescent="0.25">
      <c r="A2026">
        <v>39</v>
      </c>
      <c r="B2026" t="str">
        <f>"3:27:41.145765"</f>
        <v>3:27:41.145765</v>
      </c>
      <c r="C2026">
        <v>-61</v>
      </c>
    </row>
    <row r="2027" spans="1:3" x14ac:dyDescent="0.25">
      <c r="A2027">
        <v>38</v>
      </c>
      <c r="B2027" t="str">
        <f>"3:27:42.387881"</f>
        <v>3:27:42.387881</v>
      </c>
      <c r="C2027">
        <v>-63</v>
      </c>
    </row>
    <row r="2028" spans="1:3" x14ac:dyDescent="0.25">
      <c r="A2028">
        <v>39</v>
      </c>
      <c r="B2028" t="str">
        <f>"3:27:42.388578"</f>
        <v>3:27:42.388578</v>
      </c>
      <c r="C2028">
        <v>-61</v>
      </c>
    </row>
    <row r="2029" spans="1:3" x14ac:dyDescent="0.25">
      <c r="A2029">
        <v>37</v>
      </c>
      <c r="B2029" t="str">
        <f>"3:27:43.637500"</f>
        <v>3:27:43.637500</v>
      </c>
      <c r="C2029">
        <v>-78</v>
      </c>
    </row>
    <row r="2030" spans="1:3" x14ac:dyDescent="0.25">
      <c r="A2030">
        <v>38</v>
      </c>
      <c r="B2030" t="str">
        <f>"3:27:43.638197"</f>
        <v>3:27:43.638197</v>
      </c>
      <c r="C2030">
        <v>-63</v>
      </c>
    </row>
    <row r="2031" spans="1:3" x14ac:dyDescent="0.25">
      <c r="A2031">
        <v>39</v>
      </c>
      <c r="B2031" t="str">
        <f>"3:27:43.638894"</f>
        <v>3:27:43.638894</v>
      </c>
      <c r="C2031">
        <v>-61</v>
      </c>
    </row>
    <row r="2032" spans="1:3" x14ac:dyDescent="0.25">
      <c r="A2032">
        <v>37</v>
      </c>
      <c r="B2032" t="str">
        <f>"3:27:44.873046"</f>
        <v>3:27:44.873046</v>
      </c>
      <c r="C2032">
        <v>-78</v>
      </c>
    </row>
    <row r="2033" spans="1:3" x14ac:dyDescent="0.25">
      <c r="A2033">
        <v>38</v>
      </c>
      <c r="B2033" t="str">
        <f>"3:27:44.873743"</f>
        <v>3:27:44.873743</v>
      </c>
      <c r="C2033">
        <v>-63</v>
      </c>
    </row>
    <row r="2034" spans="1:3" x14ac:dyDescent="0.25">
      <c r="A2034">
        <v>39</v>
      </c>
      <c r="B2034" t="str">
        <f>"3:27:44.874440"</f>
        <v>3:27:44.874440</v>
      </c>
      <c r="C2034">
        <v>-61</v>
      </c>
    </row>
    <row r="2035" spans="1:3" x14ac:dyDescent="0.25">
      <c r="A2035">
        <v>37</v>
      </c>
      <c r="B2035" t="str">
        <f>"3:27:46.126641"</f>
        <v>3:27:46.126641</v>
      </c>
      <c r="C2035">
        <v>-77</v>
      </c>
    </row>
    <row r="2036" spans="1:3" x14ac:dyDescent="0.25">
      <c r="A2036">
        <v>38</v>
      </c>
      <c r="B2036" t="str">
        <f>"3:27:46.127338"</f>
        <v>3:27:46.127338</v>
      </c>
      <c r="C2036">
        <v>-63</v>
      </c>
    </row>
    <row r="2037" spans="1:3" x14ac:dyDescent="0.25">
      <c r="A2037">
        <v>39</v>
      </c>
      <c r="B2037" t="str">
        <f>"3:27:46.128035"</f>
        <v>3:27:46.128035</v>
      </c>
      <c r="C2037">
        <v>-62</v>
      </c>
    </row>
    <row r="2038" spans="1:3" x14ac:dyDescent="0.25">
      <c r="A2038">
        <v>37</v>
      </c>
      <c r="B2038" t="str">
        <f>"3:27:47.390973"</f>
        <v>3:27:47.390973</v>
      </c>
      <c r="C2038">
        <v>-78</v>
      </c>
    </row>
    <row r="2039" spans="1:3" x14ac:dyDescent="0.25">
      <c r="A2039">
        <v>38</v>
      </c>
      <c r="B2039" t="str">
        <f>"3:27:47.391670"</f>
        <v>3:27:47.391670</v>
      </c>
      <c r="C2039">
        <v>-63</v>
      </c>
    </row>
    <row r="2040" spans="1:3" x14ac:dyDescent="0.25">
      <c r="A2040">
        <v>39</v>
      </c>
      <c r="B2040" t="str">
        <f>"3:27:47.392367"</f>
        <v>3:27:47.392367</v>
      </c>
      <c r="C2040">
        <v>-61</v>
      </c>
    </row>
    <row r="2041" spans="1:3" x14ac:dyDescent="0.25">
      <c r="A2041">
        <v>38</v>
      </c>
      <c r="B2041" t="str">
        <f>"3:27:48.612038"</f>
        <v>3:27:48.612038</v>
      </c>
      <c r="C2041">
        <v>-63</v>
      </c>
    </row>
    <row r="2042" spans="1:3" x14ac:dyDescent="0.25">
      <c r="A2042">
        <v>39</v>
      </c>
      <c r="B2042" t="str">
        <f>"3:27:48.612736"</f>
        <v>3:27:48.612736</v>
      </c>
      <c r="C2042">
        <v>-61</v>
      </c>
    </row>
    <row r="2043" spans="1:3" x14ac:dyDescent="0.25">
      <c r="A2043">
        <v>37</v>
      </c>
      <c r="B2043" t="str">
        <f>"3:27:51.111726"</f>
        <v>3:27:51.111726</v>
      </c>
      <c r="C2043">
        <v>-78</v>
      </c>
    </row>
    <row r="2044" spans="1:3" x14ac:dyDescent="0.25">
      <c r="A2044">
        <v>38</v>
      </c>
      <c r="B2044" t="str">
        <f>"3:27:51.112423"</f>
        <v>3:27:51.112423</v>
      </c>
      <c r="C2044">
        <v>-63</v>
      </c>
    </row>
    <row r="2045" spans="1:3" x14ac:dyDescent="0.25">
      <c r="A2045">
        <v>39</v>
      </c>
      <c r="B2045" t="str">
        <f>"3:27:51.113120"</f>
        <v>3:27:51.113120</v>
      </c>
      <c r="C2045">
        <v>-61</v>
      </c>
    </row>
    <row r="2046" spans="1:3" x14ac:dyDescent="0.25">
      <c r="A2046">
        <v>38</v>
      </c>
      <c r="B2046" t="str">
        <f>"3:27:53.607551"</f>
        <v>3:27:53.607551</v>
      </c>
      <c r="C2046">
        <v>-63</v>
      </c>
    </row>
    <row r="2047" spans="1:3" x14ac:dyDescent="0.25">
      <c r="A2047">
        <v>39</v>
      </c>
      <c r="B2047" t="str">
        <f>"3:27:53.608248"</f>
        <v>3:27:53.608248</v>
      </c>
      <c r="C2047">
        <v>-61</v>
      </c>
    </row>
    <row r="2048" spans="1:3" x14ac:dyDescent="0.25">
      <c r="A2048">
        <v>37</v>
      </c>
      <c r="B2048" t="str">
        <f>"3:27:54.858722"</f>
        <v>3:27:54.858722</v>
      </c>
      <c r="C2048">
        <v>-78</v>
      </c>
    </row>
    <row r="2049" spans="1:3" x14ac:dyDescent="0.25">
      <c r="A2049">
        <v>38</v>
      </c>
      <c r="B2049" t="str">
        <f>"3:27:54.859419"</f>
        <v>3:27:54.859419</v>
      </c>
      <c r="C2049">
        <v>-63</v>
      </c>
    </row>
    <row r="2050" spans="1:3" x14ac:dyDescent="0.25">
      <c r="A2050">
        <v>39</v>
      </c>
      <c r="B2050" t="str">
        <f>"3:27:54.860116"</f>
        <v>3:27:54.860116</v>
      </c>
      <c r="C2050">
        <v>-61</v>
      </c>
    </row>
    <row r="2051" spans="1:3" x14ac:dyDescent="0.25">
      <c r="A2051">
        <v>37</v>
      </c>
      <c r="B2051" t="str">
        <f>"3:27:56.086610"</f>
        <v>3:27:56.086610</v>
      </c>
      <c r="C2051">
        <v>-78</v>
      </c>
    </row>
    <row r="2052" spans="1:3" x14ac:dyDescent="0.25">
      <c r="A2052">
        <v>38</v>
      </c>
      <c r="B2052" t="str">
        <f>"3:27:56.087307"</f>
        <v>3:27:56.087307</v>
      </c>
      <c r="C2052">
        <v>-63</v>
      </c>
    </row>
    <row r="2053" spans="1:3" x14ac:dyDescent="0.25">
      <c r="A2053">
        <v>39</v>
      </c>
      <c r="B2053" t="str">
        <f>"3:27:56.088004"</f>
        <v>3:27:56.088004</v>
      </c>
      <c r="C2053">
        <v>-61</v>
      </c>
    </row>
    <row r="2054" spans="1:3" x14ac:dyDescent="0.25">
      <c r="A2054">
        <v>37</v>
      </c>
      <c r="B2054" t="str">
        <f>"3:27:57.343639"</f>
        <v>3:27:57.343639</v>
      </c>
      <c r="C2054">
        <v>-78</v>
      </c>
    </row>
    <row r="2055" spans="1:3" x14ac:dyDescent="0.25">
      <c r="A2055">
        <v>38</v>
      </c>
      <c r="B2055" t="str">
        <f>"3:27:57.344336"</f>
        <v>3:27:57.344336</v>
      </c>
      <c r="C2055">
        <v>-63</v>
      </c>
    </row>
    <row r="2056" spans="1:3" x14ac:dyDescent="0.25">
      <c r="A2056">
        <v>39</v>
      </c>
      <c r="B2056" t="str">
        <f>"3:27:57.345033"</f>
        <v>3:27:57.345033</v>
      </c>
      <c r="C2056">
        <v>-61</v>
      </c>
    </row>
    <row r="2057" spans="1:3" x14ac:dyDescent="0.25">
      <c r="A2057">
        <v>38</v>
      </c>
      <c r="B2057" t="str">
        <f>"3:27:58.599290"</f>
        <v>3:27:58.599290</v>
      </c>
      <c r="C2057">
        <v>-63</v>
      </c>
    </row>
    <row r="2058" spans="1:3" x14ac:dyDescent="0.25">
      <c r="A2058">
        <v>39</v>
      </c>
      <c r="B2058" t="str">
        <f>"3:27:58.599987"</f>
        <v>3:27:58.599987</v>
      </c>
      <c r="C2058">
        <v>-63</v>
      </c>
    </row>
    <row r="2059" spans="1:3" x14ac:dyDescent="0.25">
      <c r="A2059">
        <v>37</v>
      </c>
      <c r="B2059" t="str">
        <f>"3:27:59.826928"</f>
        <v>3:27:59.826928</v>
      </c>
      <c r="C2059">
        <v>-78</v>
      </c>
    </row>
    <row r="2060" spans="1:3" x14ac:dyDescent="0.25">
      <c r="A2060">
        <v>38</v>
      </c>
      <c r="B2060" t="str">
        <f>"3:27:59.827625"</f>
        <v>3:27:59.827625</v>
      </c>
      <c r="C2060">
        <v>-63</v>
      </c>
    </row>
    <row r="2061" spans="1:3" x14ac:dyDescent="0.25">
      <c r="A2061">
        <v>39</v>
      </c>
      <c r="B2061" t="str">
        <f>"3:27:59.828322"</f>
        <v>3:27:59.828322</v>
      </c>
      <c r="C2061">
        <v>-61</v>
      </c>
    </row>
    <row r="2062" spans="1:3" x14ac:dyDescent="0.25">
      <c r="A2062">
        <v>37</v>
      </c>
      <c r="B2062" t="str">
        <f>"3:28:01.095206"</f>
        <v>3:28:01.095206</v>
      </c>
      <c r="C2062">
        <v>-79</v>
      </c>
    </row>
    <row r="2063" spans="1:3" x14ac:dyDescent="0.25">
      <c r="A2063">
        <v>38</v>
      </c>
      <c r="B2063" t="str">
        <f>"3:28:01.095903"</f>
        <v>3:28:01.095903</v>
      </c>
      <c r="C2063">
        <v>-63</v>
      </c>
    </row>
    <row r="2064" spans="1:3" x14ac:dyDescent="0.25">
      <c r="A2064">
        <v>39</v>
      </c>
      <c r="B2064" t="str">
        <f>"3:28:01.096600"</f>
        <v>3:28:01.096600</v>
      </c>
      <c r="C2064">
        <v>-61</v>
      </c>
    </row>
    <row r="2065" spans="1:3" x14ac:dyDescent="0.25">
      <c r="A2065">
        <v>37</v>
      </c>
      <c r="B2065" t="str">
        <f>"3:28:02.321241"</f>
        <v>3:28:02.321241</v>
      </c>
      <c r="C2065">
        <v>-78</v>
      </c>
    </row>
    <row r="2066" spans="1:3" x14ac:dyDescent="0.25">
      <c r="A2066">
        <v>38</v>
      </c>
      <c r="B2066" t="str">
        <f>"3:28:02.321938"</f>
        <v>3:28:02.321938</v>
      </c>
      <c r="C2066">
        <v>-63</v>
      </c>
    </row>
    <row r="2067" spans="1:3" x14ac:dyDescent="0.25">
      <c r="A2067">
        <v>39</v>
      </c>
      <c r="B2067" t="str">
        <f>"3:28:02.322635"</f>
        <v>3:28:02.322635</v>
      </c>
      <c r="C2067">
        <v>-61</v>
      </c>
    </row>
    <row r="2068" spans="1:3" x14ac:dyDescent="0.25">
      <c r="A2068">
        <v>37</v>
      </c>
      <c r="B2068" t="str">
        <f>"3:28:03.555757"</f>
        <v>3:28:03.555757</v>
      </c>
      <c r="C2068">
        <v>-78</v>
      </c>
    </row>
    <row r="2069" spans="1:3" x14ac:dyDescent="0.25">
      <c r="A2069">
        <v>38</v>
      </c>
      <c r="B2069" t="str">
        <f>"3:28:03.556454"</f>
        <v>3:28:03.556454</v>
      </c>
      <c r="C2069">
        <v>-63</v>
      </c>
    </row>
    <row r="2070" spans="1:3" x14ac:dyDescent="0.25">
      <c r="A2070">
        <v>39</v>
      </c>
      <c r="B2070" t="str">
        <f>"3:28:03.557151"</f>
        <v>3:28:03.557151</v>
      </c>
      <c r="C2070">
        <v>-61</v>
      </c>
    </row>
    <row r="2071" spans="1:3" x14ac:dyDescent="0.25">
      <c r="A2071">
        <v>38</v>
      </c>
      <c r="B2071" t="str">
        <f>"3:28:04.821586"</f>
        <v>3:28:04.821586</v>
      </c>
      <c r="C2071">
        <v>-63</v>
      </c>
    </row>
    <row r="2072" spans="1:3" x14ac:dyDescent="0.25">
      <c r="A2072">
        <v>39</v>
      </c>
      <c r="B2072" t="str">
        <f>"3:28:04.822283"</f>
        <v>3:28:04.822283</v>
      </c>
      <c r="C2072">
        <v>-61</v>
      </c>
    </row>
    <row r="2073" spans="1:3" x14ac:dyDescent="0.25">
      <c r="A2073">
        <v>37</v>
      </c>
      <c r="B2073" t="str">
        <f>"3:28:06.051997"</f>
        <v>3:28:06.051997</v>
      </c>
      <c r="C2073">
        <v>-78</v>
      </c>
    </row>
    <row r="2074" spans="1:3" x14ac:dyDescent="0.25">
      <c r="A2074">
        <v>38</v>
      </c>
      <c r="B2074" t="str">
        <f>"3:28:06.052694"</f>
        <v>3:28:06.052694</v>
      </c>
      <c r="C2074">
        <v>-63</v>
      </c>
    </row>
    <row r="2075" spans="1:3" x14ac:dyDescent="0.25">
      <c r="A2075">
        <v>39</v>
      </c>
      <c r="B2075" t="str">
        <f>"3:28:06.053391"</f>
        <v>3:28:06.053391</v>
      </c>
      <c r="C2075">
        <v>-61</v>
      </c>
    </row>
    <row r="2076" spans="1:3" x14ac:dyDescent="0.25">
      <c r="A2076">
        <v>37</v>
      </c>
      <c r="B2076" t="str">
        <f>"3:28:07.311419"</f>
        <v>3:28:07.311419</v>
      </c>
      <c r="C2076">
        <v>-79</v>
      </c>
    </row>
    <row r="2077" spans="1:3" x14ac:dyDescent="0.25">
      <c r="A2077">
        <v>38</v>
      </c>
      <c r="B2077" t="str">
        <f>"3:28:07.312116"</f>
        <v>3:28:07.312116</v>
      </c>
      <c r="C2077">
        <v>-63</v>
      </c>
    </row>
    <row r="2078" spans="1:3" x14ac:dyDescent="0.25">
      <c r="A2078">
        <v>39</v>
      </c>
      <c r="B2078" t="str">
        <f>"3:28:07.312813"</f>
        <v>3:28:07.312813</v>
      </c>
      <c r="C2078">
        <v>-61</v>
      </c>
    </row>
    <row r="2079" spans="1:3" x14ac:dyDescent="0.25">
      <c r="A2079">
        <v>37</v>
      </c>
      <c r="B2079" t="str">
        <f>"3:28:08.531354"</f>
        <v>3:28:08.531354</v>
      </c>
      <c r="C2079">
        <v>-78</v>
      </c>
    </row>
    <row r="2080" spans="1:3" x14ac:dyDescent="0.25">
      <c r="A2080">
        <v>38</v>
      </c>
      <c r="B2080" t="str">
        <f>"3:28:08.532051"</f>
        <v>3:28:08.532051</v>
      </c>
      <c r="C2080">
        <v>-63</v>
      </c>
    </row>
    <row r="2081" spans="1:3" x14ac:dyDescent="0.25">
      <c r="A2081">
        <v>39</v>
      </c>
      <c r="B2081" t="str">
        <f>"3:28:08.532748"</f>
        <v>3:28:08.532748</v>
      </c>
      <c r="C2081">
        <v>-61</v>
      </c>
    </row>
    <row r="2082" spans="1:3" x14ac:dyDescent="0.25">
      <c r="A2082">
        <v>37</v>
      </c>
      <c r="B2082" t="str">
        <f>"3:28:09.777314"</f>
        <v>3:28:09.777314</v>
      </c>
      <c r="C2082">
        <v>-78</v>
      </c>
    </row>
    <row r="2083" spans="1:3" x14ac:dyDescent="0.25">
      <c r="A2083">
        <v>38</v>
      </c>
      <c r="B2083" t="str">
        <f>"3:28:09.778011"</f>
        <v>3:28:09.778011</v>
      </c>
      <c r="C2083">
        <v>-63</v>
      </c>
    </row>
    <row r="2084" spans="1:3" x14ac:dyDescent="0.25">
      <c r="A2084">
        <v>39</v>
      </c>
      <c r="B2084" t="str">
        <f>"3:28:09.778708"</f>
        <v>3:28:09.778708</v>
      </c>
      <c r="C2084">
        <v>-61</v>
      </c>
    </row>
    <row r="2085" spans="1:3" x14ac:dyDescent="0.25">
      <c r="A2085">
        <v>38</v>
      </c>
      <c r="B2085" t="str">
        <f>"3:28:11.033171"</f>
        <v>3:28:11.033171</v>
      </c>
      <c r="C2085">
        <v>-63</v>
      </c>
    </row>
    <row r="2086" spans="1:3" x14ac:dyDescent="0.25">
      <c r="A2086">
        <v>39</v>
      </c>
      <c r="B2086" t="str">
        <f>"3:28:11.033868"</f>
        <v>3:28:11.033868</v>
      </c>
      <c r="C2086">
        <v>-61</v>
      </c>
    </row>
    <row r="2087" spans="1:3" x14ac:dyDescent="0.25">
      <c r="A2087">
        <v>37</v>
      </c>
      <c r="B2087" t="str">
        <f>"3:28:13.510432"</f>
        <v>3:28:13.510432</v>
      </c>
      <c r="C2087">
        <v>-79</v>
      </c>
    </row>
    <row r="2088" spans="1:3" x14ac:dyDescent="0.25">
      <c r="A2088">
        <v>38</v>
      </c>
      <c r="B2088" t="str">
        <f>"3:28:13.511129"</f>
        <v>3:28:13.511129</v>
      </c>
      <c r="C2088">
        <v>-63</v>
      </c>
    </row>
    <row r="2089" spans="1:3" x14ac:dyDescent="0.25">
      <c r="A2089">
        <v>39</v>
      </c>
      <c r="B2089" t="str">
        <f>"3:28:13.511826"</f>
        <v>3:28:13.511826</v>
      </c>
      <c r="C2089">
        <v>-61</v>
      </c>
    </row>
    <row r="2090" spans="1:3" x14ac:dyDescent="0.25">
      <c r="A2090">
        <v>37</v>
      </c>
      <c r="B2090" t="str">
        <f>"3:28:14.754857"</f>
        <v>3:28:14.754857</v>
      </c>
      <c r="C2090">
        <v>-79</v>
      </c>
    </row>
    <row r="2091" spans="1:3" x14ac:dyDescent="0.25">
      <c r="A2091">
        <v>38</v>
      </c>
      <c r="B2091" t="str">
        <f>"3:28:14.755554"</f>
        <v>3:28:14.755554</v>
      </c>
      <c r="C2091">
        <v>-63</v>
      </c>
    </row>
    <row r="2092" spans="1:3" x14ac:dyDescent="0.25">
      <c r="A2092">
        <v>39</v>
      </c>
      <c r="B2092" t="str">
        <f>"3:28:14.756251"</f>
        <v>3:28:14.756251</v>
      </c>
      <c r="C2092">
        <v>-61</v>
      </c>
    </row>
    <row r="2093" spans="1:3" x14ac:dyDescent="0.25">
      <c r="A2093">
        <v>37</v>
      </c>
      <c r="B2093" t="str">
        <f>"3:28:16.003309"</f>
        <v>3:28:16.003309</v>
      </c>
      <c r="C2093">
        <v>-78</v>
      </c>
    </row>
    <row r="2094" spans="1:3" x14ac:dyDescent="0.25">
      <c r="A2094">
        <v>38</v>
      </c>
      <c r="B2094" t="str">
        <f>"3:28:16.004005"</f>
        <v>3:28:16.004005</v>
      </c>
      <c r="C2094">
        <v>-63</v>
      </c>
    </row>
    <row r="2095" spans="1:3" x14ac:dyDescent="0.25">
      <c r="A2095">
        <v>39</v>
      </c>
      <c r="B2095" t="str">
        <f>"3:28:16.004703"</f>
        <v>3:28:16.004703</v>
      </c>
      <c r="C2095">
        <v>-61</v>
      </c>
    </row>
    <row r="2096" spans="1:3" x14ac:dyDescent="0.25">
      <c r="A2096">
        <v>38</v>
      </c>
      <c r="B2096" t="str">
        <f>"3:28:17.276587"</f>
        <v>3:28:17.276587</v>
      </c>
      <c r="C2096">
        <v>-63</v>
      </c>
    </row>
    <row r="2097" spans="1:3" x14ac:dyDescent="0.25">
      <c r="A2097">
        <v>39</v>
      </c>
      <c r="B2097" t="str">
        <f>"3:28:17.277284"</f>
        <v>3:28:17.277284</v>
      </c>
      <c r="C2097">
        <v>-61</v>
      </c>
    </row>
    <row r="2098" spans="1:3" x14ac:dyDescent="0.25">
      <c r="A2098">
        <v>37</v>
      </c>
      <c r="B2098" t="str">
        <f>"3:28:18.494511"</f>
        <v>3:28:18.494511</v>
      </c>
      <c r="C2098">
        <v>-78</v>
      </c>
    </row>
    <row r="2099" spans="1:3" x14ac:dyDescent="0.25">
      <c r="A2099">
        <v>38</v>
      </c>
      <c r="B2099" t="str">
        <f>"3:28:18.495208"</f>
        <v>3:28:18.495208</v>
      </c>
      <c r="C2099">
        <v>-63</v>
      </c>
    </row>
    <row r="2100" spans="1:3" x14ac:dyDescent="0.25">
      <c r="A2100">
        <v>39</v>
      </c>
      <c r="B2100" t="str">
        <f>"3:28:18.495905"</f>
        <v>3:28:18.495905</v>
      </c>
      <c r="C2100">
        <v>-61</v>
      </c>
    </row>
    <row r="2101" spans="1:3" x14ac:dyDescent="0.25">
      <c r="A2101">
        <v>37</v>
      </c>
      <c r="B2101" t="str">
        <f>"3:28:19.770128"</f>
        <v>3:28:19.770128</v>
      </c>
      <c r="C2101">
        <v>-78</v>
      </c>
    </row>
    <row r="2102" spans="1:3" x14ac:dyDescent="0.25">
      <c r="A2102">
        <v>38</v>
      </c>
      <c r="B2102" t="str">
        <f>"3:28:19.770825"</f>
        <v>3:28:19.770825</v>
      </c>
      <c r="C2102">
        <v>-63</v>
      </c>
    </row>
    <row r="2103" spans="1:3" x14ac:dyDescent="0.25">
      <c r="A2103">
        <v>39</v>
      </c>
      <c r="B2103" t="str">
        <f>"3:28:19.771522"</f>
        <v>3:28:19.771522</v>
      </c>
      <c r="C2103">
        <v>-61</v>
      </c>
    </row>
    <row r="2104" spans="1:3" x14ac:dyDescent="0.25">
      <c r="A2104">
        <v>37</v>
      </c>
      <c r="B2104" t="str">
        <f>"3:28:20.997739"</f>
        <v>3:28:20.997739</v>
      </c>
      <c r="C2104">
        <v>-78</v>
      </c>
    </row>
    <row r="2105" spans="1:3" x14ac:dyDescent="0.25">
      <c r="A2105">
        <v>38</v>
      </c>
      <c r="B2105" t="str">
        <f>"3:28:20.998436"</f>
        <v>3:28:20.998436</v>
      </c>
      <c r="C2105">
        <v>-63</v>
      </c>
    </row>
    <row r="2106" spans="1:3" x14ac:dyDescent="0.25">
      <c r="A2106">
        <v>39</v>
      </c>
      <c r="B2106" t="str">
        <f>"3:28:20.999133"</f>
        <v>3:28:20.999133</v>
      </c>
      <c r="C2106">
        <v>-61</v>
      </c>
    </row>
    <row r="2107" spans="1:3" x14ac:dyDescent="0.25">
      <c r="A2107">
        <v>37</v>
      </c>
      <c r="B2107" t="str">
        <f>"3:28:22.227436"</f>
        <v>3:28:22.227436</v>
      </c>
      <c r="C2107">
        <v>-78</v>
      </c>
    </row>
    <row r="2108" spans="1:3" x14ac:dyDescent="0.25">
      <c r="A2108">
        <v>38</v>
      </c>
      <c r="B2108" t="str">
        <f>"3:28:22.228133"</f>
        <v>3:28:22.228133</v>
      </c>
      <c r="C2108">
        <v>-63</v>
      </c>
    </row>
    <row r="2109" spans="1:3" x14ac:dyDescent="0.25">
      <c r="A2109">
        <v>39</v>
      </c>
      <c r="B2109" t="str">
        <f>"3:28:22.228830"</f>
        <v>3:28:22.228830</v>
      </c>
      <c r="C2109">
        <v>-61</v>
      </c>
    </row>
    <row r="2110" spans="1:3" x14ac:dyDescent="0.25">
      <c r="A2110">
        <v>37</v>
      </c>
      <c r="B2110" t="str">
        <f>"3:28:23.475864"</f>
        <v>3:28:23.475864</v>
      </c>
      <c r="C2110">
        <v>-78</v>
      </c>
    </row>
    <row r="2111" spans="1:3" x14ac:dyDescent="0.25">
      <c r="A2111">
        <v>38</v>
      </c>
      <c r="B2111" t="str">
        <f>"3:28:23.476561"</f>
        <v>3:28:23.476561</v>
      </c>
      <c r="C2111">
        <v>-63</v>
      </c>
    </row>
    <row r="2112" spans="1:3" x14ac:dyDescent="0.25">
      <c r="A2112">
        <v>39</v>
      </c>
      <c r="B2112" t="str">
        <f>"3:28:23.477258"</f>
        <v>3:28:23.477258</v>
      </c>
      <c r="C2112">
        <v>-61</v>
      </c>
    </row>
    <row r="2113" spans="1:3" x14ac:dyDescent="0.25">
      <c r="A2113">
        <v>38</v>
      </c>
      <c r="B2113" t="str">
        <f>"3:28:24.717016"</f>
        <v>3:28:24.717016</v>
      </c>
      <c r="C2113">
        <v>-63</v>
      </c>
    </row>
    <row r="2114" spans="1:3" x14ac:dyDescent="0.25">
      <c r="A2114">
        <v>39</v>
      </c>
      <c r="B2114" t="str">
        <f>"3:28:24.717713"</f>
        <v>3:28:24.717713</v>
      </c>
      <c r="C2114">
        <v>-61</v>
      </c>
    </row>
    <row r="2115" spans="1:3" x14ac:dyDescent="0.25">
      <c r="A2115">
        <v>37</v>
      </c>
      <c r="B2115" t="str">
        <f>"3:28:25.978353"</f>
        <v>3:28:25.978353</v>
      </c>
      <c r="C2115">
        <v>-78</v>
      </c>
    </row>
    <row r="2116" spans="1:3" x14ac:dyDescent="0.25">
      <c r="A2116">
        <v>39</v>
      </c>
      <c r="B2116" t="str">
        <f>"3:28:25.979747"</f>
        <v>3:28:25.979747</v>
      </c>
      <c r="C2116">
        <v>-61</v>
      </c>
    </row>
    <row r="2117" spans="1:3" x14ac:dyDescent="0.25">
      <c r="A2117">
        <v>37</v>
      </c>
      <c r="B2117" t="str">
        <f>"3:28:27.225302"</f>
        <v>3:28:27.225302</v>
      </c>
      <c r="C2117">
        <v>-79</v>
      </c>
    </row>
    <row r="2118" spans="1:3" x14ac:dyDescent="0.25">
      <c r="A2118">
        <v>38</v>
      </c>
      <c r="B2118" t="str">
        <f>"3:28:27.225999"</f>
        <v>3:28:27.225999</v>
      </c>
      <c r="C2118">
        <v>-63</v>
      </c>
    </row>
    <row r="2119" spans="1:3" x14ac:dyDescent="0.25">
      <c r="A2119">
        <v>39</v>
      </c>
      <c r="B2119" t="str">
        <f>"3:28:27.226696"</f>
        <v>3:28:27.226696</v>
      </c>
      <c r="C2119">
        <v>-61</v>
      </c>
    </row>
    <row r="2120" spans="1:3" x14ac:dyDescent="0.25">
      <c r="A2120">
        <v>37</v>
      </c>
      <c r="B2120" t="str">
        <f>"3:28:28.456486"</f>
        <v>3:28:28.456486</v>
      </c>
      <c r="C2120">
        <v>-78</v>
      </c>
    </row>
    <row r="2121" spans="1:3" x14ac:dyDescent="0.25">
      <c r="A2121">
        <v>38</v>
      </c>
      <c r="B2121" t="str">
        <f>"3:28:28.457183"</f>
        <v>3:28:28.457183</v>
      </c>
      <c r="C2121">
        <v>-63</v>
      </c>
    </row>
    <row r="2122" spans="1:3" x14ac:dyDescent="0.25">
      <c r="A2122">
        <v>39</v>
      </c>
      <c r="B2122" t="str">
        <f>"3:28:28.457880"</f>
        <v>3:28:28.457880</v>
      </c>
      <c r="C2122">
        <v>-61</v>
      </c>
    </row>
    <row r="2123" spans="1:3" x14ac:dyDescent="0.25">
      <c r="A2123">
        <v>37</v>
      </c>
      <c r="B2123" t="str">
        <f>"3:28:29.717432"</f>
        <v>3:28:29.717432</v>
      </c>
      <c r="C2123">
        <v>-78</v>
      </c>
    </row>
    <row r="2124" spans="1:3" x14ac:dyDescent="0.25">
      <c r="A2124">
        <v>38</v>
      </c>
      <c r="B2124" t="str">
        <f>"3:28:29.718129"</f>
        <v>3:28:29.718129</v>
      </c>
      <c r="C2124">
        <v>-63</v>
      </c>
    </row>
    <row r="2125" spans="1:3" x14ac:dyDescent="0.25">
      <c r="A2125">
        <v>39</v>
      </c>
      <c r="B2125" t="str">
        <f>"3:28:29.718826"</f>
        <v>3:28:29.718826</v>
      </c>
      <c r="C2125">
        <v>-61</v>
      </c>
    </row>
    <row r="2126" spans="1:3" x14ac:dyDescent="0.25">
      <c r="A2126">
        <v>37</v>
      </c>
      <c r="B2126" t="str">
        <f>"3:28:30.947754"</f>
        <v>3:28:30.947754</v>
      </c>
      <c r="C2126">
        <v>-78</v>
      </c>
    </row>
    <row r="2127" spans="1:3" x14ac:dyDescent="0.25">
      <c r="A2127">
        <v>38</v>
      </c>
      <c r="B2127" t="str">
        <f>"3:28:30.948451"</f>
        <v>3:28:30.948451</v>
      </c>
      <c r="C2127">
        <v>-63</v>
      </c>
    </row>
    <row r="2128" spans="1:3" x14ac:dyDescent="0.25">
      <c r="A2128">
        <v>39</v>
      </c>
      <c r="B2128" t="str">
        <f>"3:28:30.949148"</f>
        <v>3:28:30.949148</v>
      </c>
      <c r="C2128">
        <v>-61</v>
      </c>
    </row>
    <row r="2129" spans="1:3" x14ac:dyDescent="0.25">
      <c r="A2129">
        <v>38</v>
      </c>
      <c r="B2129" t="str">
        <f>"3:28:32.208668"</f>
        <v>3:28:32.208668</v>
      </c>
      <c r="C2129">
        <v>-63</v>
      </c>
    </row>
    <row r="2130" spans="1:3" x14ac:dyDescent="0.25">
      <c r="A2130">
        <v>39</v>
      </c>
      <c r="B2130" t="str">
        <f>"3:28:32.209365"</f>
        <v>3:28:32.209365</v>
      </c>
      <c r="C2130">
        <v>-61</v>
      </c>
    </row>
    <row r="2131" spans="1:3" x14ac:dyDescent="0.25">
      <c r="A2131">
        <v>37</v>
      </c>
      <c r="B2131" t="str">
        <f>"3:28:33.435429"</f>
        <v>3:28:33.435429</v>
      </c>
      <c r="C2131">
        <v>-78</v>
      </c>
    </row>
    <row r="2132" spans="1:3" x14ac:dyDescent="0.25">
      <c r="A2132">
        <v>38</v>
      </c>
      <c r="B2132" t="str">
        <f>"3:28:33.436126"</f>
        <v>3:28:33.436126</v>
      </c>
      <c r="C2132">
        <v>-63</v>
      </c>
    </row>
    <row r="2133" spans="1:3" x14ac:dyDescent="0.25">
      <c r="A2133">
        <v>39</v>
      </c>
      <c r="B2133" t="str">
        <f>"3:28:33.436823"</f>
        <v>3:28:33.436823</v>
      </c>
      <c r="C2133">
        <v>-61</v>
      </c>
    </row>
    <row r="2134" spans="1:3" x14ac:dyDescent="0.25">
      <c r="A2134">
        <v>38</v>
      </c>
      <c r="B2134" t="str">
        <f>"3:28:34.688631"</f>
        <v>3:28:34.688631</v>
      </c>
      <c r="C2134">
        <v>-63</v>
      </c>
    </row>
    <row r="2135" spans="1:3" x14ac:dyDescent="0.25">
      <c r="A2135">
        <v>39</v>
      </c>
      <c r="B2135" t="str">
        <f>"3:28:34.689328"</f>
        <v>3:28:34.689328</v>
      </c>
      <c r="C2135">
        <v>-61</v>
      </c>
    </row>
    <row r="2136" spans="1:3" x14ac:dyDescent="0.25">
      <c r="A2136">
        <v>38</v>
      </c>
      <c r="B2136" t="str">
        <f>"3:28:35.927380"</f>
        <v>3:28:35.927380</v>
      </c>
      <c r="C2136">
        <v>-63</v>
      </c>
    </row>
    <row r="2137" spans="1:3" x14ac:dyDescent="0.25">
      <c r="A2137">
        <v>39</v>
      </c>
      <c r="B2137" t="str">
        <f>"3:28:35.928077"</f>
        <v>3:28:35.928077</v>
      </c>
      <c r="C2137">
        <v>-61</v>
      </c>
    </row>
    <row r="2138" spans="1:3" x14ac:dyDescent="0.25">
      <c r="A2138">
        <v>37</v>
      </c>
      <c r="B2138" t="str">
        <f>"3:28:38.430697"</f>
        <v>3:28:38.430697</v>
      </c>
      <c r="C2138">
        <v>-78</v>
      </c>
    </row>
    <row r="2139" spans="1:3" x14ac:dyDescent="0.25">
      <c r="A2139">
        <v>38</v>
      </c>
      <c r="B2139" t="str">
        <f>"3:28:38.431394"</f>
        <v>3:28:38.431394</v>
      </c>
      <c r="C2139">
        <v>-63</v>
      </c>
    </row>
    <row r="2140" spans="1:3" x14ac:dyDescent="0.25">
      <c r="A2140">
        <v>39</v>
      </c>
      <c r="B2140" t="str">
        <f>"3:28:38.432091"</f>
        <v>3:28:38.432091</v>
      </c>
      <c r="C2140">
        <v>-61</v>
      </c>
    </row>
    <row r="2141" spans="1:3" x14ac:dyDescent="0.25">
      <c r="A2141">
        <v>37</v>
      </c>
      <c r="B2141" t="str">
        <f>"3:28:39.663114"</f>
        <v>3:28:39.663114</v>
      </c>
      <c r="C2141">
        <v>-79</v>
      </c>
    </row>
    <row r="2142" spans="1:3" x14ac:dyDescent="0.25">
      <c r="A2142">
        <v>38</v>
      </c>
      <c r="B2142" t="str">
        <f>"3:28:39.663811"</f>
        <v>3:28:39.663811</v>
      </c>
      <c r="C2142">
        <v>-63</v>
      </c>
    </row>
    <row r="2143" spans="1:3" x14ac:dyDescent="0.25">
      <c r="A2143">
        <v>39</v>
      </c>
      <c r="B2143" t="str">
        <f>"3:28:39.664508"</f>
        <v>3:28:39.664508</v>
      </c>
      <c r="C2143">
        <v>-61</v>
      </c>
    </row>
    <row r="2144" spans="1:3" x14ac:dyDescent="0.25">
      <c r="A2144">
        <v>37</v>
      </c>
      <c r="B2144" t="str">
        <f>"3:28:40.901101"</f>
        <v>3:28:40.901101</v>
      </c>
      <c r="C2144">
        <v>-79</v>
      </c>
    </row>
    <row r="2145" spans="1:3" x14ac:dyDescent="0.25">
      <c r="A2145">
        <v>38</v>
      </c>
      <c r="B2145" t="str">
        <f>"3:28:40.901798"</f>
        <v>3:28:40.901798</v>
      </c>
      <c r="C2145">
        <v>-63</v>
      </c>
    </row>
    <row r="2146" spans="1:3" x14ac:dyDescent="0.25">
      <c r="A2146">
        <v>39</v>
      </c>
      <c r="B2146" t="str">
        <f>"3:28:40.902495"</f>
        <v>3:28:40.902495</v>
      </c>
      <c r="C2146">
        <v>-61</v>
      </c>
    </row>
    <row r="2147" spans="1:3" x14ac:dyDescent="0.25">
      <c r="A2147">
        <v>37</v>
      </c>
      <c r="B2147" t="str">
        <f>"3:28:42.152014"</f>
        <v>3:28:42.152014</v>
      </c>
      <c r="C2147">
        <v>-79</v>
      </c>
    </row>
    <row r="2148" spans="1:3" x14ac:dyDescent="0.25">
      <c r="A2148">
        <v>38</v>
      </c>
      <c r="B2148" t="str">
        <f>"3:28:42.152711"</f>
        <v>3:28:42.152711</v>
      </c>
      <c r="C2148">
        <v>-63</v>
      </c>
    </row>
    <row r="2149" spans="1:3" x14ac:dyDescent="0.25">
      <c r="A2149">
        <v>39</v>
      </c>
      <c r="B2149" t="str">
        <f>"3:28:42.153408"</f>
        <v>3:28:42.153408</v>
      </c>
      <c r="C2149">
        <v>-61</v>
      </c>
    </row>
    <row r="2150" spans="1:3" x14ac:dyDescent="0.25">
      <c r="A2150">
        <v>37</v>
      </c>
      <c r="B2150" t="str">
        <f>"3:28:43.404847"</f>
        <v>3:28:43.404847</v>
      </c>
      <c r="C2150">
        <v>-78</v>
      </c>
    </row>
    <row r="2151" spans="1:3" x14ac:dyDescent="0.25">
      <c r="A2151">
        <v>38</v>
      </c>
      <c r="B2151" t="str">
        <f>"3:28:43.405543"</f>
        <v>3:28:43.405543</v>
      </c>
      <c r="C2151">
        <v>-63</v>
      </c>
    </row>
    <row r="2152" spans="1:3" x14ac:dyDescent="0.25">
      <c r="A2152">
        <v>39</v>
      </c>
      <c r="B2152" t="str">
        <f>"3:28:43.406241"</f>
        <v>3:28:43.406241</v>
      </c>
      <c r="C2152">
        <v>-61</v>
      </c>
    </row>
    <row r="2153" spans="1:3" x14ac:dyDescent="0.25">
      <c r="A2153">
        <v>37</v>
      </c>
      <c r="B2153" t="str">
        <f>"3:28:44.647295"</f>
        <v>3:28:44.647295</v>
      </c>
      <c r="C2153">
        <v>-78</v>
      </c>
    </row>
    <row r="2154" spans="1:3" x14ac:dyDescent="0.25">
      <c r="A2154">
        <v>38</v>
      </c>
      <c r="B2154" t="str">
        <f>"3:28:44.647992"</f>
        <v>3:28:44.647992</v>
      </c>
      <c r="C2154">
        <v>-63</v>
      </c>
    </row>
    <row r="2155" spans="1:3" x14ac:dyDescent="0.25">
      <c r="A2155">
        <v>38</v>
      </c>
      <c r="B2155" t="str">
        <f>"3:28:44.648494"</f>
        <v>3:28:44.648494</v>
      </c>
      <c r="C2155">
        <v>-63</v>
      </c>
    </row>
    <row r="2156" spans="1:3" x14ac:dyDescent="0.25">
      <c r="A2156">
        <v>38</v>
      </c>
      <c r="B2156" t="str">
        <f>"3:28:44.648820"</f>
        <v>3:28:44.648820</v>
      </c>
      <c r="C2156">
        <v>-63</v>
      </c>
    </row>
    <row r="2157" spans="1:3" x14ac:dyDescent="0.25">
      <c r="A2157">
        <v>39</v>
      </c>
      <c r="B2157" t="str">
        <f>"3:28:44.649091"</f>
        <v>3:28:44.649091</v>
      </c>
      <c r="C2157">
        <v>-61</v>
      </c>
    </row>
    <row r="2158" spans="1:3" x14ac:dyDescent="0.25">
      <c r="A2158">
        <v>38</v>
      </c>
      <c r="B2158" t="str">
        <f>"3:28:45.909018"</f>
        <v>3:28:45.909018</v>
      </c>
      <c r="C2158">
        <v>-63</v>
      </c>
    </row>
    <row r="2159" spans="1:3" x14ac:dyDescent="0.25">
      <c r="A2159">
        <v>39</v>
      </c>
      <c r="B2159" t="str">
        <f>"3:28:45.909715"</f>
        <v>3:28:45.909715</v>
      </c>
      <c r="C2159">
        <v>-61</v>
      </c>
    </row>
    <row r="2160" spans="1:3" x14ac:dyDescent="0.25">
      <c r="A2160">
        <v>37</v>
      </c>
      <c r="B2160" t="str">
        <f>"3:28:48.369324"</f>
        <v>3:28:48.369324</v>
      </c>
      <c r="C2160">
        <v>-78</v>
      </c>
    </row>
    <row r="2161" spans="1:3" x14ac:dyDescent="0.25">
      <c r="A2161">
        <v>38</v>
      </c>
      <c r="B2161" t="str">
        <f>"3:28:48.370021"</f>
        <v>3:28:48.370021</v>
      </c>
      <c r="C2161">
        <v>-63</v>
      </c>
    </row>
    <row r="2162" spans="1:3" x14ac:dyDescent="0.25">
      <c r="A2162">
        <v>39</v>
      </c>
      <c r="B2162" t="str">
        <f>"3:28:48.370718"</f>
        <v>3:28:48.370718</v>
      </c>
      <c r="C2162">
        <v>-61</v>
      </c>
    </row>
    <row r="2163" spans="1:3" x14ac:dyDescent="0.25">
      <c r="A2163">
        <v>39</v>
      </c>
      <c r="B2163" t="str">
        <f>"3:28:49.646948"</f>
        <v>3:28:49.646948</v>
      </c>
      <c r="C2163">
        <v>-61</v>
      </c>
    </row>
    <row r="2164" spans="1:3" x14ac:dyDescent="0.25">
      <c r="A2164">
        <v>37</v>
      </c>
      <c r="B2164" t="str">
        <f>"3:28:50.857988"</f>
        <v>3:28:50.857988</v>
      </c>
      <c r="C2164">
        <v>-78</v>
      </c>
    </row>
    <row r="2165" spans="1:3" x14ac:dyDescent="0.25">
      <c r="A2165">
        <v>38</v>
      </c>
      <c r="B2165" t="str">
        <f>"3:28:50.858685"</f>
        <v>3:28:50.858685</v>
      </c>
      <c r="C2165">
        <v>-63</v>
      </c>
    </row>
    <row r="2166" spans="1:3" x14ac:dyDescent="0.25">
      <c r="A2166">
        <v>39</v>
      </c>
      <c r="B2166" t="str">
        <f>"3:28:50.859382"</f>
        <v>3:28:50.859382</v>
      </c>
      <c r="C2166">
        <v>-61</v>
      </c>
    </row>
    <row r="2167" spans="1:3" x14ac:dyDescent="0.25">
      <c r="A2167">
        <v>38</v>
      </c>
      <c r="B2167" t="str">
        <f>"3:28:52.109400"</f>
        <v>3:28:52.109400</v>
      </c>
      <c r="C2167">
        <v>-64</v>
      </c>
    </row>
    <row r="2168" spans="1:3" x14ac:dyDescent="0.25">
      <c r="A2168">
        <v>39</v>
      </c>
      <c r="B2168" t="str">
        <f>"3:28:52.110097"</f>
        <v>3:28:52.110097</v>
      </c>
      <c r="C2168">
        <v>-61</v>
      </c>
    </row>
    <row r="2169" spans="1:3" x14ac:dyDescent="0.25">
      <c r="A2169">
        <v>37</v>
      </c>
      <c r="B2169" t="str">
        <f>"3:28:53.351265"</f>
        <v>3:28:53.351265</v>
      </c>
      <c r="C2169">
        <v>-78</v>
      </c>
    </row>
    <row r="2170" spans="1:3" x14ac:dyDescent="0.25">
      <c r="A2170">
        <v>38</v>
      </c>
      <c r="B2170" t="str">
        <f>"3:28:53.351962"</f>
        <v>3:28:53.351962</v>
      </c>
      <c r="C2170">
        <v>-63</v>
      </c>
    </row>
    <row r="2171" spans="1:3" x14ac:dyDescent="0.25">
      <c r="A2171">
        <v>39</v>
      </c>
      <c r="B2171" t="str">
        <f>"3:28:53.352659"</f>
        <v>3:28:53.352659</v>
      </c>
      <c r="C2171">
        <v>-61</v>
      </c>
    </row>
    <row r="2172" spans="1:3" x14ac:dyDescent="0.25">
      <c r="A2172">
        <v>37</v>
      </c>
      <c r="B2172" t="str">
        <f>"3:28:54.591817"</f>
        <v>3:28:54.591817</v>
      </c>
      <c r="C2172">
        <v>-79</v>
      </c>
    </row>
    <row r="2173" spans="1:3" x14ac:dyDescent="0.25">
      <c r="A2173">
        <v>39</v>
      </c>
      <c r="B2173" t="str">
        <f>"3:28:54.593211"</f>
        <v>3:28:54.593211</v>
      </c>
      <c r="C2173">
        <v>-61</v>
      </c>
    </row>
    <row r="2174" spans="1:3" x14ac:dyDescent="0.25">
      <c r="A2174">
        <v>37</v>
      </c>
      <c r="B2174" t="str">
        <f>"3:28:55.842263"</f>
        <v>3:28:55.842263</v>
      </c>
      <c r="C2174">
        <v>-78</v>
      </c>
    </row>
    <row r="2175" spans="1:3" x14ac:dyDescent="0.25">
      <c r="A2175">
        <v>38</v>
      </c>
      <c r="B2175" t="str">
        <f>"3:28:55.842960"</f>
        <v>3:28:55.842960</v>
      </c>
      <c r="C2175">
        <v>-63</v>
      </c>
    </row>
    <row r="2176" spans="1:3" x14ac:dyDescent="0.25">
      <c r="A2176">
        <v>39</v>
      </c>
      <c r="B2176" t="str">
        <f>"3:28:55.843657"</f>
        <v>3:28:55.843657</v>
      </c>
      <c r="C2176">
        <v>-61</v>
      </c>
    </row>
    <row r="2177" spans="1:3" x14ac:dyDescent="0.25">
      <c r="A2177">
        <v>38</v>
      </c>
      <c r="B2177" t="str">
        <f>"3:28:57.098211"</f>
        <v>3:28:57.098211</v>
      </c>
      <c r="C2177">
        <v>-63</v>
      </c>
    </row>
    <row r="2178" spans="1:3" x14ac:dyDescent="0.25">
      <c r="A2178">
        <v>39</v>
      </c>
      <c r="B2178" t="str">
        <f>"3:28:57.098908"</f>
        <v>3:28:57.098908</v>
      </c>
      <c r="C2178">
        <v>-61</v>
      </c>
    </row>
    <row r="2179" spans="1:3" x14ac:dyDescent="0.25">
      <c r="A2179">
        <v>39</v>
      </c>
      <c r="B2179" t="str">
        <f>"3:28:57.099410"</f>
        <v>3:28:57.099410</v>
      </c>
      <c r="C2179">
        <v>-67</v>
      </c>
    </row>
    <row r="2180" spans="1:3" x14ac:dyDescent="0.25">
      <c r="A2180">
        <v>39</v>
      </c>
      <c r="B2180" t="str">
        <f>"3:28:57.099736"</f>
        <v>3:28:57.099736</v>
      </c>
      <c r="C2180">
        <v>-61</v>
      </c>
    </row>
    <row r="2181" spans="1:3" x14ac:dyDescent="0.25">
      <c r="A2181">
        <v>38</v>
      </c>
      <c r="B2181" t="str">
        <f>"3:28:58.320832"</f>
        <v>3:28:58.320832</v>
      </c>
      <c r="C2181">
        <v>-63</v>
      </c>
    </row>
    <row r="2182" spans="1:3" x14ac:dyDescent="0.25">
      <c r="A2182">
        <v>39</v>
      </c>
      <c r="B2182" t="str">
        <f>"3:28:58.321529"</f>
        <v>3:28:58.321529</v>
      </c>
      <c r="C2182">
        <v>-61</v>
      </c>
    </row>
    <row r="2183" spans="1:3" x14ac:dyDescent="0.25">
      <c r="A2183">
        <v>37</v>
      </c>
      <c r="B2183" t="str">
        <f>"3:28:59.558579"</f>
        <v>3:28:59.558579</v>
      </c>
      <c r="C2183">
        <v>-78</v>
      </c>
    </row>
    <row r="2184" spans="1:3" x14ac:dyDescent="0.25">
      <c r="A2184">
        <v>38</v>
      </c>
      <c r="B2184" t="str">
        <f>"3:28:59.559276"</f>
        <v>3:28:59.559276</v>
      </c>
      <c r="C2184">
        <v>-63</v>
      </c>
    </row>
    <row r="2185" spans="1:3" x14ac:dyDescent="0.25">
      <c r="A2185">
        <v>39</v>
      </c>
      <c r="B2185" t="str">
        <f>"3:28:59.559973"</f>
        <v>3:28:59.559973</v>
      </c>
      <c r="C2185">
        <v>-61</v>
      </c>
    </row>
    <row r="2186" spans="1:3" x14ac:dyDescent="0.25">
      <c r="A2186">
        <v>37</v>
      </c>
      <c r="B2186" t="str">
        <f>"3:29:00.809156"</f>
        <v>3:29:00.809156</v>
      </c>
      <c r="C2186">
        <v>-79</v>
      </c>
    </row>
    <row r="2187" spans="1:3" x14ac:dyDescent="0.25">
      <c r="A2187">
        <v>38</v>
      </c>
      <c r="B2187" t="str">
        <f>"3:29:00.809853"</f>
        <v>3:29:00.809853</v>
      </c>
      <c r="C2187">
        <v>-63</v>
      </c>
    </row>
    <row r="2188" spans="1:3" x14ac:dyDescent="0.25">
      <c r="A2188">
        <v>39</v>
      </c>
      <c r="B2188" t="str">
        <f>"3:29:00.810550"</f>
        <v>3:29:00.810550</v>
      </c>
      <c r="C2188">
        <v>-61</v>
      </c>
    </row>
    <row r="2189" spans="1:3" x14ac:dyDescent="0.25">
      <c r="A2189">
        <v>37</v>
      </c>
      <c r="B2189" t="str">
        <f>"3:29:02.054209"</f>
        <v>3:29:02.054209</v>
      </c>
      <c r="C2189">
        <v>-79</v>
      </c>
    </row>
    <row r="2190" spans="1:3" x14ac:dyDescent="0.25">
      <c r="A2190">
        <v>38</v>
      </c>
      <c r="B2190" t="str">
        <f>"3:29:02.054905"</f>
        <v>3:29:02.054905</v>
      </c>
      <c r="C2190">
        <v>-63</v>
      </c>
    </row>
    <row r="2191" spans="1:3" x14ac:dyDescent="0.25">
      <c r="A2191">
        <v>39</v>
      </c>
      <c r="B2191" t="str">
        <f>"3:29:02.055603"</f>
        <v>3:29:02.055603</v>
      </c>
      <c r="C2191">
        <v>-61</v>
      </c>
    </row>
    <row r="2192" spans="1:3" x14ac:dyDescent="0.25">
      <c r="A2192">
        <v>38</v>
      </c>
      <c r="B2192" t="str">
        <f>"3:29:03.304461"</f>
        <v>3:29:03.304461</v>
      </c>
      <c r="C2192">
        <v>-63</v>
      </c>
    </row>
    <row r="2193" spans="1:3" x14ac:dyDescent="0.25">
      <c r="A2193">
        <v>39</v>
      </c>
      <c r="B2193" t="str">
        <f>"3:29:03.305158"</f>
        <v>3:29:03.305158</v>
      </c>
      <c r="C2193">
        <v>-61</v>
      </c>
    </row>
    <row r="2194" spans="1:3" x14ac:dyDescent="0.25">
      <c r="A2194">
        <v>37</v>
      </c>
      <c r="B2194" t="str">
        <f>"3:29:05.809239"</f>
        <v>3:29:05.809239</v>
      </c>
      <c r="C2194">
        <v>-78</v>
      </c>
    </row>
    <row r="2195" spans="1:3" x14ac:dyDescent="0.25">
      <c r="A2195">
        <v>38</v>
      </c>
      <c r="B2195" t="str">
        <f>"3:29:05.809936"</f>
        <v>3:29:05.809936</v>
      </c>
      <c r="C2195">
        <v>-63</v>
      </c>
    </row>
    <row r="2196" spans="1:3" x14ac:dyDescent="0.25">
      <c r="A2196">
        <v>39</v>
      </c>
      <c r="B2196" t="str">
        <f>"3:29:05.810633"</f>
        <v>3:29:05.810633</v>
      </c>
      <c r="C2196">
        <v>-61</v>
      </c>
    </row>
    <row r="2197" spans="1:3" x14ac:dyDescent="0.25">
      <c r="A2197">
        <v>38</v>
      </c>
      <c r="B2197" t="str">
        <f>"3:29:07.063927"</f>
        <v>3:29:07.063927</v>
      </c>
      <c r="C2197">
        <v>-63</v>
      </c>
    </row>
    <row r="2198" spans="1:3" x14ac:dyDescent="0.25">
      <c r="A2198">
        <v>39</v>
      </c>
      <c r="B2198" t="str">
        <f>"3:29:07.064624"</f>
        <v>3:29:07.064624</v>
      </c>
      <c r="C2198">
        <v>-61</v>
      </c>
    </row>
    <row r="2199" spans="1:3" x14ac:dyDescent="0.25">
      <c r="A2199">
        <v>37</v>
      </c>
      <c r="B2199" t="str">
        <f>"3:29:08.279995"</f>
        <v>3:29:08.279995</v>
      </c>
      <c r="C2199">
        <v>-77</v>
      </c>
    </row>
    <row r="2200" spans="1:3" x14ac:dyDescent="0.25">
      <c r="A2200">
        <v>38</v>
      </c>
      <c r="B2200" t="str">
        <f>"3:29:08.280692"</f>
        <v>3:29:08.280692</v>
      </c>
      <c r="C2200">
        <v>-63</v>
      </c>
    </row>
    <row r="2201" spans="1:3" x14ac:dyDescent="0.25">
      <c r="A2201">
        <v>39</v>
      </c>
      <c r="B2201" t="str">
        <f>"3:29:08.281389"</f>
        <v>3:29:08.281389</v>
      </c>
      <c r="C2201">
        <v>-61</v>
      </c>
    </row>
    <row r="2202" spans="1:3" x14ac:dyDescent="0.25">
      <c r="A2202">
        <v>37</v>
      </c>
      <c r="B2202" t="str">
        <f>"3:29:09.523072"</f>
        <v>3:29:09.523072</v>
      </c>
      <c r="C2202">
        <v>-79</v>
      </c>
    </row>
    <row r="2203" spans="1:3" x14ac:dyDescent="0.25">
      <c r="A2203">
        <v>38</v>
      </c>
      <c r="B2203" t="str">
        <f>"3:29:09.523769"</f>
        <v>3:29:09.523769</v>
      </c>
      <c r="C2203">
        <v>-63</v>
      </c>
    </row>
    <row r="2204" spans="1:3" x14ac:dyDescent="0.25">
      <c r="A2204">
        <v>39</v>
      </c>
      <c r="B2204" t="str">
        <f>"3:29:09.524466"</f>
        <v>3:29:09.524466</v>
      </c>
      <c r="C2204">
        <v>-61</v>
      </c>
    </row>
    <row r="2205" spans="1:3" x14ac:dyDescent="0.25">
      <c r="A2205">
        <v>37</v>
      </c>
      <c r="B2205" t="str">
        <f>"3:29:10.780863"</f>
        <v>3:29:10.780863</v>
      </c>
      <c r="C2205">
        <v>-78</v>
      </c>
    </row>
    <row r="2206" spans="1:3" x14ac:dyDescent="0.25">
      <c r="A2206">
        <v>38</v>
      </c>
      <c r="B2206" t="str">
        <f>"3:29:10.781559"</f>
        <v>3:29:10.781559</v>
      </c>
      <c r="C2206">
        <v>-63</v>
      </c>
    </row>
    <row r="2207" spans="1:3" x14ac:dyDescent="0.25">
      <c r="A2207">
        <v>39</v>
      </c>
      <c r="B2207" t="str">
        <f>"3:29:10.782257"</f>
        <v>3:29:10.782257</v>
      </c>
      <c r="C2207">
        <v>-62</v>
      </c>
    </row>
    <row r="2208" spans="1:3" x14ac:dyDescent="0.25">
      <c r="A2208">
        <v>38</v>
      </c>
      <c r="B2208" t="str">
        <f>"3:29:12.014746"</f>
        <v>3:29:12.014746</v>
      </c>
      <c r="C2208">
        <v>-64</v>
      </c>
    </row>
    <row r="2209" spans="1:3" x14ac:dyDescent="0.25">
      <c r="A2209">
        <v>39</v>
      </c>
      <c r="B2209" t="str">
        <f>"3:29:12.015443"</f>
        <v>3:29:12.015443</v>
      </c>
      <c r="C2209">
        <v>-61</v>
      </c>
    </row>
    <row r="2210" spans="1:3" x14ac:dyDescent="0.25">
      <c r="A2210">
        <v>37</v>
      </c>
      <c r="B2210" t="str">
        <f>"3:29:13.251626"</f>
        <v>3:29:13.251626</v>
      </c>
      <c r="C2210">
        <v>-79</v>
      </c>
    </row>
    <row r="2211" spans="1:3" x14ac:dyDescent="0.25">
      <c r="A2211">
        <v>38</v>
      </c>
      <c r="B2211" t="str">
        <f>"3:29:13.252323"</f>
        <v>3:29:13.252323</v>
      </c>
      <c r="C2211">
        <v>-63</v>
      </c>
    </row>
    <row r="2212" spans="1:3" x14ac:dyDescent="0.25">
      <c r="A2212">
        <v>39</v>
      </c>
      <c r="B2212" t="str">
        <f>"3:29:13.253020"</f>
        <v>3:29:13.253020</v>
      </c>
      <c r="C2212">
        <v>-61</v>
      </c>
    </row>
    <row r="2213" spans="1:3" x14ac:dyDescent="0.25">
      <c r="A2213">
        <v>37</v>
      </c>
      <c r="B2213" t="str">
        <f>"3:29:14.495569"</f>
        <v>3:29:14.495569</v>
      </c>
      <c r="C2213">
        <v>-78</v>
      </c>
    </row>
    <row r="2214" spans="1:3" x14ac:dyDescent="0.25">
      <c r="A2214">
        <v>38</v>
      </c>
      <c r="B2214" t="str">
        <f>"3:29:14.496266"</f>
        <v>3:29:14.496266</v>
      </c>
      <c r="C2214">
        <v>-63</v>
      </c>
    </row>
    <row r="2215" spans="1:3" x14ac:dyDescent="0.25">
      <c r="A2215">
        <v>39</v>
      </c>
      <c r="B2215" t="str">
        <f>"3:29:14.496963"</f>
        <v>3:29:14.496963</v>
      </c>
      <c r="C2215">
        <v>-61</v>
      </c>
    </row>
    <row r="2216" spans="1:3" x14ac:dyDescent="0.25">
      <c r="A2216">
        <v>39</v>
      </c>
      <c r="B2216" t="str">
        <f>"3:29:15.774800"</f>
        <v>3:29:15.774800</v>
      </c>
      <c r="C2216">
        <v>-62</v>
      </c>
    </row>
    <row r="2217" spans="1:3" x14ac:dyDescent="0.25">
      <c r="A2217">
        <v>37</v>
      </c>
      <c r="B2217" t="str">
        <f>"3:29:16.990205"</f>
        <v>3:29:16.990205</v>
      </c>
      <c r="C2217">
        <v>-79</v>
      </c>
    </row>
    <row r="2218" spans="1:3" x14ac:dyDescent="0.25">
      <c r="A2218">
        <v>38</v>
      </c>
      <c r="B2218" t="str">
        <f>"3:29:16.990902"</f>
        <v>3:29:16.990902</v>
      </c>
      <c r="C2218">
        <v>-63</v>
      </c>
    </row>
    <row r="2219" spans="1:3" x14ac:dyDescent="0.25">
      <c r="A2219">
        <v>39</v>
      </c>
      <c r="B2219" t="str">
        <f>"3:29:16.991599"</f>
        <v>3:29:16.991599</v>
      </c>
      <c r="C2219">
        <v>-61</v>
      </c>
    </row>
    <row r="2220" spans="1:3" x14ac:dyDescent="0.25">
      <c r="A2220">
        <v>37</v>
      </c>
      <c r="B2220" t="str">
        <f>"3:29:18.264683"</f>
        <v>3:29:18.264683</v>
      </c>
      <c r="C2220">
        <v>-79</v>
      </c>
    </row>
    <row r="2221" spans="1:3" x14ac:dyDescent="0.25">
      <c r="A2221">
        <v>38</v>
      </c>
      <c r="B2221" t="str">
        <f>"3:29:18.265380"</f>
        <v>3:29:18.265380</v>
      </c>
      <c r="C2221">
        <v>-63</v>
      </c>
    </row>
    <row r="2222" spans="1:3" x14ac:dyDescent="0.25">
      <c r="A2222">
        <v>39</v>
      </c>
      <c r="B2222" t="str">
        <f>"3:29:18.266078"</f>
        <v>3:29:18.266078</v>
      </c>
      <c r="C2222">
        <v>-61</v>
      </c>
    </row>
    <row r="2223" spans="1:3" x14ac:dyDescent="0.25">
      <c r="A2223">
        <v>38</v>
      </c>
      <c r="B2223" t="str">
        <f>"3:29:19.486379"</f>
        <v>3:29:19.486379</v>
      </c>
      <c r="C2223">
        <v>-63</v>
      </c>
    </row>
    <row r="2224" spans="1:3" x14ac:dyDescent="0.25">
      <c r="A2224">
        <v>39</v>
      </c>
      <c r="B2224" t="str">
        <f>"3:29:19.487076"</f>
        <v>3:29:19.487076</v>
      </c>
      <c r="C2224">
        <v>-61</v>
      </c>
    </row>
    <row r="2225" spans="1:3" x14ac:dyDescent="0.25">
      <c r="A2225">
        <v>37</v>
      </c>
      <c r="B2225" t="str">
        <f>"3:29:20.763600"</f>
        <v>3:29:20.763600</v>
      </c>
      <c r="C2225">
        <v>-78</v>
      </c>
    </row>
    <row r="2226" spans="1:3" x14ac:dyDescent="0.25">
      <c r="A2226">
        <v>38</v>
      </c>
      <c r="B2226" t="str">
        <f>"3:29:20.764297"</f>
        <v>3:29:20.764297</v>
      </c>
      <c r="C2226">
        <v>-63</v>
      </c>
    </row>
    <row r="2227" spans="1:3" x14ac:dyDescent="0.25">
      <c r="A2227">
        <v>39</v>
      </c>
      <c r="B2227" t="str">
        <f>"3:29:20.764994"</f>
        <v>3:29:20.764994</v>
      </c>
      <c r="C2227">
        <v>-62</v>
      </c>
    </row>
    <row r="2228" spans="1:3" x14ac:dyDescent="0.25">
      <c r="A2228">
        <v>38</v>
      </c>
      <c r="B2228" t="str">
        <f>"3:29:22.005528"</f>
        <v>3:29:22.005528</v>
      </c>
      <c r="C2228">
        <v>-65</v>
      </c>
    </row>
    <row r="2229" spans="1:3" x14ac:dyDescent="0.25">
      <c r="A2229">
        <v>39</v>
      </c>
      <c r="B2229" t="str">
        <f>"3:29:22.006225"</f>
        <v>3:29:22.006225</v>
      </c>
      <c r="C2229">
        <v>-61</v>
      </c>
    </row>
    <row r="2230" spans="1:3" x14ac:dyDescent="0.25">
      <c r="A2230">
        <v>38</v>
      </c>
      <c r="B2230" t="str">
        <f>"3:29:23.231043"</f>
        <v>3:29:23.231043</v>
      </c>
      <c r="C2230">
        <v>-63</v>
      </c>
    </row>
    <row r="2231" spans="1:3" x14ac:dyDescent="0.25">
      <c r="A2231">
        <v>39</v>
      </c>
      <c r="B2231" t="str">
        <f>"3:29:23.231740"</f>
        <v>3:29:23.231740</v>
      </c>
      <c r="C2231">
        <v>-61</v>
      </c>
    </row>
    <row r="2232" spans="1:3" x14ac:dyDescent="0.25">
      <c r="A2232">
        <v>37</v>
      </c>
      <c r="B2232" t="str">
        <f>"3:29:24.472391"</f>
        <v>3:29:24.472391</v>
      </c>
      <c r="C2232">
        <v>-79</v>
      </c>
    </row>
    <row r="2233" spans="1:3" x14ac:dyDescent="0.25">
      <c r="A2233">
        <v>38</v>
      </c>
      <c r="B2233" t="str">
        <f>"3:29:24.473088"</f>
        <v>3:29:24.473088</v>
      </c>
      <c r="C2233">
        <v>-63</v>
      </c>
    </row>
    <row r="2234" spans="1:3" x14ac:dyDescent="0.25">
      <c r="A2234">
        <v>39</v>
      </c>
      <c r="B2234" t="str">
        <f>"3:29:24.473785"</f>
        <v>3:29:24.473785</v>
      </c>
      <c r="C2234">
        <v>-61</v>
      </c>
    </row>
    <row r="2235" spans="1:3" x14ac:dyDescent="0.25">
      <c r="A2235">
        <v>37</v>
      </c>
      <c r="B2235" t="str">
        <f>"3:29:25.719673"</f>
        <v>3:29:25.719673</v>
      </c>
      <c r="C2235">
        <v>-78</v>
      </c>
    </row>
    <row r="2236" spans="1:3" x14ac:dyDescent="0.25">
      <c r="A2236">
        <v>38</v>
      </c>
      <c r="B2236" t="str">
        <f>"3:29:25.720370"</f>
        <v>3:29:25.720370</v>
      </c>
      <c r="C2236">
        <v>-63</v>
      </c>
    </row>
    <row r="2237" spans="1:3" x14ac:dyDescent="0.25">
      <c r="A2237">
        <v>39</v>
      </c>
      <c r="B2237" t="str">
        <f>"3:29:25.721067"</f>
        <v>3:29:25.721067</v>
      </c>
      <c r="C2237">
        <v>-61</v>
      </c>
    </row>
    <row r="2238" spans="1:3" x14ac:dyDescent="0.25">
      <c r="A2238">
        <v>38</v>
      </c>
      <c r="B2238" t="str">
        <f>"3:29:26.970347"</f>
        <v>3:29:26.970347</v>
      </c>
      <c r="C2238">
        <v>-63</v>
      </c>
    </row>
    <row r="2239" spans="1:3" x14ac:dyDescent="0.25">
      <c r="A2239">
        <v>39</v>
      </c>
      <c r="B2239" t="str">
        <f>"3:29:26.971044"</f>
        <v>3:29:26.971044</v>
      </c>
      <c r="C2239">
        <v>-61</v>
      </c>
    </row>
    <row r="2240" spans="1:3" x14ac:dyDescent="0.25">
      <c r="A2240">
        <v>37</v>
      </c>
      <c r="B2240" t="str">
        <f>"3:29:28.245036"</f>
        <v>3:29:28.245036</v>
      </c>
      <c r="C2240">
        <v>-80</v>
      </c>
    </row>
    <row r="2241" spans="1:3" x14ac:dyDescent="0.25">
      <c r="A2241">
        <v>38</v>
      </c>
      <c r="B2241" t="str">
        <f>"3:29:28.245733"</f>
        <v>3:29:28.245733</v>
      </c>
      <c r="C2241">
        <v>-63</v>
      </c>
    </row>
    <row r="2242" spans="1:3" x14ac:dyDescent="0.25">
      <c r="A2242">
        <v>39</v>
      </c>
      <c r="B2242" t="str">
        <f>"3:29:28.246430"</f>
        <v>3:29:28.246430</v>
      </c>
      <c r="C2242">
        <v>-61</v>
      </c>
    </row>
    <row r="2243" spans="1:3" x14ac:dyDescent="0.25">
      <c r="A2243">
        <v>37</v>
      </c>
      <c r="B2243" t="str">
        <f>"3:29:29.453185"</f>
        <v>3:29:29.453185</v>
      </c>
      <c r="C2243">
        <v>-78</v>
      </c>
    </row>
    <row r="2244" spans="1:3" x14ac:dyDescent="0.25">
      <c r="A2244">
        <v>38</v>
      </c>
      <c r="B2244" t="str">
        <f>"3:29:29.453882"</f>
        <v>3:29:29.453882</v>
      </c>
      <c r="C2244">
        <v>-63</v>
      </c>
    </row>
    <row r="2245" spans="1:3" x14ac:dyDescent="0.25">
      <c r="A2245">
        <v>39</v>
      </c>
      <c r="B2245" t="str">
        <f>"3:29:29.454579"</f>
        <v>3:29:29.454579</v>
      </c>
      <c r="C2245">
        <v>-61</v>
      </c>
    </row>
    <row r="2246" spans="1:3" x14ac:dyDescent="0.25">
      <c r="A2246">
        <v>37</v>
      </c>
      <c r="B2246" t="str">
        <f>"3:29:30.707772"</f>
        <v>3:29:30.707772</v>
      </c>
      <c r="C2246">
        <v>-79</v>
      </c>
    </row>
    <row r="2247" spans="1:3" x14ac:dyDescent="0.25">
      <c r="A2247">
        <v>38</v>
      </c>
      <c r="B2247" t="str">
        <f>"3:29:30.708469"</f>
        <v>3:29:30.708469</v>
      </c>
      <c r="C2247">
        <v>-63</v>
      </c>
    </row>
    <row r="2248" spans="1:3" x14ac:dyDescent="0.25">
      <c r="A2248">
        <v>39</v>
      </c>
      <c r="B2248" t="str">
        <f>"3:29:30.709166"</f>
        <v>3:29:30.709166</v>
      </c>
      <c r="C2248">
        <v>-61</v>
      </c>
    </row>
    <row r="2249" spans="1:3" x14ac:dyDescent="0.25">
      <c r="A2249">
        <v>37</v>
      </c>
      <c r="B2249" t="str">
        <f>"3:29:31.983899"</f>
        <v>3:29:31.983899</v>
      </c>
      <c r="C2249">
        <v>-78</v>
      </c>
    </row>
    <row r="2250" spans="1:3" x14ac:dyDescent="0.25">
      <c r="A2250">
        <v>38</v>
      </c>
      <c r="B2250" t="str">
        <f>"3:29:31.984595"</f>
        <v>3:29:31.984595</v>
      </c>
      <c r="C2250">
        <v>-63</v>
      </c>
    </row>
    <row r="2251" spans="1:3" x14ac:dyDescent="0.25">
      <c r="A2251">
        <v>39</v>
      </c>
      <c r="B2251" t="str">
        <f>"3:29:31.985293"</f>
        <v>3:29:31.985293</v>
      </c>
      <c r="C2251">
        <v>-62</v>
      </c>
    </row>
    <row r="2252" spans="1:3" x14ac:dyDescent="0.25">
      <c r="A2252">
        <v>37</v>
      </c>
      <c r="B2252" t="str">
        <f>"3:29:33.189576"</f>
        <v>3:29:33.189576</v>
      </c>
      <c r="C2252">
        <v>-78</v>
      </c>
    </row>
    <row r="2253" spans="1:3" x14ac:dyDescent="0.25">
      <c r="A2253">
        <v>38</v>
      </c>
      <c r="B2253" t="str">
        <f>"3:29:33.190273"</f>
        <v>3:29:33.190273</v>
      </c>
      <c r="C2253">
        <v>-63</v>
      </c>
    </row>
    <row r="2254" spans="1:3" x14ac:dyDescent="0.25">
      <c r="A2254">
        <v>39</v>
      </c>
      <c r="B2254" t="str">
        <f>"3:29:33.190970"</f>
        <v>3:29:33.190970</v>
      </c>
      <c r="C2254">
        <v>-61</v>
      </c>
    </row>
    <row r="2255" spans="1:3" x14ac:dyDescent="0.25">
      <c r="A2255">
        <v>37</v>
      </c>
      <c r="B2255" t="str">
        <f>"3:29:34.445056"</f>
        <v>3:29:34.445056</v>
      </c>
      <c r="C2255">
        <v>-78</v>
      </c>
    </row>
    <row r="2256" spans="1:3" x14ac:dyDescent="0.25">
      <c r="A2256">
        <v>38</v>
      </c>
      <c r="B2256" t="str">
        <f>"3:29:34.445753"</f>
        <v>3:29:34.445753</v>
      </c>
      <c r="C2256">
        <v>-63</v>
      </c>
    </row>
    <row r="2257" spans="1:3" x14ac:dyDescent="0.25">
      <c r="A2257">
        <v>39</v>
      </c>
      <c r="B2257" t="str">
        <f>"3:29:34.446450"</f>
        <v>3:29:34.446450</v>
      </c>
      <c r="C2257">
        <v>-61</v>
      </c>
    </row>
    <row r="2258" spans="1:3" x14ac:dyDescent="0.25">
      <c r="A2258">
        <v>38</v>
      </c>
      <c r="B2258" t="str">
        <f>"3:29:35.678875"</f>
        <v>3:29:35.678875</v>
      </c>
      <c r="C2258">
        <v>-64</v>
      </c>
    </row>
    <row r="2259" spans="1:3" x14ac:dyDescent="0.25">
      <c r="A2259">
        <v>39</v>
      </c>
      <c r="B2259" t="str">
        <f>"3:29:35.679572"</f>
        <v>3:29:35.679572</v>
      </c>
      <c r="C2259">
        <v>-61</v>
      </c>
    </row>
    <row r="2260" spans="1:3" x14ac:dyDescent="0.25">
      <c r="A2260">
        <v>37</v>
      </c>
      <c r="B2260" t="str">
        <f>"3:29:36.916033"</f>
        <v>3:29:36.916033</v>
      </c>
      <c r="C2260">
        <v>-78</v>
      </c>
    </row>
    <row r="2261" spans="1:3" x14ac:dyDescent="0.25">
      <c r="A2261">
        <v>38</v>
      </c>
      <c r="B2261" t="str">
        <f>"3:29:36.916730"</f>
        <v>3:29:36.916730</v>
      </c>
      <c r="C2261">
        <v>-63</v>
      </c>
    </row>
    <row r="2262" spans="1:3" x14ac:dyDescent="0.25">
      <c r="A2262">
        <v>39</v>
      </c>
      <c r="B2262" t="str">
        <f>"3:29:36.917427"</f>
        <v>3:29:36.917427</v>
      </c>
      <c r="C2262">
        <v>-62</v>
      </c>
    </row>
    <row r="2263" spans="1:3" x14ac:dyDescent="0.25">
      <c r="A2263">
        <v>38</v>
      </c>
      <c r="B2263" t="str">
        <f>"3:29:38.157428"</f>
        <v>3:29:38.157428</v>
      </c>
      <c r="C2263">
        <v>-64</v>
      </c>
    </row>
    <row r="2264" spans="1:3" x14ac:dyDescent="0.25">
      <c r="A2264">
        <v>39</v>
      </c>
      <c r="B2264" t="str">
        <f>"3:29:38.158125"</f>
        <v>3:29:38.158125</v>
      </c>
      <c r="C2264">
        <v>-61</v>
      </c>
    </row>
    <row r="2265" spans="1:3" x14ac:dyDescent="0.25">
      <c r="A2265">
        <v>38</v>
      </c>
      <c r="B2265" t="str">
        <f>"3:29:39.408955"</f>
        <v>3:29:39.408955</v>
      </c>
      <c r="C2265">
        <v>-63</v>
      </c>
    </row>
    <row r="2266" spans="1:3" x14ac:dyDescent="0.25">
      <c r="A2266">
        <v>39</v>
      </c>
      <c r="B2266" t="str">
        <f>"3:29:39.409652"</f>
        <v>3:29:39.409652</v>
      </c>
      <c r="C2266">
        <v>-62</v>
      </c>
    </row>
    <row r="2267" spans="1:3" x14ac:dyDescent="0.25">
      <c r="A2267">
        <v>37</v>
      </c>
      <c r="B2267" t="str">
        <f>"3:29:40.651185"</f>
        <v>3:29:40.651185</v>
      </c>
      <c r="C2267">
        <v>-78</v>
      </c>
    </row>
    <row r="2268" spans="1:3" x14ac:dyDescent="0.25">
      <c r="A2268">
        <v>38</v>
      </c>
      <c r="B2268" t="str">
        <f>"3:29:40.651882"</f>
        <v>3:29:40.651882</v>
      </c>
      <c r="C2268">
        <v>-63</v>
      </c>
    </row>
    <row r="2269" spans="1:3" x14ac:dyDescent="0.25">
      <c r="A2269">
        <v>39</v>
      </c>
      <c r="B2269" t="str">
        <f>"3:29:40.652579"</f>
        <v>3:29:40.652579</v>
      </c>
      <c r="C2269">
        <v>-61</v>
      </c>
    </row>
    <row r="2270" spans="1:3" x14ac:dyDescent="0.25">
      <c r="A2270">
        <v>37</v>
      </c>
      <c r="B2270" t="str">
        <f>"3:29:41.907862"</f>
        <v>3:29:41.907862</v>
      </c>
      <c r="C2270">
        <v>-78</v>
      </c>
    </row>
    <row r="2271" spans="1:3" x14ac:dyDescent="0.25">
      <c r="A2271">
        <v>38</v>
      </c>
      <c r="B2271" t="str">
        <f>"3:29:41.908559"</f>
        <v>3:29:41.908559</v>
      </c>
      <c r="C2271">
        <v>-63</v>
      </c>
    </row>
    <row r="2272" spans="1:3" x14ac:dyDescent="0.25">
      <c r="A2272">
        <v>39</v>
      </c>
      <c r="B2272" t="str">
        <f>"3:29:41.909256"</f>
        <v>3:29:41.909256</v>
      </c>
      <c r="C2272">
        <v>-62</v>
      </c>
    </row>
    <row r="2273" spans="1:3" x14ac:dyDescent="0.25">
      <c r="A2273">
        <v>37</v>
      </c>
      <c r="B2273" t="str">
        <f>"3:29:43.149639"</f>
        <v>3:29:43.149639</v>
      </c>
      <c r="C2273">
        <v>-78</v>
      </c>
    </row>
    <row r="2274" spans="1:3" x14ac:dyDescent="0.25">
      <c r="A2274">
        <v>38</v>
      </c>
      <c r="B2274" t="str">
        <f>"3:29:43.150336"</f>
        <v>3:29:43.150336</v>
      </c>
      <c r="C2274">
        <v>-63</v>
      </c>
    </row>
    <row r="2275" spans="1:3" x14ac:dyDescent="0.25">
      <c r="A2275">
        <v>39</v>
      </c>
      <c r="B2275" t="str">
        <f>"3:29:43.151033"</f>
        <v>3:29:43.151033</v>
      </c>
      <c r="C2275">
        <v>-61</v>
      </c>
    </row>
    <row r="2276" spans="1:3" x14ac:dyDescent="0.25">
      <c r="A2276">
        <v>37</v>
      </c>
      <c r="B2276" t="str">
        <f>"3:29:44.388547"</f>
        <v>3:29:44.388547</v>
      </c>
      <c r="C2276">
        <v>-78</v>
      </c>
    </row>
    <row r="2277" spans="1:3" x14ac:dyDescent="0.25">
      <c r="A2277">
        <v>38</v>
      </c>
      <c r="B2277" t="str">
        <f>"3:29:44.389244"</f>
        <v>3:29:44.389244</v>
      </c>
      <c r="C2277">
        <v>-63</v>
      </c>
    </row>
    <row r="2278" spans="1:3" x14ac:dyDescent="0.25">
      <c r="A2278">
        <v>39</v>
      </c>
      <c r="B2278" t="str">
        <f>"3:29:44.389941"</f>
        <v>3:29:44.389941</v>
      </c>
      <c r="C2278">
        <v>-61</v>
      </c>
    </row>
    <row r="2279" spans="1:3" x14ac:dyDescent="0.25">
      <c r="A2279">
        <v>37</v>
      </c>
      <c r="B2279" t="str">
        <f>"3:29:45.637430"</f>
        <v>3:29:45.637430</v>
      </c>
      <c r="C2279">
        <v>-77</v>
      </c>
    </row>
    <row r="2280" spans="1:3" x14ac:dyDescent="0.25">
      <c r="A2280">
        <v>38</v>
      </c>
      <c r="B2280" t="str">
        <f>"3:29:45.638127"</f>
        <v>3:29:45.638127</v>
      </c>
      <c r="C2280">
        <v>-63</v>
      </c>
    </row>
    <row r="2281" spans="1:3" x14ac:dyDescent="0.25">
      <c r="A2281">
        <v>39</v>
      </c>
      <c r="B2281" t="str">
        <f>"3:29:45.638824"</f>
        <v>3:29:45.638824</v>
      </c>
      <c r="C2281">
        <v>-62</v>
      </c>
    </row>
    <row r="2282" spans="1:3" x14ac:dyDescent="0.25">
      <c r="A2282">
        <v>37</v>
      </c>
      <c r="B2282" t="str">
        <f>"3:29:46.892529"</f>
        <v>3:29:46.892529</v>
      </c>
      <c r="C2282">
        <v>-79</v>
      </c>
    </row>
    <row r="2283" spans="1:3" x14ac:dyDescent="0.25">
      <c r="A2283">
        <v>38</v>
      </c>
      <c r="B2283" t="str">
        <f>"3:29:46.893226"</f>
        <v>3:29:46.893226</v>
      </c>
      <c r="C2283">
        <v>-63</v>
      </c>
    </row>
    <row r="2284" spans="1:3" x14ac:dyDescent="0.25">
      <c r="A2284">
        <v>39</v>
      </c>
      <c r="B2284" t="str">
        <f>"3:29:46.893923"</f>
        <v>3:29:46.893923</v>
      </c>
      <c r="C2284">
        <v>-61</v>
      </c>
    </row>
    <row r="2285" spans="1:3" x14ac:dyDescent="0.25">
      <c r="A2285">
        <v>37</v>
      </c>
      <c r="B2285" t="str">
        <f>"3:29:48.156258"</f>
        <v>3:29:48.156258</v>
      </c>
      <c r="C2285">
        <v>-77</v>
      </c>
    </row>
    <row r="2286" spans="1:3" x14ac:dyDescent="0.25">
      <c r="A2286">
        <v>38</v>
      </c>
      <c r="B2286" t="str">
        <f>"3:29:48.156955"</f>
        <v>3:29:48.156955</v>
      </c>
      <c r="C2286">
        <v>-63</v>
      </c>
    </row>
    <row r="2287" spans="1:3" x14ac:dyDescent="0.25">
      <c r="A2287">
        <v>39</v>
      </c>
      <c r="B2287" t="str">
        <f>"3:29:48.157652"</f>
        <v>3:29:48.157652</v>
      </c>
      <c r="C2287">
        <v>-62</v>
      </c>
    </row>
    <row r="2288" spans="1:3" x14ac:dyDescent="0.25">
      <c r="A2288">
        <v>37</v>
      </c>
      <c r="B2288" t="str">
        <f>"3:29:49.388257"</f>
        <v>3:29:49.388257</v>
      </c>
      <c r="C2288">
        <v>-79</v>
      </c>
    </row>
    <row r="2289" spans="1:3" x14ac:dyDescent="0.25">
      <c r="A2289">
        <v>38</v>
      </c>
      <c r="B2289" t="str">
        <f>"3:29:49.388953"</f>
        <v>3:29:49.388953</v>
      </c>
      <c r="C2289">
        <v>-63</v>
      </c>
    </row>
    <row r="2290" spans="1:3" x14ac:dyDescent="0.25">
      <c r="A2290">
        <v>39</v>
      </c>
      <c r="B2290" t="str">
        <f>"3:29:49.389651"</f>
        <v>3:29:49.389651</v>
      </c>
      <c r="C2290">
        <v>-61</v>
      </c>
    </row>
    <row r="2291" spans="1:3" x14ac:dyDescent="0.25">
      <c r="A2291">
        <v>37</v>
      </c>
      <c r="B2291" t="str">
        <f>"3:29:50.621933"</f>
        <v>3:29:50.621933</v>
      </c>
      <c r="C2291">
        <v>-78</v>
      </c>
    </row>
    <row r="2292" spans="1:3" x14ac:dyDescent="0.25">
      <c r="A2292">
        <v>38</v>
      </c>
      <c r="B2292" t="str">
        <f>"3:29:50.622630"</f>
        <v>3:29:50.622630</v>
      </c>
      <c r="C2292">
        <v>-63</v>
      </c>
    </row>
    <row r="2293" spans="1:3" x14ac:dyDescent="0.25">
      <c r="A2293">
        <v>39</v>
      </c>
      <c r="B2293" t="str">
        <f>"3:29:50.623327"</f>
        <v>3:29:50.623327</v>
      </c>
      <c r="C2293">
        <v>-62</v>
      </c>
    </row>
    <row r="2294" spans="1:3" x14ac:dyDescent="0.25">
      <c r="A2294">
        <v>37</v>
      </c>
      <c r="B2294" t="str">
        <f>"3:29:51.873010"</f>
        <v>3:29:51.873010</v>
      </c>
      <c r="C2294">
        <v>-78</v>
      </c>
    </row>
    <row r="2295" spans="1:3" x14ac:dyDescent="0.25">
      <c r="A2295">
        <v>38</v>
      </c>
      <c r="B2295" t="str">
        <f>"3:29:51.873707"</f>
        <v>3:29:51.873707</v>
      </c>
      <c r="C2295">
        <v>-63</v>
      </c>
    </row>
    <row r="2296" spans="1:3" x14ac:dyDescent="0.25">
      <c r="A2296">
        <v>39</v>
      </c>
      <c r="B2296" t="str">
        <f>"3:29:51.874404"</f>
        <v>3:29:51.874404</v>
      </c>
      <c r="C2296">
        <v>-61</v>
      </c>
    </row>
    <row r="2297" spans="1:3" x14ac:dyDescent="0.25">
      <c r="A2297">
        <v>37</v>
      </c>
      <c r="B2297" t="str">
        <f>"3:29:53.119448"</f>
        <v>3:29:53.119448</v>
      </c>
      <c r="C2297">
        <v>-78</v>
      </c>
    </row>
    <row r="2298" spans="1:3" x14ac:dyDescent="0.25">
      <c r="A2298">
        <v>38</v>
      </c>
      <c r="B2298" t="str">
        <f>"3:29:53.120145"</f>
        <v>3:29:53.120145</v>
      </c>
      <c r="C2298">
        <v>-63</v>
      </c>
    </row>
    <row r="2299" spans="1:3" x14ac:dyDescent="0.25">
      <c r="A2299">
        <v>39</v>
      </c>
      <c r="B2299" t="str">
        <f>"3:29:53.120842"</f>
        <v>3:29:53.120842</v>
      </c>
      <c r="C2299">
        <v>-62</v>
      </c>
    </row>
    <row r="2300" spans="1:3" x14ac:dyDescent="0.25">
      <c r="A2300">
        <v>37</v>
      </c>
      <c r="B2300" t="str">
        <f>"3:29:54.357264"</f>
        <v>3:29:54.357264</v>
      </c>
      <c r="C2300">
        <v>-77</v>
      </c>
    </row>
    <row r="2301" spans="1:3" x14ac:dyDescent="0.25">
      <c r="A2301">
        <v>38</v>
      </c>
      <c r="B2301" t="str">
        <f>"3:29:54.357961"</f>
        <v>3:29:54.357961</v>
      </c>
      <c r="C2301">
        <v>-63</v>
      </c>
    </row>
    <row r="2302" spans="1:3" x14ac:dyDescent="0.25">
      <c r="A2302">
        <v>39</v>
      </c>
      <c r="B2302" t="str">
        <f>"3:29:54.358658"</f>
        <v>3:29:54.358658</v>
      </c>
      <c r="C2302">
        <v>-62</v>
      </c>
    </row>
    <row r="2303" spans="1:3" x14ac:dyDescent="0.25">
      <c r="A2303">
        <v>37</v>
      </c>
      <c r="B2303" t="str">
        <f>"3:29:55.646383"</f>
        <v>3:29:55.646383</v>
      </c>
      <c r="C2303">
        <v>-79</v>
      </c>
    </row>
    <row r="2304" spans="1:3" x14ac:dyDescent="0.25">
      <c r="A2304">
        <v>38</v>
      </c>
      <c r="B2304" t="str">
        <f>"3:29:55.647080"</f>
        <v>3:29:55.647080</v>
      </c>
      <c r="C2304">
        <v>-63</v>
      </c>
    </row>
    <row r="2305" spans="1:3" x14ac:dyDescent="0.25">
      <c r="A2305">
        <v>39</v>
      </c>
      <c r="B2305" t="str">
        <f>"3:29:55.647777"</f>
        <v>3:29:55.647777</v>
      </c>
      <c r="C2305">
        <v>-61</v>
      </c>
    </row>
    <row r="2306" spans="1:3" x14ac:dyDescent="0.25">
      <c r="A2306">
        <v>37</v>
      </c>
      <c r="B2306" t="str">
        <f>"3:29:56.856168"</f>
        <v>3:29:56.856168</v>
      </c>
      <c r="C2306">
        <v>-78</v>
      </c>
    </row>
    <row r="2307" spans="1:3" x14ac:dyDescent="0.25">
      <c r="A2307">
        <v>38</v>
      </c>
      <c r="B2307" t="str">
        <f>"3:29:56.856865"</f>
        <v>3:29:56.856865</v>
      </c>
      <c r="C2307">
        <v>-63</v>
      </c>
    </row>
    <row r="2308" spans="1:3" x14ac:dyDescent="0.25">
      <c r="A2308">
        <v>39</v>
      </c>
      <c r="B2308" t="str">
        <f>"3:29:56.857562"</f>
        <v>3:29:56.857562</v>
      </c>
      <c r="C2308">
        <v>-62</v>
      </c>
    </row>
    <row r="2309" spans="1:3" x14ac:dyDescent="0.25">
      <c r="A2309">
        <v>37</v>
      </c>
      <c r="B2309" t="str">
        <f>"3:29:58.107302"</f>
        <v>3:29:58.107302</v>
      </c>
      <c r="C2309">
        <v>-78</v>
      </c>
    </row>
    <row r="2310" spans="1:3" x14ac:dyDescent="0.25">
      <c r="A2310">
        <v>38</v>
      </c>
      <c r="B2310" t="str">
        <f>"3:29:58.107999"</f>
        <v>3:29:58.107999</v>
      </c>
      <c r="C2310">
        <v>-63</v>
      </c>
    </row>
    <row r="2311" spans="1:3" x14ac:dyDescent="0.25">
      <c r="A2311">
        <v>39</v>
      </c>
      <c r="B2311" t="str">
        <f>"3:29:58.108696"</f>
        <v>3:29:58.108696</v>
      </c>
      <c r="C2311">
        <v>-62</v>
      </c>
    </row>
    <row r="2312" spans="1:3" x14ac:dyDescent="0.25">
      <c r="A2312">
        <v>37</v>
      </c>
      <c r="B2312" t="str">
        <f>"3:29:59.339721"</f>
        <v>3:29:59.339721</v>
      </c>
      <c r="C2312">
        <v>-78</v>
      </c>
    </row>
    <row r="2313" spans="1:3" x14ac:dyDescent="0.25">
      <c r="A2313">
        <v>38</v>
      </c>
      <c r="B2313" t="str">
        <f>"3:29:59.340418"</f>
        <v>3:29:59.340418</v>
      </c>
      <c r="C2313">
        <v>-63</v>
      </c>
    </row>
    <row r="2314" spans="1:3" x14ac:dyDescent="0.25">
      <c r="A2314">
        <v>39</v>
      </c>
      <c r="B2314" t="str">
        <f>"3:29:59.341115"</f>
        <v>3:29:59.341115</v>
      </c>
      <c r="C2314">
        <v>-61</v>
      </c>
    </row>
    <row r="2315" spans="1:3" x14ac:dyDescent="0.25">
      <c r="A2315">
        <v>37</v>
      </c>
      <c r="B2315" t="str">
        <f>"3:30:00.574547"</f>
        <v>3:30:00.574547</v>
      </c>
      <c r="C2315">
        <v>-77</v>
      </c>
    </row>
    <row r="2316" spans="1:3" x14ac:dyDescent="0.25">
      <c r="A2316">
        <v>38</v>
      </c>
      <c r="B2316" t="str">
        <f>"3:30:00.575244"</f>
        <v>3:30:00.575244</v>
      </c>
      <c r="C2316">
        <v>-63</v>
      </c>
    </row>
    <row r="2317" spans="1:3" x14ac:dyDescent="0.25">
      <c r="A2317">
        <v>39</v>
      </c>
      <c r="B2317" t="str">
        <f>"3:30:00.575941"</f>
        <v>3:30:00.575941</v>
      </c>
      <c r="C2317">
        <v>-62</v>
      </c>
    </row>
    <row r="2318" spans="1:3" x14ac:dyDescent="0.25">
      <c r="A2318">
        <v>37</v>
      </c>
      <c r="B2318" t="str">
        <f>"3:30:01.821124"</f>
        <v>3:30:01.821124</v>
      </c>
      <c r="C2318">
        <v>-77</v>
      </c>
    </row>
    <row r="2319" spans="1:3" x14ac:dyDescent="0.25">
      <c r="A2319">
        <v>38</v>
      </c>
      <c r="B2319" t="str">
        <f>"3:30:01.821821"</f>
        <v>3:30:01.821821</v>
      </c>
      <c r="C2319">
        <v>-63</v>
      </c>
    </row>
    <row r="2320" spans="1:3" x14ac:dyDescent="0.25">
      <c r="A2320">
        <v>39</v>
      </c>
      <c r="B2320" t="str">
        <f>"3:30:01.822518"</f>
        <v>3:30:01.822518</v>
      </c>
      <c r="C2320">
        <v>-61</v>
      </c>
    </row>
    <row r="2321" spans="1:3" x14ac:dyDescent="0.25">
      <c r="A2321">
        <v>37</v>
      </c>
      <c r="B2321" t="str">
        <f>"3:30:03.071701"</f>
        <v>3:30:03.071701</v>
      </c>
      <c r="C2321">
        <v>-77</v>
      </c>
    </row>
    <row r="2322" spans="1:3" x14ac:dyDescent="0.25">
      <c r="A2322">
        <v>38</v>
      </c>
      <c r="B2322" t="str">
        <f>"3:30:03.072398"</f>
        <v>3:30:03.072398</v>
      </c>
      <c r="C2322">
        <v>-63</v>
      </c>
    </row>
    <row r="2323" spans="1:3" x14ac:dyDescent="0.25">
      <c r="A2323">
        <v>39</v>
      </c>
      <c r="B2323" t="str">
        <f>"3:30:03.073095"</f>
        <v>3:30:03.073095</v>
      </c>
      <c r="C2323">
        <v>-62</v>
      </c>
    </row>
    <row r="2324" spans="1:3" x14ac:dyDescent="0.25">
      <c r="A2324">
        <v>37</v>
      </c>
      <c r="B2324" t="str">
        <f>"3:30:04.305106"</f>
        <v>3:30:04.305106</v>
      </c>
      <c r="C2324">
        <v>-77</v>
      </c>
    </row>
    <row r="2325" spans="1:3" x14ac:dyDescent="0.25">
      <c r="A2325">
        <v>38</v>
      </c>
      <c r="B2325" t="str">
        <f>"3:30:04.305803"</f>
        <v>3:30:04.305803</v>
      </c>
      <c r="C2325">
        <v>-63</v>
      </c>
    </row>
    <row r="2326" spans="1:3" x14ac:dyDescent="0.25">
      <c r="A2326">
        <v>39</v>
      </c>
      <c r="B2326" t="str">
        <f>"3:30:04.306500"</f>
        <v>3:30:04.306500</v>
      </c>
      <c r="C2326">
        <v>-62</v>
      </c>
    </row>
    <row r="2327" spans="1:3" x14ac:dyDescent="0.25">
      <c r="A2327">
        <v>37</v>
      </c>
      <c r="B2327" t="str">
        <f>"3:30:05.593937"</f>
        <v>3:30:05.593937</v>
      </c>
      <c r="C2327">
        <v>-77</v>
      </c>
    </row>
    <row r="2328" spans="1:3" x14ac:dyDescent="0.25">
      <c r="A2328">
        <v>38</v>
      </c>
      <c r="B2328" t="str">
        <f>"3:30:05.594634"</f>
        <v>3:30:05.594634</v>
      </c>
      <c r="C2328">
        <v>-63</v>
      </c>
    </row>
    <row r="2329" spans="1:3" x14ac:dyDescent="0.25">
      <c r="A2329">
        <v>39</v>
      </c>
      <c r="B2329" t="str">
        <f>"3:30:05.595331"</f>
        <v>3:30:05.595331</v>
      </c>
      <c r="C2329">
        <v>-61</v>
      </c>
    </row>
    <row r="2330" spans="1:3" x14ac:dyDescent="0.25">
      <c r="A2330">
        <v>37</v>
      </c>
      <c r="B2330" t="str">
        <f>"3:30:06.833678"</f>
        <v>3:30:06.833678</v>
      </c>
      <c r="C2330">
        <v>-78</v>
      </c>
    </row>
    <row r="2331" spans="1:3" x14ac:dyDescent="0.25">
      <c r="A2331">
        <v>38</v>
      </c>
      <c r="B2331" t="str">
        <f>"3:30:06.834375"</f>
        <v>3:30:06.834375</v>
      </c>
      <c r="C2331">
        <v>-63</v>
      </c>
    </row>
    <row r="2332" spans="1:3" x14ac:dyDescent="0.25">
      <c r="A2332">
        <v>39</v>
      </c>
      <c r="B2332" t="str">
        <f>"3:30:06.835072"</f>
        <v>3:30:06.835072</v>
      </c>
      <c r="C2332">
        <v>-61</v>
      </c>
    </row>
    <row r="2333" spans="1:3" x14ac:dyDescent="0.25">
      <c r="A2333">
        <v>37</v>
      </c>
      <c r="B2333" t="str">
        <f>"3:30:09.296317"</f>
        <v>3:30:09.296317</v>
      </c>
      <c r="C2333">
        <v>-78</v>
      </c>
    </row>
    <row r="2334" spans="1:3" x14ac:dyDescent="0.25">
      <c r="A2334">
        <v>38</v>
      </c>
      <c r="B2334" t="str">
        <f>"3:30:09.297014"</f>
        <v>3:30:09.297014</v>
      </c>
      <c r="C2334">
        <v>-63</v>
      </c>
    </row>
    <row r="2335" spans="1:3" x14ac:dyDescent="0.25">
      <c r="A2335">
        <v>39</v>
      </c>
      <c r="B2335" t="str">
        <f>"3:30:09.297711"</f>
        <v>3:30:09.297711</v>
      </c>
      <c r="C2335">
        <v>-61</v>
      </c>
    </row>
    <row r="2336" spans="1:3" x14ac:dyDescent="0.25">
      <c r="A2336">
        <v>37</v>
      </c>
      <c r="B2336" t="str">
        <f>"3:30:10.538500"</f>
        <v>3:30:10.538500</v>
      </c>
      <c r="C2336">
        <v>-77</v>
      </c>
    </row>
    <row r="2337" spans="1:3" x14ac:dyDescent="0.25">
      <c r="A2337">
        <v>38</v>
      </c>
      <c r="B2337" t="str">
        <f>"3:30:10.539197"</f>
        <v>3:30:10.539197</v>
      </c>
      <c r="C2337">
        <v>-63</v>
      </c>
    </row>
    <row r="2338" spans="1:3" x14ac:dyDescent="0.25">
      <c r="A2338">
        <v>39</v>
      </c>
      <c r="B2338" t="str">
        <f>"3:30:10.539894"</f>
        <v>3:30:10.539894</v>
      </c>
      <c r="C2338">
        <v>-61</v>
      </c>
    </row>
    <row r="2339" spans="1:3" x14ac:dyDescent="0.25">
      <c r="A2339">
        <v>37</v>
      </c>
      <c r="B2339" t="str">
        <f>"3:30:11.777138"</f>
        <v>3:30:11.777138</v>
      </c>
      <c r="C2339">
        <v>-78</v>
      </c>
    </row>
    <row r="2340" spans="1:3" x14ac:dyDescent="0.25">
      <c r="A2340">
        <v>38</v>
      </c>
      <c r="B2340" t="str">
        <f>"3:30:11.777835"</f>
        <v>3:30:11.777835</v>
      </c>
      <c r="C2340">
        <v>-63</v>
      </c>
    </row>
    <row r="2341" spans="1:3" x14ac:dyDescent="0.25">
      <c r="A2341">
        <v>39</v>
      </c>
      <c r="B2341" t="str">
        <f>"3:30:11.778532"</f>
        <v>3:30:11.778532</v>
      </c>
      <c r="C2341">
        <v>-61</v>
      </c>
    </row>
    <row r="2342" spans="1:3" x14ac:dyDescent="0.25">
      <c r="A2342">
        <v>37</v>
      </c>
      <c r="B2342" t="str">
        <f>"3:30:13.013577"</f>
        <v>3:30:13.013577</v>
      </c>
      <c r="C2342">
        <v>-78</v>
      </c>
    </row>
    <row r="2343" spans="1:3" x14ac:dyDescent="0.25">
      <c r="A2343">
        <v>38</v>
      </c>
      <c r="B2343" t="str">
        <f>"3:30:13.014274"</f>
        <v>3:30:13.014274</v>
      </c>
      <c r="C2343">
        <v>-63</v>
      </c>
    </row>
    <row r="2344" spans="1:3" x14ac:dyDescent="0.25">
      <c r="A2344">
        <v>39</v>
      </c>
      <c r="B2344" t="str">
        <f>"3:30:13.014971"</f>
        <v>3:30:13.014971</v>
      </c>
      <c r="C2344">
        <v>-61</v>
      </c>
    </row>
    <row r="2345" spans="1:3" x14ac:dyDescent="0.25">
      <c r="A2345">
        <v>38</v>
      </c>
      <c r="B2345" t="str">
        <f>"3:30:14.258850"</f>
        <v>3:30:14.258850</v>
      </c>
      <c r="C2345">
        <v>-63</v>
      </c>
    </row>
    <row r="2346" spans="1:3" x14ac:dyDescent="0.25">
      <c r="A2346">
        <v>39</v>
      </c>
      <c r="B2346" t="str">
        <f>"3:30:14.259548"</f>
        <v>3:30:14.259548</v>
      </c>
      <c r="C2346">
        <v>-61</v>
      </c>
    </row>
    <row r="2347" spans="1:3" x14ac:dyDescent="0.25">
      <c r="A2347">
        <v>37</v>
      </c>
      <c r="B2347" t="str">
        <f>"3:30:16.749031"</f>
        <v>3:30:16.749031</v>
      </c>
      <c r="C2347">
        <v>-79</v>
      </c>
    </row>
    <row r="2348" spans="1:3" x14ac:dyDescent="0.25">
      <c r="A2348">
        <v>38</v>
      </c>
      <c r="B2348" t="str">
        <f>"3:30:16.749728"</f>
        <v>3:30:16.749728</v>
      </c>
      <c r="C2348">
        <v>-63</v>
      </c>
    </row>
    <row r="2349" spans="1:3" x14ac:dyDescent="0.25">
      <c r="A2349">
        <v>39</v>
      </c>
      <c r="B2349" t="str">
        <f>"3:30:16.750425"</f>
        <v>3:30:16.750425</v>
      </c>
      <c r="C2349">
        <v>-61</v>
      </c>
    </row>
    <row r="2350" spans="1:3" x14ac:dyDescent="0.25">
      <c r="A2350">
        <v>37</v>
      </c>
      <c r="B2350" t="str">
        <f>"3:30:18.000858"</f>
        <v>3:30:18.000858</v>
      </c>
      <c r="C2350">
        <v>-78</v>
      </c>
    </row>
    <row r="2351" spans="1:3" x14ac:dyDescent="0.25">
      <c r="A2351">
        <v>38</v>
      </c>
      <c r="B2351" t="str">
        <f>"3:30:18.001555"</f>
        <v>3:30:18.001555</v>
      </c>
      <c r="C2351">
        <v>-63</v>
      </c>
    </row>
    <row r="2352" spans="1:3" x14ac:dyDescent="0.25">
      <c r="A2352">
        <v>39</v>
      </c>
      <c r="B2352" t="str">
        <f>"3:30:18.002252"</f>
        <v>3:30:18.002252</v>
      </c>
      <c r="C2352">
        <v>-61</v>
      </c>
    </row>
    <row r="2353" spans="1:3" x14ac:dyDescent="0.25">
      <c r="A2353">
        <v>37</v>
      </c>
      <c r="B2353" t="str">
        <f>"3:30:19.236662"</f>
        <v>3:30:19.236662</v>
      </c>
      <c r="C2353">
        <v>-79</v>
      </c>
    </row>
    <row r="2354" spans="1:3" x14ac:dyDescent="0.25">
      <c r="A2354">
        <v>38</v>
      </c>
      <c r="B2354" t="str">
        <f>"3:30:19.237359"</f>
        <v>3:30:19.237359</v>
      </c>
      <c r="C2354">
        <v>-63</v>
      </c>
    </row>
    <row r="2355" spans="1:3" x14ac:dyDescent="0.25">
      <c r="A2355">
        <v>39</v>
      </c>
      <c r="B2355" t="str">
        <f>"3:30:19.238056"</f>
        <v>3:30:19.238056</v>
      </c>
      <c r="C2355">
        <v>-61</v>
      </c>
    </row>
    <row r="2356" spans="1:3" x14ac:dyDescent="0.25">
      <c r="A2356">
        <v>37</v>
      </c>
      <c r="B2356" t="str">
        <f>"3:30:20.486372"</f>
        <v>3:30:20.486372</v>
      </c>
      <c r="C2356">
        <v>-77</v>
      </c>
    </row>
    <row r="2357" spans="1:3" x14ac:dyDescent="0.25">
      <c r="A2357">
        <v>38</v>
      </c>
      <c r="B2357" t="str">
        <f>"3:30:20.487069"</f>
        <v>3:30:20.487069</v>
      </c>
      <c r="C2357">
        <v>-63</v>
      </c>
    </row>
    <row r="2358" spans="1:3" x14ac:dyDescent="0.25">
      <c r="A2358">
        <v>39</v>
      </c>
      <c r="B2358" t="str">
        <f>"3:30:20.487766"</f>
        <v>3:30:20.487766</v>
      </c>
      <c r="C2358">
        <v>-62</v>
      </c>
    </row>
    <row r="2359" spans="1:3" x14ac:dyDescent="0.25">
      <c r="A2359">
        <v>37</v>
      </c>
      <c r="B2359" t="str">
        <f>"3:30:21.730290"</f>
        <v>3:30:21.730290</v>
      </c>
      <c r="C2359">
        <v>-78</v>
      </c>
    </row>
    <row r="2360" spans="1:3" x14ac:dyDescent="0.25">
      <c r="A2360">
        <v>38</v>
      </c>
      <c r="B2360" t="str">
        <f>"3:30:21.730987"</f>
        <v>3:30:21.730987</v>
      </c>
      <c r="C2360">
        <v>-63</v>
      </c>
    </row>
    <row r="2361" spans="1:3" x14ac:dyDescent="0.25">
      <c r="A2361">
        <v>39</v>
      </c>
      <c r="B2361" t="str">
        <f>"3:30:21.731684"</f>
        <v>3:30:21.731684</v>
      </c>
      <c r="C2361">
        <v>-62</v>
      </c>
    </row>
    <row r="2362" spans="1:3" x14ac:dyDescent="0.25">
      <c r="A2362">
        <v>37</v>
      </c>
      <c r="B2362" t="str">
        <f>"3:30:22.965217"</f>
        <v>3:30:22.965217</v>
      </c>
      <c r="C2362">
        <v>-78</v>
      </c>
    </row>
    <row r="2363" spans="1:3" x14ac:dyDescent="0.25">
      <c r="A2363">
        <v>38</v>
      </c>
      <c r="B2363" t="str">
        <f>"3:30:22.965913"</f>
        <v>3:30:22.965913</v>
      </c>
      <c r="C2363">
        <v>-63</v>
      </c>
    </row>
    <row r="2364" spans="1:3" x14ac:dyDescent="0.25">
      <c r="A2364">
        <v>39</v>
      </c>
      <c r="B2364" t="str">
        <f>"3:30:22.966611"</f>
        <v>3:30:22.966611</v>
      </c>
      <c r="C2364">
        <v>-61</v>
      </c>
    </row>
    <row r="2365" spans="1:3" x14ac:dyDescent="0.25">
      <c r="A2365">
        <v>37</v>
      </c>
      <c r="B2365" t="str">
        <f>"3:30:24.222443"</f>
        <v>3:30:24.222443</v>
      </c>
      <c r="C2365">
        <v>-77</v>
      </c>
    </row>
    <row r="2366" spans="1:3" x14ac:dyDescent="0.25">
      <c r="A2366">
        <v>38</v>
      </c>
      <c r="B2366" t="str">
        <f>"3:30:24.223140"</f>
        <v>3:30:24.223140</v>
      </c>
      <c r="C2366">
        <v>-63</v>
      </c>
    </row>
    <row r="2367" spans="1:3" x14ac:dyDescent="0.25">
      <c r="A2367">
        <v>39</v>
      </c>
      <c r="B2367" t="str">
        <f>"3:30:24.223837"</f>
        <v>3:30:24.223837</v>
      </c>
      <c r="C2367">
        <v>-61</v>
      </c>
    </row>
    <row r="2368" spans="1:3" x14ac:dyDescent="0.25">
      <c r="A2368">
        <v>37</v>
      </c>
      <c r="B2368" t="str">
        <f>"3:30:25.474446"</f>
        <v>3:30:25.474446</v>
      </c>
      <c r="C2368">
        <v>-77</v>
      </c>
    </row>
    <row r="2369" spans="1:3" x14ac:dyDescent="0.25">
      <c r="A2369">
        <v>38</v>
      </c>
      <c r="B2369" t="str">
        <f>"3:30:25.475143"</f>
        <v>3:30:25.475143</v>
      </c>
      <c r="C2369">
        <v>-63</v>
      </c>
    </row>
    <row r="2370" spans="1:3" x14ac:dyDescent="0.25">
      <c r="A2370">
        <v>39</v>
      </c>
      <c r="B2370" t="str">
        <f>"3:30:25.475840"</f>
        <v>3:30:25.475840</v>
      </c>
      <c r="C2370">
        <v>-62</v>
      </c>
    </row>
    <row r="2371" spans="1:3" x14ac:dyDescent="0.25">
      <c r="A2371">
        <v>37</v>
      </c>
      <c r="B2371" t="str">
        <f>"3:30:26.713049"</f>
        <v>3:30:26.713049</v>
      </c>
      <c r="C2371">
        <v>-77</v>
      </c>
    </row>
    <row r="2372" spans="1:3" x14ac:dyDescent="0.25">
      <c r="A2372">
        <v>38</v>
      </c>
      <c r="B2372" t="str">
        <f>"3:30:26.713746"</f>
        <v>3:30:26.713746</v>
      </c>
      <c r="C2372">
        <v>-63</v>
      </c>
    </row>
    <row r="2373" spans="1:3" x14ac:dyDescent="0.25">
      <c r="A2373">
        <v>39</v>
      </c>
      <c r="B2373" t="str">
        <f>"3:30:26.714443"</f>
        <v>3:30:26.714443</v>
      </c>
      <c r="C2373">
        <v>-62</v>
      </c>
    </row>
    <row r="2374" spans="1:3" x14ac:dyDescent="0.25">
      <c r="A2374">
        <v>38</v>
      </c>
      <c r="B2374" t="str">
        <f>"3:30:27.963574"</f>
        <v>3:30:27.963574</v>
      </c>
      <c r="C2374">
        <v>-63</v>
      </c>
    </row>
    <row r="2375" spans="1:3" x14ac:dyDescent="0.25">
      <c r="A2375">
        <v>39</v>
      </c>
      <c r="B2375" t="str">
        <f>"3:30:27.964271"</f>
        <v>3:30:27.964271</v>
      </c>
      <c r="C2375">
        <v>-62</v>
      </c>
    </row>
    <row r="2376" spans="1:3" x14ac:dyDescent="0.25">
      <c r="A2376">
        <v>38</v>
      </c>
      <c r="B2376" t="str">
        <f>"3:30:29.207151"</f>
        <v>3:30:29.207151</v>
      </c>
      <c r="C2376">
        <v>-63</v>
      </c>
    </row>
    <row r="2377" spans="1:3" x14ac:dyDescent="0.25">
      <c r="A2377">
        <v>39</v>
      </c>
      <c r="B2377" t="str">
        <f>"3:30:29.207848"</f>
        <v>3:30:29.207848</v>
      </c>
      <c r="C2377">
        <v>-61</v>
      </c>
    </row>
    <row r="2378" spans="1:3" x14ac:dyDescent="0.25">
      <c r="A2378">
        <v>38</v>
      </c>
      <c r="B2378" t="str">
        <f>"3:30:30.449271"</f>
        <v>3:30:30.449271</v>
      </c>
      <c r="C2378">
        <v>-63</v>
      </c>
    </row>
    <row r="2379" spans="1:3" x14ac:dyDescent="0.25">
      <c r="A2379">
        <v>39</v>
      </c>
      <c r="B2379" t="str">
        <f>"3:30:30.449968"</f>
        <v>3:30:30.449968</v>
      </c>
      <c r="C2379">
        <v>-61</v>
      </c>
    </row>
    <row r="2380" spans="1:3" x14ac:dyDescent="0.25">
      <c r="A2380">
        <v>37</v>
      </c>
      <c r="B2380" t="str">
        <f>"3:30:31.691932"</f>
        <v>3:30:31.691932</v>
      </c>
      <c r="C2380">
        <v>-79</v>
      </c>
    </row>
    <row r="2381" spans="1:3" x14ac:dyDescent="0.25">
      <c r="A2381">
        <v>38</v>
      </c>
      <c r="B2381" t="str">
        <f>"3:30:31.692628"</f>
        <v>3:30:31.692628</v>
      </c>
      <c r="C2381">
        <v>-63</v>
      </c>
    </row>
    <row r="2382" spans="1:3" x14ac:dyDescent="0.25">
      <c r="A2382">
        <v>39</v>
      </c>
      <c r="B2382" t="str">
        <f>"3:30:31.693326"</f>
        <v>3:30:31.693326</v>
      </c>
      <c r="C2382">
        <v>-61</v>
      </c>
    </row>
    <row r="2383" spans="1:3" x14ac:dyDescent="0.25">
      <c r="A2383">
        <v>39</v>
      </c>
      <c r="B2383" t="str">
        <f>"3:30:31.693828"</f>
        <v>3:30:31.693828</v>
      </c>
      <c r="C2383">
        <v>-67</v>
      </c>
    </row>
    <row r="2384" spans="1:3" x14ac:dyDescent="0.25">
      <c r="A2384">
        <v>37</v>
      </c>
      <c r="B2384" t="str">
        <f>"3:30:32.928508"</f>
        <v>3:30:32.928508</v>
      </c>
      <c r="C2384">
        <v>-77</v>
      </c>
    </row>
    <row r="2385" spans="1:3" x14ac:dyDescent="0.25">
      <c r="A2385">
        <v>38</v>
      </c>
      <c r="B2385" t="str">
        <f>"3:30:32.929205"</f>
        <v>3:30:32.929205</v>
      </c>
      <c r="C2385">
        <v>-63</v>
      </c>
    </row>
    <row r="2386" spans="1:3" x14ac:dyDescent="0.25">
      <c r="A2386">
        <v>39</v>
      </c>
      <c r="B2386" t="str">
        <f>"3:30:32.929902"</f>
        <v>3:30:32.929902</v>
      </c>
      <c r="C2386">
        <v>-61</v>
      </c>
    </row>
    <row r="2387" spans="1:3" x14ac:dyDescent="0.25">
      <c r="A2387">
        <v>38</v>
      </c>
      <c r="B2387" t="str">
        <f>"3:30:34.174880"</f>
        <v>3:30:34.174880</v>
      </c>
      <c r="C2387">
        <v>-63</v>
      </c>
    </row>
    <row r="2388" spans="1:3" x14ac:dyDescent="0.25">
      <c r="A2388">
        <v>39</v>
      </c>
      <c r="B2388" t="str">
        <f>"3:30:34.175577"</f>
        <v>3:30:34.175577</v>
      </c>
      <c r="C2388">
        <v>-61</v>
      </c>
    </row>
    <row r="2389" spans="1:3" x14ac:dyDescent="0.25">
      <c r="A2389">
        <v>37</v>
      </c>
      <c r="B2389" t="str">
        <f>"3:30:35.431936"</f>
        <v>3:30:35.431936</v>
      </c>
      <c r="C2389">
        <v>-78</v>
      </c>
    </row>
    <row r="2390" spans="1:3" x14ac:dyDescent="0.25">
      <c r="A2390">
        <v>38</v>
      </c>
      <c r="B2390" t="str">
        <f>"3:30:35.432633"</f>
        <v>3:30:35.432633</v>
      </c>
      <c r="C2390">
        <v>-63</v>
      </c>
    </row>
    <row r="2391" spans="1:3" x14ac:dyDescent="0.25">
      <c r="A2391">
        <v>39</v>
      </c>
      <c r="B2391" t="str">
        <f>"3:30:35.433330"</f>
        <v>3:30:35.433330</v>
      </c>
      <c r="C2391">
        <v>-61</v>
      </c>
    </row>
    <row r="2392" spans="1:3" x14ac:dyDescent="0.25">
      <c r="A2392">
        <v>37</v>
      </c>
      <c r="B2392" t="str">
        <f>"3:30:36.694541"</f>
        <v>3:30:36.694541</v>
      </c>
      <c r="C2392">
        <v>-78</v>
      </c>
    </row>
    <row r="2393" spans="1:3" x14ac:dyDescent="0.25">
      <c r="A2393">
        <v>38</v>
      </c>
      <c r="B2393" t="str">
        <f>"3:30:36.695238"</f>
        <v>3:30:36.695238</v>
      </c>
      <c r="C2393">
        <v>-63</v>
      </c>
    </row>
    <row r="2394" spans="1:3" x14ac:dyDescent="0.25">
      <c r="A2394">
        <v>39</v>
      </c>
      <c r="B2394" t="str">
        <f>"3:30:36.695935"</f>
        <v>3:30:36.695935</v>
      </c>
      <c r="C2394">
        <v>-61</v>
      </c>
    </row>
    <row r="2395" spans="1:3" x14ac:dyDescent="0.25">
      <c r="A2395">
        <v>37</v>
      </c>
      <c r="B2395" t="str">
        <f>"3:30:37.912613"</f>
        <v>3:30:37.912613</v>
      </c>
      <c r="C2395">
        <v>-78</v>
      </c>
    </row>
    <row r="2396" spans="1:3" x14ac:dyDescent="0.25">
      <c r="A2396">
        <v>38</v>
      </c>
      <c r="B2396" t="str">
        <f>"3:30:37.913310"</f>
        <v>3:30:37.913310</v>
      </c>
      <c r="C2396">
        <v>-63</v>
      </c>
    </row>
    <row r="2397" spans="1:3" x14ac:dyDescent="0.25">
      <c r="A2397">
        <v>39</v>
      </c>
      <c r="B2397" t="str">
        <f>"3:30:37.914007"</f>
        <v>3:30:37.914007</v>
      </c>
      <c r="C2397">
        <v>-61</v>
      </c>
    </row>
    <row r="2398" spans="1:3" x14ac:dyDescent="0.25">
      <c r="A2398">
        <v>37</v>
      </c>
      <c r="B2398" t="str">
        <f>"3:30:39.168540"</f>
        <v>3:30:39.168540</v>
      </c>
      <c r="C2398">
        <v>-77</v>
      </c>
    </row>
    <row r="2399" spans="1:3" x14ac:dyDescent="0.25">
      <c r="A2399">
        <v>38</v>
      </c>
      <c r="B2399" t="str">
        <f>"3:30:39.169237"</f>
        <v>3:30:39.169237</v>
      </c>
      <c r="C2399">
        <v>-63</v>
      </c>
    </row>
    <row r="2400" spans="1:3" x14ac:dyDescent="0.25">
      <c r="A2400">
        <v>39</v>
      </c>
      <c r="B2400" t="str">
        <f>"3:30:39.169934"</f>
        <v>3:30:39.169934</v>
      </c>
      <c r="C2400">
        <v>-61</v>
      </c>
    </row>
    <row r="2401" spans="1:3" x14ac:dyDescent="0.25">
      <c r="A2401">
        <v>37</v>
      </c>
      <c r="B2401" t="str">
        <f>"3:30:40.408516"</f>
        <v>3:30:40.408516</v>
      </c>
      <c r="C2401">
        <v>-78</v>
      </c>
    </row>
    <row r="2402" spans="1:3" x14ac:dyDescent="0.25">
      <c r="A2402">
        <v>38</v>
      </c>
      <c r="B2402" t="str">
        <f>"3:30:40.409213"</f>
        <v>3:30:40.409213</v>
      </c>
      <c r="C2402">
        <v>-63</v>
      </c>
    </row>
    <row r="2403" spans="1:3" x14ac:dyDescent="0.25">
      <c r="A2403">
        <v>39</v>
      </c>
      <c r="B2403" t="str">
        <f>"3:30:40.409910"</f>
        <v>3:30:40.409910</v>
      </c>
      <c r="C2403">
        <v>-62</v>
      </c>
    </row>
    <row r="2404" spans="1:3" x14ac:dyDescent="0.25">
      <c r="A2404">
        <v>37</v>
      </c>
      <c r="B2404" t="str">
        <f>"3:30:41.666393"</f>
        <v>3:30:41.666393</v>
      </c>
      <c r="C2404">
        <v>-78</v>
      </c>
    </row>
    <row r="2405" spans="1:3" x14ac:dyDescent="0.25">
      <c r="A2405">
        <v>38</v>
      </c>
      <c r="B2405" t="str">
        <f>"3:30:41.667090"</f>
        <v>3:30:41.667090</v>
      </c>
      <c r="C2405">
        <v>-63</v>
      </c>
    </row>
    <row r="2406" spans="1:3" x14ac:dyDescent="0.25">
      <c r="A2406">
        <v>39</v>
      </c>
      <c r="B2406" t="str">
        <f>"3:30:41.667787"</f>
        <v>3:30:41.667787</v>
      </c>
      <c r="C2406">
        <v>-61</v>
      </c>
    </row>
    <row r="2407" spans="1:3" x14ac:dyDescent="0.25">
      <c r="A2407">
        <v>38</v>
      </c>
      <c r="B2407" t="str">
        <f>"3:30:42.942780"</f>
        <v>3:30:42.942780</v>
      </c>
      <c r="C2407">
        <v>-63</v>
      </c>
    </row>
    <row r="2408" spans="1:3" x14ac:dyDescent="0.25">
      <c r="A2408">
        <v>39</v>
      </c>
      <c r="B2408" t="str">
        <f>"3:30:42.943477"</f>
        <v>3:30:42.943477</v>
      </c>
      <c r="C2408">
        <v>-61</v>
      </c>
    </row>
    <row r="2409" spans="1:3" x14ac:dyDescent="0.25">
      <c r="A2409">
        <v>37</v>
      </c>
      <c r="B2409" t="str">
        <f>"3:30:44.192259"</f>
        <v>3:30:44.192259</v>
      </c>
      <c r="C2409">
        <v>-78</v>
      </c>
    </row>
    <row r="2410" spans="1:3" x14ac:dyDescent="0.25">
      <c r="A2410">
        <v>38</v>
      </c>
      <c r="B2410" t="str">
        <f>"3:30:44.192955"</f>
        <v>3:30:44.192955</v>
      </c>
      <c r="C2410">
        <v>-63</v>
      </c>
    </row>
    <row r="2411" spans="1:3" x14ac:dyDescent="0.25">
      <c r="A2411">
        <v>39</v>
      </c>
      <c r="B2411" t="str">
        <f>"3:30:44.193652"</f>
        <v>3:30:44.193652</v>
      </c>
      <c r="C2411">
        <v>-61</v>
      </c>
    </row>
    <row r="2412" spans="1:3" x14ac:dyDescent="0.25">
      <c r="A2412">
        <v>37</v>
      </c>
      <c r="B2412" t="str">
        <f>"3:30:45.398124"</f>
        <v>3:30:45.398124</v>
      </c>
      <c r="C2412">
        <v>-78</v>
      </c>
    </row>
    <row r="2413" spans="1:3" x14ac:dyDescent="0.25">
      <c r="A2413">
        <v>38</v>
      </c>
      <c r="B2413" t="str">
        <f>"3:30:45.398821"</f>
        <v>3:30:45.398821</v>
      </c>
      <c r="C2413">
        <v>-63</v>
      </c>
    </row>
    <row r="2414" spans="1:3" x14ac:dyDescent="0.25">
      <c r="A2414">
        <v>39</v>
      </c>
      <c r="B2414" t="str">
        <f>"3:30:45.399518"</f>
        <v>3:30:45.399518</v>
      </c>
      <c r="C2414">
        <v>-61</v>
      </c>
    </row>
    <row r="2415" spans="1:3" x14ac:dyDescent="0.25">
      <c r="A2415">
        <v>37</v>
      </c>
      <c r="B2415" t="str">
        <f>"3:30:46.671779"</f>
        <v>3:30:46.671779</v>
      </c>
      <c r="C2415">
        <v>-77</v>
      </c>
    </row>
    <row r="2416" spans="1:3" x14ac:dyDescent="0.25">
      <c r="A2416">
        <v>38</v>
      </c>
      <c r="B2416" t="str">
        <f>"3:30:46.672476"</f>
        <v>3:30:46.672476</v>
      </c>
      <c r="C2416">
        <v>-63</v>
      </c>
    </row>
    <row r="2417" spans="1:3" x14ac:dyDescent="0.25">
      <c r="A2417">
        <v>39</v>
      </c>
      <c r="B2417" t="str">
        <f>"3:30:46.673173"</f>
        <v>3:30:46.673173</v>
      </c>
      <c r="C2417">
        <v>-61</v>
      </c>
    </row>
    <row r="2418" spans="1:3" x14ac:dyDescent="0.25">
      <c r="A2418">
        <v>37</v>
      </c>
      <c r="B2418" t="str">
        <f>"3:30:47.903739"</f>
        <v>3:30:47.903739</v>
      </c>
      <c r="C2418">
        <v>-77</v>
      </c>
    </row>
    <row r="2419" spans="1:3" x14ac:dyDescent="0.25">
      <c r="A2419">
        <v>38</v>
      </c>
      <c r="B2419" t="str">
        <f>"3:30:47.904435"</f>
        <v>3:30:47.904435</v>
      </c>
      <c r="C2419">
        <v>-63</v>
      </c>
    </row>
    <row r="2420" spans="1:3" x14ac:dyDescent="0.25">
      <c r="A2420">
        <v>39</v>
      </c>
      <c r="B2420" t="str">
        <f>"3:30:47.905132"</f>
        <v>3:30:47.905132</v>
      </c>
      <c r="C2420">
        <v>-61</v>
      </c>
    </row>
    <row r="2421" spans="1:3" x14ac:dyDescent="0.25">
      <c r="A2421">
        <v>37</v>
      </c>
      <c r="B2421" t="str">
        <f>"3:30:49.145356"</f>
        <v>3:30:49.145356</v>
      </c>
      <c r="C2421">
        <v>-78</v>
      </c>
    </row>
    <row r="2422" spans="1:3" x14ac:dyDescent="0.25">
      <c r="A2422">
        <v>38</v>
      </c>
      <c r="B2422" t="str">
        <f>"3:30:49.146053"</f>
        <v>3:30:49.146053</v>
      </c>
      <c r="C2422">
        <v>-63</v>
      </c>
    </row>
    <row r="2423" spans="1:3" x14ac:dyDescent="0.25">
      <c r="A2423">
        <v>39</v>
      </c>
      <c r="B2423" t="str">
        <f>"3:30:49.146750"</f>
        <v>3:30:49.146750</v>
      </c>
      <c r="C2423">
        <v>-61</v>
      </c>
    </row>
    <row r="2424" spans="1:3" x14ac:dyDescent="0.25">
      <c r="A2424">
        <v>37</v>
      </c>
      <c r="B2424" t="str">
        <f>"3:30:50.395853"</f>
        <v>3:30:50.395853</v>
      </c>
      <c r="C2424">
        <v>-77</v>
      </c>
    </row>
    <row r="2425" spans="1:3" x14ac:dyDescent="0.25">
      <c r="A2425">
        <v>38</v>
      </c>
      <c r="B2425" t="str">
        <f>"3:30:50.396550"</f>
        <v>3:30:50.396550</v>
      </c>
      <c r="C2425">
        <v>-63</v>
      </c>
    </row>
    <row r="2426" spans="1:3" x14ac:dyDescent="0.25">
      <c r="A2426">
        <v>39</v>
      </c>
      <c r="B2426" t="str">
        <f>"3:30:50.397247"</f>
        <v>3:30:50.397247</v>
      </c>
      <c r="C2426">
        <v>-61</v>
      </c>
    </row>
    <row r="2427" spans="1:3" x14ac:dyDescent="0.25">
      <c r="A2427">
        <v>37</v>
      </c>
      <c r="B2427" t="str">
        <f>"3:30:51.680119"</f>
        <v>3:30:51.680119</v>
      </c>
      <c r="C2427">
        <v>-78</v>
      </c>
    </row>
    <row r="2428" spans="1:3" x14ac:dyDescent="0.25">
      <c r="A2428">
        <v>38</v>
      </c>
      <c r="B2428" t="str">
        <f>"3:30:51.680815"</f>
        <v>3:30:51.680815</v>
      </c>
      <c r="C2428">
        <v>-63</v>
      </c>
    </row>
    <row r="2429" spans="1:3" x14ac:dyDescent="0.25">
      <c r="A2429">
        <v>39</v>
      </c>
      <c r="B2429" t="str">
        <f>"3:30:51.681513"</f>
        <v>3:30:51.681513</v>
      </c>
      <c r="C2429">
        <v>-61</v>
      </c>
    </row>
    <row r="2430" spans="1:3" x14ac:dyDescent="0.25">
      <c r="A2430">
        <v>38</v>
      </c>
      <c r="B2430" t="str">
        <f>"3:30:52.888327"</f>
        <v>3:30:52.888327</v>
      </c>
      <c r="C2430">
        <v>-63</v>
      </c>
    </row>
    <row r="2431" spans="1:3" x14ac:dyDescent="0.25">
      <c r="A2431">
        <v>39</v>
      </c>
      <c r="B2431" t="str">
        <f>"3:30:52.889024"</f>
        <v>3:30:52.889024</v>
      </c>
      <c r="C2431">
        <v>-62</v>
      </c>
    </row>
    <row r="2432" spans="1:3" x14ac:dyDescent="0.25">
      <c r="A2432">
        <v>37</v>
      </c>
      <c r="B2432" t="str">
        <f>"3:30:54.134150"</f>
        <v>3:30:54.134150</v>
      </c>
      <c r="C2432">
        <v>-76</v>
      </c>
    </row>
    <row r="2433" spans="1:3" x14ac:dyDescent="0.25">
      <c r="A2433">
        <v>38</v>
      </c>
      <c r="B2433" t="str">
        <f>"3:30:54.134847"</f>
        <v>3:30:54.134847</v>
      </c>
      <c r="C2433">
        <v>-63</v>
      </c>
    </row>
    <row r="2434" spans="1:3" x14ac:dyDescent="0.25">
      <c r="A2434">
        <v>39</v>
      </c>
      <c r="B2434" t="str">
        <f>"3:30:54.135544"</f>
        <v>3:30:54.135544</v>
      </c>
      <c r="C2434">
        <v>-62</v>
      </c>
    </row>
    <row r="2435" spans="1:3" x14ac:dyDescent="0.25">
      <c r="A2435">
        <v>37</v>
      </c>
      <c r="B2435" t="str">
        <f>"3:30:55.381668"</f>
        <v>3:30:55.381668</v>
      </c>
      <c r="C2435">
        <v>-77</v>
      </c>
    </row>
    <row r="2436" spans="1:3" x14ac:dyDescent="0.25">
      <c r="A2436">
        <v>38</v>
      </c>
      <c r="B2436" t="str">
        <f>"3:30:55.382365"</f>
        <v>3:30:55.382365</v>
      </c>
      <c r="C2436">
        <v>-63</v>
      </c>
    </row>
    <row r="2437" spans="1:3" x14ac:dyDescent="0.25">
      <c r="A2437">
        <v>39</v>
      </c>
      <c r="B2437" t="str">
        <f>"3:30:55.383062"</f>
        <v>3:30:55.383062</v>
      </c>
      <c r="C2437">
        <v>-61</v>
      </c>
    </row>
    <row r="2438" spans="1:3" x14ac:dyDescent="0.25">
      <c r="A2438">
        <v>37</v>
      </c>
      <c r="B2438" t="str">
        <f>"3:30:56.626336"</f>
        <v>3:30:56.626336</v>
      </c>
      <c r="C2438">
        <v>-78</v>
      </c>
    </row>
    <row r="2439" spans="1:3" x14ac:dyDescent="0.25">
      <c r="A2439">
        <v>38</v>
      </c>
      <c r="B2439" t="str">
        <f>"3:30:56.627033"</f>
        <v>3:30:56.627033</v>
      </c>
      <c r="C2439">
        <v>-63</v>
      </c>
    </row>
    <row r="2440" spans="1:3" x14ac:dyDescent="0.25">
      <c r="A2440">
        <v>39</v>
      </c>
      <c r="B2440" t="str">
        <f>"3:30:56.627730"</f>
        <v>3:30:56.627730</v>
      </c>
      <c r="C2440">
        <v>-61</v>
      </c>
    </row>
    <row r="2441" spans="1:3" x14ac:dyDescent="0.25">
      <c r="A2441">
        <v>37</v>
      </c>
      <c r="B2441" t="str">
        <f>"3:30:57.873563"</f>
        <v>3:30:57.873563</v>
      </c>
      <c r="C2441">
        <v>-78</v>
      </c>
    </row>
    <row r="2442" spans="1:3" x14ac:dyDescent="0.25">
      <c r="A2442">
        <v>38</v>
      </c>
      <c r="B2442" t="str">
        <f>"3:30:57.874260"</f>
        <v>3:30:57.874260</v>
      </c>
      <c r="C2442">
        <v>-63</v>
      </c>
    </row>
    <row r="2443" spans="1:3" x14ac:dyDescent="0.25">
      <c r="A2443">
        <v>39</v>
      </c>
      <c r="B2443" t="str">
        <f>"3:30:57.874957"</f>
        <v>3:30:57.874957</v>
      </c>
      <c r="C2443">
        <v>-61</v>
      </c>
    </row>
    <row r="2444" spans="1:3" x14ac:dyDescent="0.25">
      <c r="A2444">
        <v>37</v>
      </c>
      <c r="B2444" t="str">
        <f>"3:30:59.113339"</f>
        <v>3:30:59.113339</v>
      </c>
      <c r="C2444">
        <v>-78</v>
      </c>
    </row>
    <row r="2445" spans="1:3" x14ac:dyDescent="0.25">
      <c r="A2445">
        <v>38</v>
      </c>
      <c r="B2445" t="str">
        <f>"3:30:59.114036"</f>
        <v>3:30:59.114036</v>
      </c>
      <c r="C2445">
        <v>-63</v>
      </c>
    </row>
    <row r="2446" spans="1:3" x14ac:dyDescent="0.25">
      <c r="A2446">
        <v>39</v>
      </c>
      <c r="B2446" t="str">
        <f>"3:30:59.114733"</f>
        <v>3:30:59.114733</v>
      </c>
      <c r="C2446">
        <v>-61</v>
      </c>
    </row>
    <row r="2447" spans="1:3" x14ac:dyDescent="0.25">
      <c r="A2447">
        <v>37</v>
      </c>
      <c r="B2447" t="str">
        <f>"3:31:00.355566"</f>
        <v>3:31:00.355566</v>
      </c>
      <c r="C2447">
        <v>-77</v>
      </c>
    </row>
    <row r="2448" spans="1:3" x14ac:dyDescent="0.25">
      <c r="A2448">
        <v>38</v>
      </c>
      <c r="B2448" t="str">
        <f>"3:31:00.356263"</f>
        <v>3:31:00.356263</v>
      </c>
      <c r="C2448">
        <v>-63</v>
      </c>
    </row>
    <row r="2449" spans="1:3" x14ac:dyDescent="0.25">
      <c r="A2449">
        <v>39</v>
      </c>
      <c r="B2449" t="str">
        <f>"3:31:00.356960"</f>
        <v>3:31:00.356960</v>
      </c>
      <c r="C2449">
        <v>-61</v>
      </c>
    </row>
    <row r="2450" spans="1:3" x14ac:dyDescent="0.25">
      <c r="A2450">
        <v>37</v>
      </c>
      <c r="B2450" t="str">
        <f>"3:31:01.609093"</f>
        <v>3:31:01.609093</v>
      </c>
      <c r="C2450">
        <v>-78</v>
      </c>
    </row>
    <row r="2451" spans="1:3" x14ac:dyDescent="0.25">
      <c r="A2451">
        <v>38</v>
      </c>
      <c r="B2451" t="str">
        <f>"3:31:01.609790"</f>
        <v>3:31:01.609790</v>
      </c>
      <c r="C2451">
        <v>-63</v>
      </c>
    </row>
    <row r="2452" spans="1:3" x14ac:dyDescent="0.25">
      <c r="A2452">
        <v>39</v>
      </c>
      <c r="B2452" t="str">
        <f>"3:31:01.610487"</f>
        <v>3:31:01.610487</v>
      </c>
      <c r="C2452">
        <v>-61</v>
      </c>
    </row>
    <row r="2453" spans="1:3" x14ac:dyDescent="0.25">
      <c r="A2453">
        <v>37</v>
      </c>
      <c r="B2453" t="str">
        <f>"3:31:02.856997"</f>
        <v>3:31:02.856997</v>
      </c>
      <c r="C2453">
        <v>-77</v>
      </c>
    </row>
    <row r="2454" spans="1:3" x14ac:dyDescent="0.25">
      <c r="A2454">
        <v>38</v>
      </c>
      <c r="B2454" t="str">
        <f>"3:31:02.857694"</f>
        <v>3:31:02.857694</v>
      </c>
      <c r="C2454">
        <v>-63</v>
      </c>
    </row>
    <row r="2455" spans="1:3" x14ac:dyDescent="0.25">
      <c r="A2455">
        <v>39</v>
      </c>
      <c r="B2455" t="str">
        <f>"3:31:02.858391"</f>
        <v>3:31:02.858391</v>
      </c>
      <c r="C2455">
        <v>-61</v>
      </c>
    </row>
    <row r="2456" spans="1:3" x14ac:dyDescent="0.25">
      <c r="A2456">
        <v>38</v>
      </c>
      <c r="B2456" t="str">
        <f>"3:31:04.097643"</f>
        <v>3:31:04.097643</v>
      </c>
      <c r="C2456">
        <v>-63</v>
      </c>
    </row>
    <row r="2457" spans="1:3" x14ac:dyDescent="0.25">
      <c r="A2457">
        <v>39</v>
      </c>
      <c r="B2457" t="str">
        <f>"3:31:04.098340"</f>
        <v>3:31:04.098340</v>
      </c>
      <c r="C2457">
        <v>-61</v>
      </c>
    </row>
    <row r="2458" spans="1:3" x14ac:dyDescent="0.25">
      <c r="A2458">
        <v>37</v>
      </c>
      <c r="B2458" t="str">
        <f>"3:31:05.382492"</f>
        <v>3:31:05.382492</v>
      </c>
      <c r="C2458">
        <v>-77</v>
      </c>
    </row>
    <row r="2459" spans="1:3" x14ac:dyDescent="0.25">
      <c r="A2459">
        <v>38</v>
      </c>
      <c r="B2459" t="str">
        <f>"3:31:05.383189"</f>
        <v>3:31:05.383189</v>
      </c>
      <c r="C2459">
        <v>-63</v>
      </c>
    </row>
    <row r="2460" spans="1:3" x14ac:dyDescent="0.25">
      <c r="A2460">
        <v>39</v>
      </c>
      <c r="B2460" t="str">
        <f>"3:31:05.383886"</f>
        <v>3:31:05.383886</v>
      </c>
      <c r="C2460">
        <v>-61</v>
      </c>
    </row>
    <row r="2461" spans="1:3" x14ac:dyDescent="0.25">
      <c r="A2461">
        <v>37</v>
      </c>
      <c r="B2461" t="str">
        <f>"3:31:07.832976"</f>
        <v>3:31:07.832976</v>
      </c>
      <c r="C2461">
        <v>-78</v>
      </c>
    </row>
    <row r="2462" spans="1:3" x14ac:dyDescent="0.25">
      <c r="A2462">
        <v>38</v>
      </c>
      <c r="B2462" t="str">
        <f>"3:31:07.833673"</f>
        <v>3:31:07.833673</v>
      </c>
      <c r="C2462">
        <v>-63</v>
      </c>
    </row>
    <row r="2463" spans="1:3" x14ac:dyDescent="0.25">
      <c r="A2463">
        <v>39</v>
      </c>
      <c r="B2463" t="str">
        <f>"3:31:07.834370"</f>
        <v>3:31:07.834370</v>
      </c>
      <c r="C2463">
        <v>-61</v>
      </c>
    </row>
    <row r="2464" spans="1:3" x14ac:dyDescent="0.25">
      <c r="A2464">
        <v>38</v>
      </c>
      <c r="B2464" t="str">
        <f>"3:31:09.084061"</f>
        <v>3:31:09.084061</v>
      </c>
      <c r="C2464">
        <v>-63</v>
      </c>
    </row>
    <row r="2465" spans="1:3" x14ac:dyDescent="0.25">
      <c r="A2465">
        <v>39</v>
      </c>
      <c r="B2465" t="str">
        <f>"3:31:09.084758"</f>
        <v>3:31:09.084758</v>
      </c>
      <c r="C2465">
        <v>-61</v>
      </c>
    </row>
    <row r="2466" spans="1:3" x14ac:dyDescent="0.25">
      <c r="A2466">
        <v>37</v>
      </c>
      <c r="B2466" t="str">
        <f>"3:31:10.329153"</f>
        <v>3:31:10.329153</v>
      </c>
      <c r="C2466">
        <v>-77</v>
      </c>
    </row>
    <row r="2467" spans="1:3" x14ac:dyDescent="0.25">
      <c r="A2467">
        <v>38</v>
      </c>
      <c r="B2467" t="str">
        <f>"3:31:10.329850"</f>
        <v>3:31:10.329850</v>
      </c>
      <c r="C2467">
        <v>-63</v>
      </c>
    </row>
    <row r="2468" spans="1:3" x14ac:dyDescent="0.25">
      <c r="A2468">
        <v>39</v>
      </c>
      <c r="B2468" t="str">
        <f>"3:31:10.330547"</f>
        <v>3:31:10.330547</v>
      </c>
      <c r="C2468">
        <v>-62</v>
      </c>
    </row>
    <row r="2469" spans="1:3" x14ac:dyDescent="0.25">
      <c r="A2469">
        <v>37</v>
      </c>
      <c r="B2469" t="str">
        <f>"3:31:11.578430"</f>
        <v>3:31:11.578430</v>
      </c>
      <c r="C2469">
        <v>-75</v>
      </c>
    </row>
    <row r="2470" spans="1:3" x14ac:dyDescent="0.25">
      <c r="A2470">
        <v>38</v>
      </c>
      <c r="B2470" t="str">
        <f>"3:31:11.579127"</f>
        <v>3:31:11.579127</v>
      </c>
      <c r="C2470">
        <v>-63</v>
      </c>
    </row>
    <row r="2471" spans="1:3" x14ac:dyDescent="0.25">
      <c r="A2471">
        <v>39</v>
      </c>
      <c r="B2471" t="str">
        <f>"3:31:11.579824"</f>
        <v>3:31:11.579824</v>
      </c>
      <c r="C2471">
        <v>-61</v>
      </c>
    </row>
    <row r="2472" spans="1:3" x14ac:dyDescent="0.25">
      <c r="A2472">
        <v>37</v>
      </c>
      <c r="B2472" t="str">
        <f>"3:31:12.821409"</f>
        <v>3:31:12.821409</v>
      </c>
      <c r="C2472">
        <v>-77</v>
      </c>
    </row>
    <row r="2473" spans="1:3" x14ac:dyDescent="0.25">
      <c r="A2473">
        <v>38</v>
      </c>
      <c r="B2473" t="str">
        <f>"3:31:12.822105"</f>
        <v>3:31:12.822105</v>
      </c>
      <c r="C2473">
        <v>-63</v>
      </c>
    </row>
    <row r="2474" spans="1:3" x14ac:dyDescent="0.25">
      <c r="A2474">
        <v>39</v>
      </c>
      <c r="B2474" t="str">
        <f>"3:31:12.822802"</f>
        <v>3:31:12.822802</v>
      </c>
      <c r="C2474">
        <v>-61</v>
      </c>
    </row>
    <row r="2475" spans="1:3" x14ac:dyDescent="0.25">
      <c r="A2475">
        <v>37</v>
      </c>
      <c r="B2475" t="str">
        <f>"3:31:14.077331"</f>
        <v>3:31:14.077331</v>
      </c>
      <c r="C2475">
        <v>-78</v>
      </c>
    </row>
    <row r="2476" spans="1:3" x14ac:dyDescent="0.25">
      <c r="A2476">
        <v>38</v>
      </c>
      <c r="B2476" t="str">
        <f>"3:31:14.078028"</f>
        <v>3:31:14.078028</v>
      </c>
      <c r="C2476">
        <v>-63</v>
      </c>
    </row>
    <row r="2477" spans="1:3" x14ac:dyDescent="0.25">
      <c r="A2477">
        <v>39</v>
      </c>
      <c r="B2477" t="str">
        <f>"3:31:14.078725"</f>
        <v>3:31:14.078725</v>
      </c>
      <c r="C2477">
        <v>-61</v>
      </c>
    </row>
    <row r="2478" spans="1:3" x14ac:dyDescent="0.25">
      <c r="A2478">
        <v>37</v>
      </c>
      <c r="B2478" t="str">
        <f>"3:31:15.333581"</f>
        <v>3:31:15.333581</v>
      </c>
      <c r="C2478">
        <v>-77</v>
      </c>
    </row>
    <row r="2479" spans="1:3" x14ac:dyDescent="0.25">
      <c r="A2479">
        <v>38</v>
      </c>
      <c r="B2479" t="str">
        <f>"3:31:15.334278"</f>
        <v>3:31:15.334278</v>
      </c>
      <c r="C2479">
        <v>-63</v>
      </c>
    </row>
    <row r="2480" spans="1:3" x14ac:dyDescent="0.25">
      <c r="A2480">
        <v>39</v>
      </c>
      <c r="B2480" t="str">
        <f>"3:31:15.334975"</f>
        <v>3:31:15.334975</v>
      </c>
      <c r="C2480">
        <v>-61</v>
      </c>
    </row>
    <row r="2481" spans="1:3" x14ac:dyDescent="0.25">
      <c r="A2481">
        <v>37</v>
      </c>
      <c r="B2481" t="str">
        <f>"3:31:16.560885"</f>
        <v>3:31:16.560885</v>
      </c>
      <c r="C2481">
        <v>-77</v>
      </c>
    </row>
    <row r="2482" spans="1:3" x14ac:dyDescent="0.25">
      <c r="A2482">
        <v>38</v>
      </c>
      <c r="B2482" t="str">
        <f>"3:31:16.561582"</f>
        <v>3:31:16.561582</v>
      </c>
      <c r="C2482">
        <v>-63</v>
      </c>
    </row>
    <row r="2483" spans="1:3" x14ac:dyDescent="0.25">
      <c r="A2483">
        <v>39</v>
      </c>
      <c r="B2483" t="str">
        <f>"3:31:16.562279"</f>
        <v>3:31:16.562279</v>
      </c>
      <c r="C2483">
        <v>-61</v>
      </c>
    </row>
    <row r="2484" spans="1:3" x14ac:dyDescent="0.25">
      <c r="A2484">
        <v>38</v>
      </c>
      <c r="B2484" t="str">
        <f>"3:31:17.805406"</f>
        <v>3:31:17.805406</v>
      </c>
      <c r="C2484">
        <v>-63</v>
      </c>
    </row>
    <row r="2485" spans="1:3" x14ac:dyDescent="0.25">
      <c r="A2485">
        <v>39</v>
      </c>
      <c r="B2485" t="str">
        <f>"3:31:17.806103"</f>
        <v>3:31:17.806103</v>
      </c>
      <c r="C2485">
        <v>-61</v>
      </c>
    </row>
    <row r="2486" spans="1:3" x14ac:dyDescent="0.25">
      <c r="A2486">
        <v>37</v>
      </c>
      <c r="B2486" t="str">
        <f>"3:31:19.039136"</f>
        <v>3:31:19.039136</v>
      </c>
      <c r="C2486">
        <v>-78</v>
      </c>
    </row>
    <row r="2487" spans="1:3" x14ac:dyDescent="0.25">
      <c r="A2487">
        <v>38</v>
      </c>
      <c r="B2487" t="str">
        <f>"3:31:19.039833"</f>
        <v>3:31:19.039833</v>
      </c>
      <c r="C2487">
        <v>-63</v>
      </c>
    </row>
    <row r="2488" spans="1:3" x14ac:dyDescent="0.25">
      <c r="A2488">
        <v>39</v>
      </c>
      <c r="B2488" t="str">
        <f>"3:31:19.040530"</f>
        <v>3:31:19.040530</v>
      </c>
      <c r="C2488">
        <v>-61</v>
      </c>
    </row>
    <row r="2489" spans="1:3" x14ac:dyDescent="0.25">
      <c r="A2489">
        <v>37</v>
      </c>
      <c r="B2489" t="str">
        <f>"3:31:20.290268"</f>
        <v>3:31:20.290268</v>
      </c>
      <c r="C2489">
        <v>-77</v>
      </c>
    </row>
    <row r="2490" spans="1:3" x14ac:dyDescent="0.25">
      <c r="A2490">
        <v>38</v>
      </c>
      <c r="B2490" t="str">
        <f>"3:31:20.290965"</f>
        <v>3:31:20.290965</v>
      </c>
      <c r="C2490">
        <v>-63</v>
      </c>
    </row>
    <row r="2491" spans="1:3" x14ac:dyDescent="0.25">
      <c r="A2491">
        <v>39</v>
      </c>
      <c r="B2491" t="str">
        <f>"3:31:20.291662"</f>
        <v>3:31:20.291662</v>
      </c>
      <c r="C2491">
        <v>-61</v>
      </c>
    </row>
    <row r="2492" spans="1:3" x14ac:dyDescent="0.25">
      <c r="A2492">
        <v>37</v>
      </c>
      <c r="B2492" t="str">
        <f>"3:31:21.527413"</f>
        <v>3:31:21.527413</v>
      </c>
      <c r="C2492">
        <v>-77</v>
      </c>
    </row>
    <row r="2493" spans="1:3" x14ac:dyDescent="0.25">
      <c r="A2493">
        <v>38</v>
      </c>
      <c r="B2493" t="str">
        <f>"3:31:21.528110"</f>
        <v>3:31:21.528110</v>
      </c>
      <c r="C2493">
        <v>-63</v>
      </c>
    </row>
    <row r="2494" spans="1:3" x14ac:dyDescent="0.25">
      <c r="A2494">
        <v>39</v>
      </c>
      <c r="B2494" t="str">
        <f>"3:31:21.528807"</f>
        <v>3:31:21.528807</v>
      </c>
      <c r="C2494">
        <v>-62</v>
      </c>
    </row>
    <row r="2495" spans="1:3" x14ac:dyDescent="0.25">
      <c r="A2495">
        <v>37</v>
      </c>
      <c r="B2495" t="str">
        <f>"3:31:22.772175"</f>
        <v>3:31:22.772175</v>
      </c>
      <c r="C2495">
        <v>-77</v>
      </c>
    </row>
    <row r="2496" spans="1:3" x14ac:dyDescent="0.25">
      <c r="A2496">
        <v>38</v>
      </c>
      <c r="B2496" t="str">
        <f>"3:31:22.772872"</f>
        <v>3:31:22.772872</v>
      </c>
      <c r="C2496">
        <v>-63</v>
      </c>
    </row>
    <row r="2497" spans="1:3" x14ac:dyDescent="0.25">
      <c r="A2497">
        <v>39</v>
      </c>
      <c r="B2497" t="str">
        <f>"3:31:22.773569"</f>
        <v>3:31:22.773569</v>
      </c>
      <c r="C2497">
        <v>-62</v>
      </c>
    </row>
    <row r="2498" spans="1:3" x14ac:dyDescent="0.25">
      <c r="A2498">
        <v>37</v>
      </c>
      <c r="B2498" t="str">
        <f>"3:31:24.037170"</f>
        <v>3:31:24.037170</v>
      </c>
      <c r="C2498">
        <v>-76</v>
      </c>
    </row>
    <row r="2499" spans="1:3" x14ac:dyDescent="0.25">
      <c r="A2499">
        <v>38</v>
      </c>
      <c r="B2499" t="str">
        <f>"3:31:24.037867"</f>
        <v>3:31:24.037867</v>
      </c>
      <c r="C2499">
        <v>-63</v>
      </c>
    </row>
    <row r="2500" spans="1:3" x14ac:dyDescent="0.25">
      <c r="A2500">
        <v>39</v>
      </c>
      <c r="B2500" t="str">
        <f>"3:31:24.038564"</f>
        <v>3:31:24.038564</v>
      </c>
      <c r="C2500">
        <v>-62</v>
      </c>
    </row>
    <row r="2501" spans="1:3" x14ac:dyDescent="0.25">
      <c r="A2501">
        <v>37</v>
      </c>
      <c r="B2501" t="str">
        <f>"3:31:25.284365"</f>
        <v>3:31:25.284365</v>
      </c>
      <c r="C2501">
        <v>-76</v>
      </c>
    </row>
    <row r="2502" spans="1:3" x14ac:dyDescent="0.25">
      <c r="A2502">
        <v>38</v>
      </c>
      <c r="B2502" t="str">
        <f>"3:31:25.285062"</f>
        <v>3:31:25.285062</v>
      </c>
      <c r="C2502">
        <v>-63</v>
      </c>
    </row>
    <row r="2503" spans="1:3" x14ac:dyDescent="0.25">
      <c r="A2503">
        <v>39</v>
      </c>
      <c r="B2503" t="str">
        <f>"3:31:25.285759"</f>
        <v>3:31:25.285759</v>
      </c>
      <c r="C2503">
        <v>-62</v>
      </c>
    </row>
    <row r="2504" spans="1:3" x14ac:dyDescent="0.25">
      <c r="A2504">
        <v>38</v>
      </c>
      <c r="B2504" t="str">
        <f>"3:31:26.523413"</f>
        <v>3:31:26.523413</v>
      </c>
      <c r="C2504">
        <v>-62</v>
      </c>
    </row>
    <row r="2505" spans="1:3" x14ac:dyDescent="0.25">
      <c r="A2505">
        <v>37</v>
      </c>
      <c r="B2505" t="str">
        <f>"3:31:27.752046"</f>
        <v>3:31:27.752046</v>
      </c>
      <c r="C2505">
        <v>-76</v>
      </c>
    </row>
    <row r="2506" spans="1:3" x14ac:dyDescent="0.25">
      <c r="A2506">
        <v>38</v>
      </c>
      <c r="B2506" t="str">
        <f>"3:31:27.752743"</f>
        <v>3:31:27.752743</v>
      </c>
      <c r="C2506">
        <v>-63</v>
      </c>
    </row>
    <row r="2507" spans="1:3" x14ac:dyDescent="0.25">
      <c r="A2507">
        <v>39</v>
      </c>
      <c r="B2507" t="str">
        <f>"3:31:27.753440"</f>
        <v>3:31:27.753440</v>
      </c>
      <c r="C2507">
        <v>-62</v>
      </c>
    </row>
    <row r="2508" spans="1:3" x14ac:dyDescent="0.25">
      <c r="A2508">
        <v>37</v>
      </c>
      <c r="B2508" t="str">
        <f>"3:31:29.010605"</f>
        <v>3:31:29.010605</v>
      </c>
      <c r="C2508">
        <v>-75</v>
      </c>
    </row>
    <row r="2509" spans="1:3" x14ac:dyDescent="0.25">
      <c r="A2509">
        <v>38</v>
      </c>
      <c r="B2509" t="str">
        <f>"3:31:29.011301"</f>
        <v>3:31:29.011301</v>
      </c>
      <c r="C2509">
        <v>-63</v>
      </c>
    </row>
    <row r="2510" spans="1:3" x14ac:dyDescent="0.25">
      <c r="A2510">
        <v>39</v>
      </c>
      <c r="B2510" t="str">
        <f>"3:31:29.011999"</f>
        <v>3:31:29.011999</v>
      </c>
      <c r="C2510">
        <v>-62</v>
      </c>
    </row>
    <row r="2511" spans="1:3" x14ac:dyDescent="0.25">
      <c r="A2511">
        <v>37</v>
      </c>
      <c r="B2511" t="str">
        <f>"3:31:30.259945"</f>
        <v>3:31:30.259945</v>
      </c>
      <c r="C2511">
        <v>-76</v>
      </c>
    </row>
    <row r="2512" spans="1:3" x14ac:dyDescent="0.25">
      <c r="A2512">
        <v>38</v>
      </c>
      <c r="B2512" t="str">
        <f>"3:31:30.260642"</f>
        <v>3:31:30.260642</v>
      </c>
      <c r="C2512">
        <v>-63</v>
      </c>
    </row>
    <row r="2513" spans="1:3" x14ac:dyDescent="0.25">
      <c r="A2513">
        <v>39</v>
      </c>
      <c r="B2513" t="str">
        <f>"3:31:30.261339"</f>
        <v>3:31:30.261339</v>
      </c>
      <c r="C2513">
        <v>-61</v>
      </c>
    </row>
    <row r="2514" spans="1:3" x14ac:dyDescent="0.25">
      <c r="A2514">
        <v>37</v>
      </c>
      <c r="B2514" t="str">
        <f>"3:31:31.532308"</f>
        <v>3:31:31.532308</v>
      </c>
      <c r="C2514">
        <v>-76</v>
      </c>
    </row>
    <row r="2515" spans="1:3" x14ac:dyDescent="0.25">
      <c r="A2515">
        <v>38</v>
      </c>
      <c r="B2515" t="str">
        <f>"3:31:31.533005"</f>
        <v>3:31:31.533005</v>
      </c>
      <c r="C2515">
        <v>-63</v>
      </c>
    </row>
    <row r="2516" spans="1:3" x14ac:dyDescent="0.25">
      <c r="A2516">
        <v>39</v>
      </c>
      <c r="B2516" t="str">
        <f>"3:31:31.533702"</f>
        <v>3:31:31.533702</v>
      </c>
      <c r="C2516">
        <v>-62</v>
      </c>
    </row>
    <row r="2517" spans="1:3" x14ac:dyDescent="0.25">
      <c r="A2517">
        <v>37</v>
      </c>
      <c r="B2517" t="str">
        <f>"3:31:33.992202"</f>
        <v>3:31:33.992202</v>
      </c>
      <c r="C2517">
        <v>-75</v>
      </c>
    </row>
    <row r="2518" spans="1:3" x14ac:dyDescent="0.25">
      <c r="A2518">
        <v>38</v>
      </c>
      <c r="B2518" t="str">
        <f>"3:31:33.992899"</f>
        <v>3:31:33.992899</v>
      </c>
      <c r="C2518">
        <v>-63</v>
      </c>
    </row>
    <row r="2519" spans="1:3" x14ac:dyDescent="0.25">
      <c r="A2519">
        <v>39</v>
      </c>
      <c r="B2519" t="str">
        <f>"3:31:33.993596"</f>
        <v>3:31:33.993596</v>
      </c>
      <c r="C2519">
        <v>-62</v>
      </c>
    </row>
    <row r="2520" spans="1:3" x14ac:dyDescent="0.25">
      <c r="A2520">
        <v>38</v>
      </c>
      <c r="B2520" t="str">
        <f>"3:31:35.258301"</f>
        <v>3:31:35.258301</v>
      </c>
      <c r="C2520">
        <v>-63</v>
      </c>
    </row>
    <row r="2521" spans="1:3" x14ac:dyDescent="0.25">
      <c r="A2521">
        <v>39</v>
      </c>
      <c r="B2521" t="str">
        <f>"3:31:35.258998"</f>
        <v>3:31:35.258998</v>
      </c>
      <c r="C2521">
        <v>-62</v>
      </c>
    </row>
    <row r="2522" spans="1:3" x14ac:dyDescent="0.25">
      <c r="A2522">
        <v>37</v>
      </c>
      <c r="B2522" t="str">
        <f>"3:31:37.733180"</f>
        <v>3:31:37.733180</v>
      </c>
      <c r="C2522">
        <v>-77</v>
      </c>
    </row>
    <row r="2523" spans="1:3" x14ac:dyDescent="0.25">
      <c r="A2523">
        <v>38</v>
      </c>
      <c r="B2523" t="str">
        <f>"3:31:37.733877"</f>
        <v>3:31:37.733877</v>
      </c>
      <c r="C2523">
        <v>-63</v>
      </c>
    </row>
    <row r="2524" spans="1:3" x14ac:dyDescent="0.25">
      <c r="A2524">
        <v>39</v>
      </c>
      <c r="B2524" t="str">
        <f>"3:31:37.734574"</f>
        <v>3:31:37.734574</v>
      </c>
      <c r="C2524">
        <v>-62</v>
      </c>
    </row>
    <row r="2525" spans="1:3" x14ac:dyDescent="0.25">
      <c r="A2525">
        <v>37</v>
      </c>
      <c r="B2525" t="str">
        <f>"3:31:38.978714"</f>
        <v>3:31:38.978714</v>
      </c>
      <c r="C2525">
        <v>-77</v>
      </c>
    </row>
    <row r="2526" spans="1:3" x14ac:dyDescent="0.25">
      <c r="A2526">
        <v>38</v>
      </c>
      <c r="B2526" t="str">
        <f>"3:31:38.979411"</f>
        <v>3:31:38.979411</v>
      </c>
      <c r="C2526">
        <v>-63</v>
      </c>
    </row>
    <row r="2527" spans="1:3" x14ac:dyDescent="0.25">
      <c r="A2527">
        <v>39</v>
      </c>
      <c r="B2527" t="str">
        <f>"3:31:38.980108"</f>
        <v>3:31:38.980108</v>
      </c>
      <c r="C2527">
        <v>-62</v>
      </c>
    </row>
    <row r="2528" spans="1:3" x14ac:dyDescent="0.25">
      <c r="A2528">
        <v>37</v>
      </c>
      <c r="B2528" t="str">
        <f>"3:31:40.221551"</f>
        <v>3:31:40.221551</v>
      </c>
      <c r="C2528">
        <v>-78</v>
      </c>
    </row>
    <row r="2529" spans="1:3" x14ac:dyDescent="0.25">
      <c r="A2529">
        <v>38</v>
      </c>
      <c r="B2529" t="str">
        <f>"3:31:40.222248"</f>
        <v>3:31:40.222248</v>
      </c>
      <c r="C2529">
        <v>-63</v>
      </c>
    </row>
    <row r="2530" spans="1:3" x14ac:dyDescent="0.25">
      <c r="A2530">
        <v>39</v>
      </c>
      <c r="B2530" t="str">
        <f>"3:31:40.222945"</f>
        <v>3:31:40.222945</v>
      </c>
      <c r="C2530">
        <v>-61</v>
      </c>
    </row>
    <row r="2531" spans="1:3" x14ac:dyDescent="0.25">
      <c r="A2531">
        <v>37</v>
      </c>
      <c r="B2531" t="str">
        <f>"3:31:41.472594"</f>
        <v>3:31:41.472594</v>
      </c>
      <c r="C2531">
        <v>-78</v>
      </c>
    </row>
    <row r="2532" spans="1:3" x14ac:dyDescent="0.25">
      <c r="A2532">
        <v>38</v>
      </c>
      <c r="B2532" t="str">
        <f>"3:31:41.473290"</f>
        <v>3:31:41.473290</v>
      </c>
      <c r="C2532">
        <v>-63</v>
      </c>
    </row>
    <row r="2533" spans="1:3" x14ac:dyDescent="0.25">
      <c r="A2533">
        <v>39</v>
      </c>
      <c r="B2533" t="str">
        <f>"3:31:41.473987"</f>
        <v>3:31:41.473987</v>
      </c>
      <c r="C2533">
        <v>-61</v>
      </c>
    </row>
    <row r="2534" spans="1:3" x14ac:dyDescent="0.25">
      <c r="A2534">
        <v>37</v>
      </c>
      <c r="B2534" t="str">
        <f>"3:31:42.714384"</f>
        <v>3:31:42.714384</v>
      </c>
      <c r="C2534">
        <v>-77</v>
      </c>
    </row>
    <row r="2535" spans="1:3" x14ac:dyDescent="0.25">
      <c r="A2535">
        <v>38</v>
      </c>
      <c r="B2535" t="str">
        <f>"3:31:42.715081"</f>
        <v>3:31:42.715081</v>
      </c>
      <c r="C2535">
        <v>-63</v>
      </c>
    </row>
    <row r="2536" spans="1:3" x14ac:dyDescent="0.25">
      <c r="A2536">
        <v>39</v>
      </c>
      <c r="B2536" t="str">
        <f>"3:31:42.715778"</f>
        <v>3:31:42.715778</v>
      </c>
      <c r="C2536">
        <v>-61</v>
      </c>
    </row>
    <row r="2537" spans="1:3" x14ac:dyDescent="0.25">
      <c r="A2537">
        <v>37</v>
      </c>
      <c r="B2537" t="str">
        <f>"3:31:43.987058"</f>
        <v>3:31:43.987058</v>
      </c>
      <c r="C2537">
        <v>-77</v>
      </c>
    </row>
    <row r="2538" spans="1:3" x14ac:dyDescent="0.25">
      <c r="A2538">
        <v>38</v>
      </c>
      <c r="B2538" t="str">
        <f>"3:31:43.987755"</f>
        <v>3:31:43.987755</v>
      </c>
      <c r="C2538">
        <v>-63</v>
      </c>
    </row>
    <row r="2539" spans="1:3" x14ac:dyDescent="0.25">
      <c r="A2539">
        <v>39</v>
      </c>
      <c r="B2539" t="str">
        <f>"3:31:43.988452"</f>
        <v>3:31:43.988452</v>
      </c>
      <c r="C2539">
        <v>-61</v>
      </c>
    </row>
    <row r="2540" spans="1:3" x14ac:dyDescent="0.25">
      <c r="A2540">
        <v>37</v>
      </c>
      <c r="B2540" t="str">
        <f>"3:31:45.222311"</f>
        <v>3:31:45.222311</v>
      </c>
      <c r="C2540">
        <v>-78</v>
      </c>
    </row>
    <row r="2541" spans="1:3" x14ac:dyDescent="0.25">
      <c r="A2541">
        <v>38</v>
      </c>
      <c r="B2541" t="str">
        <f>"3:31:45.223008"</f>
        <v>3:31:45.223008</v>
      </c>
      <c r="C2541">
        <v>-63</v>
      </c>
    </row>
    <row r="2542" spans="1:3" x14ac:dyDescent="0.25">
      <c r="A2542">
        <v>39</v>
      </c>
      <c r="B2542" t="str">
        <f>"3:31:45.223705"</f>
        <v>3:31:45.223705</v>
      </c>
      <c r="C2542">
        <v>-61</v>
      </c>
    </row>
    <row r="2543" spans="1:3" x14ac:dyDescent="0.25">
      <c r="A2543">
        <v>38</v>
      </c>
      <c r="B2543" t="str">
        <f>"3:31:46.479399"</f>
        <v>3:31:46.479399</v>
      </c>
      <c r="C2543">
        <v>-63</v>
      </c>
    </row>
    <row r="2544" spans="1:3" x14ac:dyDescent="0.25">
      <c r="A2544">
        <v>39</v>
      </c>
      <c r="B2544" t="str">
        <f>"3:31:46.480096"</f>
        <v>3:31:46.480096</v>
      </c>
      <c r="C2544">
        <v>-61</v>
      </c>
    </row>
    <row r="2545" spans="1:3" x14ac:dyDescent="0.25">
      <c r="A2545">
        <v>38</v>
      </c>
      <c r="B2545" t="str">
        <f>"3:31:47.693259"</f>
        <v>3:31:47.693259</v>
      </c>
      <c r="C2545">
        <v>-63</v>
      </c>
    </row>
    <row r="2546" spans="1:3" x14ac:dyDescent="0.25">
      <c r="A2546">
        <v>39</v>
      </c>
      <c r="B2546" t="str">
        <f>"3:31:47.693956"</f>
        <v>3:31:47.693956</v>
      </c>
      <c r="C2546">
        <v>-61</v>
      </c>
    </row>
    <row r="2547" spans="1:3" x14ac:dyDescent="0.25">
      <c r="A2547">
        <v>37</v>
      </c>
      <c r="B2547" t="str">
        <f>"3:31:48.939739"</f>
        <v>3:31:48.939739</v>
      </c>
      <c r="C2547">
        <v>-78</v>
      </c>
    </row>
    <row r="2548" spans="1:3" x14ac:dyDescent="0.25">
      <c r="A2548">
        <v>38</v>
      </c>
      <c r="B2548" t="str">
        <f>"3:31:48.940436"</f>
        <v>3:31:48.940436</v>
      </c>
      <c r="C2548">
        <v>-63</v>
      </c>
    </row>
    <row r="2549" spans="1:3" x14ac:dyDescent="0.25">
      <c r="A2549">
        <v>39</v>
      </c>
      <c r="B2549" t="str">
        <f>"3:31:48.941133"</f>
        <v>3:31:48.941133</v>
      </c>
      <c r="C2549">
        <v>-61</v>
      </c>
    </row>
    <row r="2550" spans="1:3" x14ac:dyDescent="0.25">
      <c r="A2550">
        <v>37</v>
      </c>
      <c r="B2550" t="str">
        <f>"3:31:50.218600"</f>
        <v>3:31:50.218600</v>
      </c>
      <c r="C2550">
        <v>-78</v>
      </c>
    </row>
    <row r="2551" spans="1:3" x14ac:dyDescent="0.25">
      <c r="A2551">
        <v>38</v>
      </c>
      <c r="B2551" t="str">
        <f>"3:31:50.219297"</f>
        <v>3:31:50.219297</v>
      </c>
      <c r="C2551">
        <v>-63</v>
      </c>
    </row>
    <row r="2552" spans="1:3" x14ac:dyDescent="0.25">
      <c r="A2552">
        <v>39</v>
      </c>
      <c r="B2552" t="str">
        <f>"3:31:50.219994"</f>
        <v>3:31:50.219994</v>
      </c>
      <c r="C2552">
        <v>-61</v>
      </c>
    </row>
    <row r="2553" spans="1:3" x14ac:dyDescent="0.25">
      <c r="A2553">
        <v>37</v>
      </c>
      <c r="B2553" t="str">
        <f>"3:31:51.458496"</f>
        <v>3:31:51.458496</v>
      </c>
      <c r="C2553">
        <v>-77</v>
      </c>
    </row>
    <row r="2554" spans="1:3" x14ac:dyDescent="0.25">
      <c r="A2554">
        <v>38</v>
      </c>
      <c r="B2554" t="str">
        <f>"3:31:51.459193"</f>
        <v>3:31:51.459193</v>
      </c>
      <c r="C2554">
        <v>-63</v>
      </c>
    </row>
    <row r="2555" spans="1:3" x14ac:dyDescent="0.25">
      <c r="A2555">
        <v>39</v>
      </c>
      <c r="B2555" t="str">
        <f>"3:31:51.459890"</f>
        <v>3:31:51.459890</v>
      </c>
      <c r="C2555">
        <v>-61</v>
      </c>
    </row>
    <row r="2556" spans="1:3" x14ac:dyDescent="0.25">
      <c r="A2556">
        <v>37</v>
      </c>
      <c r="B2556" t="str">
        <f>"3:31:52.683843"</f>
        <v>3:31:52.683843</v>
      </c>
      <c r="C2556">
        <v>-78</v>
      </c>
    </row>
    <row r="2557" spans="1:3" x14ac:dyDescent="0.25">
      <c r="A2557">
        <v>38</v>
      </c>
      <c r="B2557" t="str">
        <f>"3:31:52.684540"</f>
        <v>3:31:52.684540</v>
      </c>
      <c r="C2557">
        <v>-63</v>
      </c>
    </row>
    <row r="2558" spans="1:3" x14ac:dyDescent="0.25">
      <c r="A2558">
        <v>39</v>
      </c>
      <c r="B2558" t="str">
        <f>"3:31:52.685237"</f>
        <v>3:31:52.685237</v>
      </c>
      <c r="C2558">
        <v>-61</v>
      </c>
    </row>
    <row r="2559" spans="1:3" x14ac:dyDescent="0.25">
      <c r="A2559">
        <v>37</v>
      </c>
      <c r="B2559" t="str">
        <f>"3:31:55.191499"</f>
        <v>3:31:55.191499</v>
      </c>
      <c r="C2559">
        <v>-77</v>
      </c>
    </row>
    <row r="2560" spans="1:3" x14ac:dyDescent="0.25">
      <c r="A2560">
        <v>38</v>
      </c>
      <c r="B2560" t="str">
        <f>"3:31:55.192196"</f>
        <v>3:31:55.192196</v>
      </c>
      <c r="C2560">
        <v>-63</v>
      </c>
    </row>
    <row r="2561" spans="1:3" x14ac:dyDescent="0.25">
      <c r="A2561">
        <v>39</v>
      </c>
      <c r="B2561" t="str">
        <f>"3:31:55.192893"</f>
        <v>3:31:55.192893</v>
      </c>
      <c r="C2561">
        <v>-61</v>
      </c>
    </row>
    <row r="2562" spans="1:3" x14ac:dyDescent="0.25">
      <c r="A2562">
        <v>39</v>
      </c>
      <c r="B2562" t="str">
        <f>"3:31:56.434006"</f>
        <v>3:31:56.434006</v>
      </c>
      <c r="C2562">
        <v>-60</v>
      </c>
    </row>
    <row r="2563" spans="1:3" x14ac:dyDescent="0.25">
      <c r="A2563">
        <v>38</v>
      </c>
      <c r="B2563" t="str">
        <f>"3:31:57.649478"</f>
        <v>3:31:57.649478</v>
      </c>
      <c r="C2563">
        <v>-64</v>
      </c>
    </row>
    <row r="2564" spans="1:3" x14ac:dyDescent="0.25">
      <c r="A2564">
        <v>39</v>
      </c>
      <c r="B2564" t="str">
        <f>"3:31:57.650175"</f>
        <v>3:31:57.650175</v>
      </c>
      <c r="C2564">
        <v>-61</v>
      </c>
    </row>
    <row r="2565" spans="1:3" x14ac:dyDescent="0.25">
      <c r="A2565">
        <v>37</v>
      </c>
      <c r="B2565" t="str">
        <f>"3:31:58.926020"</f>
        <v>3:31:58.926020</v>
      </c>
      <c r="C2565">
        <v>-79</v>
      </c>
    </row>
    <row r="2566" spans="1:3" x14ac:dyDescent="0.25">
      <c r="A2566">
        <v>38</v>
      </c>
      <c r="B2566" t="str">
        <f>"3:31:58.926717"</f>
        <v>3:31:58.926717</v>
      </c>
      <c r="C2566">
        <v>-63</v>
      </c>
    </row>
    <row r="2567" spans="1:3" x14ac:dyDescent="0.25">
      <c r="A2567">
        <v>39</v>
      </c>
      <c r="B2567" t="str">
        <f>"3:31:58.927414"</f>
        <v>3:31:58.927414</v>
      </c>
      <c r="C2567">
        <v>-61</v>
      </c>
    </row>
    <row r="2568" spans="1:3" x14ac:dyDescent="0.25">
      <c r="A2568">
        <v>37</v>
      </c>
      <c r="B2568" t="str">
        <f>"3:32:01.391914"</f>
        <v>3:32:01.391914</v>
      </c>
      <c r="C2568">
        <v>-77</v>
      </c>
    </row>
    <row r="2569" spans="1:3" x14ac:dyDescent="0.25">
      <c r="A2569">
        <v>38</v>
      </c>
      <c r="B2569" t="str">
        <f>"3:32:01.392611"</f>
        <v>3:32:01.392611</v>
      </c>
      <c r="C2569">
        <v>-63</v>
      </c>
    </row>
    <row r="2570" spans="1:3" x14ac:dyDescent="0.25">
      <c r="A2570">
        <v>39</v>
      </c>
      <c r="B2570" t="str">
        <f>"3:32:01.393308"</f>
        <v>3:32:01.393308</v>
      </c>
      <c r="C2570">
        <v>-61</v>
      </c>
    </row>
    <row r="2571" spans="1:3" x14ac:dyDescent="0.25">
      <c r="A2571">
        <v>37</v>
      </c>
      <c r="B2571" t="str">
        <f>"3:32:02.657524"</f>
        <v>3:32:02.657524</v>
      </c>
      <c r="C2571">
        <v>-78</v>
      </c>
    </row>
    <row r="2572" spans="1:3" x14ac:dyDescent="0.25">
      <c r="A2572">
        <v>38</v>
      </c>
      <c r="B2572" t="str">
        <f>"3:32:02.658221"</f>
        <v>3:32:02.658221</v>
      </c>
      <c r="C2572">
        <v>-63</v>
      </c>
    </row>
    <row r="2573" spans="1:3" x14ac:dyDescent="0.25">
      <c r="A2573">
        <v>39</v>
      </c>
      <c r="B2573" t="str">
        <f>"3:32:02.658918"</f>
        <v>3:32:02.658918</v>
      </c>
      <c r="C2573">
        <v>-61</v>
      </c>
    </row>
    <row r="2574" spans="1:3" x14ac:dyDescent="0.25">
      <c r="A2574">
        <v>37</v>
      </c>
      <c r="B2574" t="str">
        <f>"3:32:03.870510"</f>
        <v>3:32:03.870510</v>
      </c>
      <c r="C2574">
        <v>-77</v>
      </c>
    </row>
    <row r="2575" spans="1:3" x14ac:dyDescent="0.25">
      <c r="A2575">
        <v>38</v>
      </c>
      <c r="B2575" t="str">
        <f>"3:32:03.871207"</f>
        <v>3:32:03.871207</v>
      </c>
      <c r="C2575">
        <v>-63</v>
      </c>
    </row>
    <row r="2576" spans="1:3" x14ac:dyDescent="0.25">
      <c r="A2576">
        <v>39</v>
      </c>
      <c r="B2576" t="str">
        <f>"3:32:03.871904"</f>
        <v>3:32:03.871904</v>
      </c>
      <c r="C2576">
        <v>-61</v>
      </c>
    </row>
    <row r="2577" spans="1:3" x14ac:dyDescent="0.25">
      <c r="A2577">
        <v>37</v>
      </c>
      <c r="B2577" t="str">
        <f>"3:32:05.150912"</f>
        <v>3:32:05.150912</v>
      </c>
      <c r="C2577">
        <v>-76</v>
      </c>
    </row>
    <row r="2578" spans="1:3" x14ac:dyDescent="0.25">
      <c r="A2578">
        <v>38</v>
      </c>
      <c r="B2578" t="str">
        <f>"3:32:05.151609"</f>
        <v>3:32:05.151609</v>
      </c>
      <c r="C2578">
        <v>-63</v>
      </c>
    </row>
    <row r="2579" spans="1:3" x14ac:dyDescent="0.25">
      <c r="A2579">
        <v>39</v>
      </c>
      <c r="B2579" t="str">
        <f>"3:32:05.152306"</f>
        <v>3:32:05.152306</v>
      </c>
      <c r="C2579">
        <v>-61</v>
      </c>
    </row>
    <row r="2580" spans="1:3" x14ac:dyDescent="0.25">
      <c r="A2580">
        <v>37</v>
      </c>
      <c r="B2580" t="str">
        <f>"3:32:06.358987"</f>
        <v>3:32:06.358987</v>
      </c>
      <c r="C2580">
        <v>-77</v>
      </c>
    </row>
    <row r="2581" spans="1:3" x14ac:dyDescent="0.25">
      <c r="A2581">
        <v>38</v>
      </c>
      <c r="B2581" t="str">
        <f>"3:32:06.359684"</f>
        <v>3:32:06.359684</v>
      </c>
      <c r="C2581">
        <v>-63</v>
      </c>
    </row>
    <row r="2582" spans="1:3" x14ac:dyDescent="0.25">
      <c r="A2582">
        <v>39</v>
      </c>
      <c r="B2582" t="str">
        <f>"3:32:06.360381"</f>
        <v>3:32:06.360381</v>
      </c>
      <c r="C2582">
        <v>-61</v>
      </c>
    </row>
    <row r="2583" spans="1:3" x14ac:dyDescent="0.25">
      <c r="A2583">
        <v>37</v>
      </c>
      <c r="B2583" t="str">
        <f>"3:32:07.604163"</f>
        <v>3:32:07.604163</v>
      </c>
      <c r="C2583">
        <v>-77</v>
      </c>
    </row>
    <row r="2584" spans="1:3" x14ac:dyDescent="0.25">
      <c r="A2584">
        <v>38</v>
      </c>
      <c r="B2584" t="str">
        <f>"3:32:07.604860"</f>
        <v>3:32:07.604860</v>
      </c>
      <c r="C2584">
        <v>-63</v>
      </c>
    </row>
    <row r="2585" spans="1:3" x14ac:dyDescent="0.25">
      <c r="A2585">
        <v>39</v>
      </c>
      <c r="B2585" t="str">
        <f>"3:32:07.605557"</f>
        <v>3:32:07.605557</v>
      </c>
      <c r="C2585">
        <v>-61</v>
      </c>
    </row>
    <row r="2586" spans="1:3" x14ac:dyDescent="0.25">
      <c r="A2586">
        <v>38</v>
      </c>
      <c r="B2586" t="str">
        <f>"3:32:08.850333"</f>
        <v>3:32:08.850333</v>
      </c>
      <c r="C2586">
        <v>-63</v>
      </c>
    </row>
    <row r="2587" spans="1:3" x14ac:dyDescent="0.25">
      <c r="A2587">
        <v>39</v>
      </c>
      <c r="B2587" t="str">
        <f>"3:32:08.851030"</f>
        <v>3:32:08.851030</v>
      </c>
      <c r="C2587">
        <v>-61</v>
      </c>
    </row>
    <row r="2588" spans="1:3" x14ac:dyDescent="0.25">
      <c r="A2588">
        <v>38</v>
      </c>
      <c r="B2588" t="str">
        <f>"3:32:10.108961"</f>
        <v>3:32:10.108961</v>
      </c>
      <c r="C2588">
        <v>-63</v>
      </c>
    </row>
    <row r="2589" spans="1:3" x14ac:dyDescent="0.25">
      <c r="A2589">
        <v>39</v>
      </c>
      <c r="B2589" t="str">
        <f>"3:32:10.109658"</f>
        <v>3:32:10.109658</v>
      </c>
      <c r="C2589">
        <v>-61</v>
      </c>
    </row>
    <row r="2590" spans="1:3" x14ac:dyDescent="0.25">
      <c r="A2590">
        <v>37</v>
      </c>
      <c r="B2590" t="str">
        <f>"3:32:11.376608"</f>
        <v>3:32:11.376608</v>
      </c>
      <c r="C2590">
        <v>-77</v>
      </c>
    </row>
    <row r="2591" spans="1:3" x14ac:dyDescent="0.25">
      <c r="A2591">
        <v>38</v>
      </c>
      <c r="B2591" t="str">
        <f>"3:32:11.377305"</f>
        <v>3:32:11.377305</v>
      </c>
      <c r="C2591">
        <v>-63</v>
      </c>
    </row>
    <row r="2592" spans="1:3" x14ac:dyDescent="0.25">
      <c r="A2592">
        <v>39</v>
      </c>
      <c r="B2592" t="str">
        <f>"3:32:11.378002"</f>
        <v>3:32:11.378002</v>
      </c>
      <c r="C2592">
        <v>-61</v>
      </c>
    </row>
    <row r="2593" spans="1:3" x14ac:dyDescent="0.25">
      <c r="A2593">
        <v>37</v>
      </c>
      <c r="B2593" t="str">
        <f>"3:32:12.636806"</f>
        <v>3:32:12.636806</v>
      </c>
      <c r="C2593">
        <v>-78</v>
      </c>
    </row>
    <row r="2594" spans="1:3" x14ac:dyDescent="0.25">
      <c r="A2594">
        <v>38</v>
      </c>
      <c r="B2594" t="str">
        <f>"3:32:12.637502"</f>
        <v>3:32:12.637502</v>
      </c>
      <c r="C2594">
        <v>-63</v>
      </c>
    </row>
    <row r="2595" spans="1:3" x14ac:dyDescent="0.25">
      <c r="A2595">
        <v>39</v>
      </c>
      <c r="B2595" t="str">
        <f>"3:32:12.638200"</f>
        <v>3:32:12.638200</v>
      </c>
      <c r="C2595">
        <v>-61</v>
      </c>
    </row>
    <row r="2596" spans="1:3" x14ac:dyDescent="0.25">
      <c r="A2596">
        <v>38</v>
      </c>
      <c r="B2596" t="str">
        <f>"3:32:13.845828"</f>
        <v>3:32:13.845828</v>
      </c>
      <c r="C2596">
        <v>-63</v>
      </c>
    </row>
    <row r="2597" spans="1:3" x14ac:dyDescent="0.25">
      <c r="A2597">
        <v>39</v>
      </c>
      <c r="B2597" t="str">
        <f>"3:32:13.846525"</f>
        <v>3:32:13.846525</v>
      </c>
      <c r="C2597">
        <v>-62</v>
      </c>
    </row>
    <row r="2598" spans="1:3" x14ac:dyDescent="0.25">
      <c r="A2598">
        <v>37</v>
      </c>
      <c r="B2598" t="str">
        <f>"3:32:15.085408"</f>
        <v>3:32:15.085408</v>
      </c>
      <c r="C2598">
        <v>-78</v>
      </c>
    </row>
    <row r="2599" spans="1:3" x14ac:dyDescent="0.25">
      <c r="A2599">
        <v>38</v>
      </c>
      <c r="B2599" t="str">
        <f>"3:32:15.086104"</f>
        <v>3:32:15.086104</v>
      </c>
      <c r="C2599">
        <v>-63</v>
      </c>
    </row>
    <row r="2600" spans="1:3" x14ac:dyDescent="0.25">
      <c r="A2600">
        <v>39</v>
      </c>
      <c r="B2600" t="str">
        <f>"3:32:15.086802"</f>
        <v>3:32:15.086802</v>
      </c>
      <c r="C2600">
        <v>-61</v>
      </c>
    </row>
    <row r="2601" spans="1:3" x14ac:dyDescent="0.25">
      <c r="A2601">
        <v>39</v>
      </c>
      <c r="B2601" t="str">
        <f>"3:32:16.328478"</f>
        <v>3:32:16.328478</v>
      </c>
      <c r="C2601">
        <v>-61</v>
      </c>
    </row>
    <row r="2602" spans="1:3" x14ac:dyDescent="0.25">
      <c r="A2602">
        <v>37</v>
      </c>
      <c r="B2602" t="str">
        <f>"3:32:17.582155"</f>
        <v>3:32:17.582155</v>
      </c>
      <c r="C2602">
        <v>-77</v>
      </c>
    </row>
    <row r="2603" spans="1:3" x14ac:dyDescent="0.25">
      <c r="A2603">
        <v>38</v>
      </c>
      <c r="B2603" t="str">
        <f>"3:32:17.582852"</f>
        <v>3:32:17.582852</v>
      </c>
      <c r="C2603">
        <v>-63</v>
      </c>
    </row>
    <row r="2604" spans="1:3" x14ac:dyDescent="0.25">
      <c r="A2604">
        <v>39</v>
      </c>
      <c r="B2604" t="str">
        <f>"3:32:17.583549"</f>
        <v>3:32:17.583549</v>
      </c>
      <c r="C2604">
        <v>-61</v>
      </c>
    </row>
    <row r="2605" spans="1:3" x14ac:dyDescent="0.25">
      <c r="A2605">
        <v>37</v>
      </c>
      <c r="B2605" t="str">
        <f>"3:32:18.813302"</f>
        <v>3:32:18.813302</v>
      </c>
      <c r="C2605">
        <v>-77</v>
      </c>
    </row>
    <row r="2606" spans="1:3" x14ac:dyDescent="0.25">
      <c r="A2606">
        <v>38</v>
      </c>
      <c r="B2606" t="str">
        <f>"3:32:18.813999"</f>
        <v>3:32:18.813999</v>
      </c>
      <c r="C2606">
        <v>-63</v>
      </c>
    </row>
    <row r="2607" spans="1:3" x14ac:dyDescent="0.25">
      <c r="A2607">
        <v>39</v>
      </c>
      <c r="B2607" t="str">
        <f>"3:32:18.814696"</f>
        <v>3:32:18.814696</v>
      </c>
      <c r="C2607">
        <v>-61</v>
      </c>
    </row>
    <row r="2608" spans="1:3" x14ac:dyDescent="0.25">
      <c r="A2608">
        <v>37</v>
      </c>
      <c r="B2608" t="str">
        <f>"3:32:20.059079"</f>
        <v>3:32:20.059079</v>
      </c>
      <c r="C2608">
        <v>-76</v>
      </c>
    </row>
    <row r="2609" spans="1:3" x14ac:dyDescent="0.25">
      <c r="A2609">
        <v>38</v>
      </c>
      <c r="B2609" t="str">
        <f>"3:32:20.059776"</f>
        <v>3:32:20.059776</v>
      </c>
      <c r="C2609">
        <v>-63</v>
      </c>
    </row>
    <row r="2610" spans="1:3" x14ac:dyDescent="0.25">
      <c r="A2610">
        <v>39</v>
      </c>
      <c r="B2610" t="str">
        <f>"3:32:20.060473"</f>
        <v>3:32:20.060473</v>
      </c>
      <c r="C2610">
        <v>-61</v>
      </c>
    </row>
    <row r="2611" spans="1:3" x14ac:dyDescent="0.25">
      <c r="A2611">
        <v>37</v>
      </c>
      <c r="B2611" t="str">
        <f>"3:32:22.572249"</f>
        <v>3:32:22.572249</v>
      </c>
      <c r="C2611">
        <v>-78</v>
      </c>
    </row>
    <row r="2612" spans="1:3" x14ac:dyDescent="0.25">
      <c r="A2612">
        <v>38</v>
      </c>
      <c r="B2612" t="str">
        <f>"3:32:22.572946"</f>
        <v>3:32:22.572946</v>
      </c>
      <c r="C2612">
        <v>-63</v>
      </c>
    </row>
    <row r="2613" spans="1:3" x14ac:dyDescent="0.25">
      <c r="A2613">
        <v>39</v>
      </c>
      <c r="B2613" t="str">
        <f>"3:32:22.573643"</f>
        <v>3:32:22.573643</v>
      </c>
      <c r="C2613">
        <v>-61</v>
      </c>
    </row>
    <row r="2614" spans="1:3" x14ac:dyDescent="0.25">
      <c r="A2614">
        <v>37</v>
      </c>
      <c r="B2614" t="str">
        <f>"3:32:23.793056"</f>
        <v>3:32:23.793056</v>
      </c>
      <c r="C2614">
        <v>-78</v>
      </c>
    </row>
    <row r="2615" spans="1:3" x14ac:dyDescent="0.25">
      <c r="A2615">
        <v>38</v>
      </c>
      <c r="B2615" t="str">
        <f>"3:32:23.793753"</f>
        <v>3:32:23.793753</v>
      </c>
      <c r="C2615">
        <v>-63</v>
      </c>
    </row>
    <row r="2616" spans="1:3" x14ac:dyDescent="0.25">
      <c r="A2616">
        <v>39</v>
      </c>
      <c r="B2616" t="str">
        <f>"3:32:23.794450"</f>
        <v>3:32:23.794450</v>
      </c>
      <c r="C2616">
        <v>-61</v>
      </c>
    </row>
    <row r="2617" spans="1:3" x14ac:dyDescent="0.25">
      <c r="A2617">
        <v>37</v>
      </c>
      <c r="B2617" t="str">
        <f>"3:32:25.046569"</f>
        <v>3:32:25.046569</v>
      </c>
      <c r="C2617">
        <v>-77</v>
      </c>
    </row>
    <row r="2618" spans="1:3" x14ac:dyDescent="0.25">
      <c r="A2618">
        <v>38</v>
      </c>
      <c r="B2618" t="str">
        <f>"3:32:25.047266"</f>
        <v>3:32:25.047266</v>
      </c>
      <c r="C2618">
        <v>-63</v>
      </c>
    </row>
    <row r="2619" spans="1:3" x14ac:dyDescent="0.25">
      <c r="A2619">
        <v>39</v>
      </c>
      <c r="B2619" t="str">
        <f>"3:32:25.047963"</f>
        <v>3:32:25.047963</v>
      </c>
      <c r="C2619">
        <v>-61</v>
      </c>
    </row>
    <row r="2620" spans="1:3" x14ac:dyDescent="0.25">
      <c r="A2620">
        <v>37</v>
      </c>
      <c r="B2620" t="str">
        <f>"3:32:26.286833"</f>
        <v>3:32:26.286833</v>
      </c>
      <c r="C2620">
        <v>-78</v>
      </c>
    </row>
    <row r="2621" spans="1:3" x14ac:dyDescent="0.25">
      <c r="A2621">
        <v>38</v>
      </c>
      <c r="B2621" t="str">
        <f>"3:32:26.287530"</f>
        <v>3:32:26.287530</v>
      </c>
      <c r="C2621">
        <v>-63</v>
      </c>
    </row>
    <row r="2622" spans="1:3" x14ac:dyDescent="0.25">
      <c r="A2622">
        <v>39</v>
      </c>
      <c r="B2622" t="str">
        <f>"3:32:26.288227"</f>
        <v>3:32:26.288227</v>
      </c>
      <c r="C2622">
        <v>-61</v>
      </c>
    </row>
    <row r="2623" spans="1:3" x14ac:dyDescent="0.25">
      <c r="A2623">
        <v>37</v>
      </c>
      <c r="B2623" t="str">
        <f>"3:32:27.525438"</f>
        <v>3:32:27.525438</v>
      </c>
      <c r="C2623">
        <v>-77</v>
      </c>
    </row>
    <row r="2624" spans="1:3" x14ac:dyDescent="0.25">
      <c r="A2624">
        <v>38</v>
      </c>
      <c r="B2624" t="str">
        <f>"3:32:27.526135"</f>
        <v>3:32:27.526135</v>
      </c>
      <c r="C2624">
        <v>-63</v>
      </c>
    </row>
    <row r="2625" spans="1:3" x14ac:dyDescent="0.25">
      <c r="A2625">
        <v>39</v>
      </c>
      <c r="B2625" t="str">
        <f>"3:32:27.526832"</f>
        <v>3:32:27.526832</v>
      </c>
      <c r="C2625">
        <v>-61</v>
      </c>
    </row>
    <row r="2626" spans="1:3" x14ac:dyDescent="0.25">
      <c r="A2626">
        <v>37</v>
      </c>
      <c r="B2626" t="str">
        <f>"3:32:28.763914"</f>
        <v>3:32:28.763914</v>
      </c>
      <c r="C2626">
        <v>-77</v>
      </c>
    </row>
    <row r="2627" spans="1:3" x14ac:dyDescent="0.25">
      <c r="A2627">
        <v>38</v>
      </c>
      <c r="B2627" t="str">
        <f>"3:32:28.764611"</f>
        <v>3:32:28.764611</v>
      </c>
      <c r="C2627">
        <v>-63</v>
      </c>
    </row>
    <row r="2628" spans="1:3" x14ac:dyDescent="0.25">
      <c r="A2628">
        <v>39</v>
      </c>
      <c r="B2628" t="str">
        <f>"3:32:28.765308"</f>
        <v>3:32:28.765308</v>
      </c>
      <c r="C2628">
        <v>-61</v>
      </c>
    </row>
    <row r="2629" spans="1:3" x14ac:dyDescent="0.25">
      <c r="A2629">
        <v>37</v>
      </c>
      <c r="B2629" t="str">
        <f>"3:32:30.001591"</f>
        <v>3:32:30.001591</v>
      </c>
      <c r="C2629">
        <v>-77</v>
      </c>
    </row>
    <row r="2630" spans="1:3" x14ac:dyDescent="0.25">
      <c r="A2630">
        <v>38</v>
      </c>
      <c r="B2630" t="str">
        <f>"3:32:30.002288"</f>
        <v>3:32:30.002288</v>
      </c>
      <c r="C2630">
        <v>-63</v>
      </c>
    </row>
    <row r="2631" spans="1:3" x14ac:dyDescent="0.25">
      <c r="A2631">
        <v>39</v>
      </c>
      <c r="B2631" t="str">
        <f>"3:32:30.002985"</f>
        <v>3:32:30.002985</v>
      </c>
      <c r="C2631">
        <v>-61</v>
      </c>
    </row>
    <row r="2632" spans="1:3" x14ac:dyDescent="0.25">
      <c r="A2632">
        <v>37</v>
      </c>
      <c r="B2632" t="str">
        <f>"3:32:31.281969"</f>
        <v>3:32:31.281969</v>
      </c>
      <c r="C2632">
        <v>-77</v>
      </c>
    </row>
    <row r="2633" spans="1:3" x14ac:dyDescent="0.25">
      <c r="A2633">
        <v>38</v>
      </c>
      <c r="B2633" t="str">
        <f>"3:32:31.282666"</f>
        <v>3:32:31.282666</v>
      </c>
      <c r="C2633">
        <v>-63</v>
      </c>
    </row>
    <row r="2634" spans="1:3" x14ac:dyDescent="0.25">
      <c r="A2634">
        <v>39</v>
      </c>
      <c r="B2634" t="str">
        <f>"3:32:31.283363"</f>
        <v>3:32:31.283363</v>
      </c>
      <c r="C2634">
        <v>-61</v>
      </c>
    </row>
    <row r="2635" spans="1:3" x14ac:dyDescent="0.25">
      <c r="A2635">
        <v>37</v>
      </c>
      <c r="B2635" t="str">
        <f>"3:32:32.499818"</f>
        <v>3:32:32.499818</v>
      </c>
      <c r="C2635">
        <v>-77</v>
      </c>
    </row>
    <row r="2636" spans="1:3" x14ac:dyDescent="0.25">
      <c r="A2636">
        <v>38</v>
      </c>
      <c r="B2636" t="str">
        <f>"3:32:32.500515"</f>
        <v>3:32:32.500515</v>
      </c>
      <c r="C2636">
        <v>-63</v>
      </c>
    </row>
    <row r="2637" spans="1:3" x14ac:dyDescent="0.25">
      <c r="A2637">
        <v>39</v>
      </c>
      <c r="B2637" t="str">
        <f>"3:32:32.501212"</f>
        <v>3:32:32.501212</v>
      </c>
      <c r="C2637">
        <v>-61</v>
      </c>
    </row>
    <row r="2638" spans="1:3" x14ac:dyDescent="0.25">
      <c r="A2638">
        <v>37</v>
      </c>
      <c r="B2638" t="str">
        <f>"3:32:33.746272"</f>
        <v>3:32:33.746272</v>
      </c>
      <c r="C2638">
        <v>-77</v>
      </c>
    </row>
    <row r="2639" spans="1:3" x14ac:dyDescent="0.25">
      <c r="A2639">
        <v>38</v>
      </c>
      <c r="B2639" t="str">
        <f>"3:32:33.746969"</f>
        <v>3:32:33.746969</v>
      </c>
      <c r="C2639">
        <v>-63</v>
      </c>
    </row>
    <row r="2640" spans="1:3" x14ac:dyDescent="0.25">
      <c r="A2640">
        <v>39</v>
      </c>
      <c r="B2640" t="str">
        <f>"3:32:33.747666"</f>
        <v>3:32:33.747666</v>
      </c>
      <c r="C2640">
        <v>-61</v>
      </c>
    </row>
    <row r="2641" spans="1:3" x14ac:dyDescent="0.25">
      <c r="A2641">
        <v>38</v>
      </c>
      <c r="B2641" t="str">
        <f>"3:32:35.008163"</f>
        <v>3:32:35.008163</v>
      </c>
      <c r="C2641">
        <v>-64</v>
      </c>
    </row>
    <row r="2642" spans="1:3" x14ac:dyDescent="0.25">
      <c r="A2642">
        <v>39</v>
      </c>
      <c r="B2642" t="str">
        <f>"3:32:35.008860"</f>
        <v>3:32:35.008860</v>
      </c>
      <c r="C2642">
        <v>-61</v>
      </c>
    </row>
    <row r="2643" spans="1:3" x14ac:dyDescent="0.25">
      <c r="A2643">
        <v>38</v>
      </c>
      <c r="B2643" t="str">
        <f>"3:32:36.251554"</f>
        <v>3:32:36.251554</v>
      </c>
      <c r="C2643">
        <v>-63</v>
      </c>
    </row>
    <row r="2644" spans="1:3" x14ac:dyDescent="0.25">
      <c r="A2644">
        <v>39</v>
      </c>
      <c r="B2644" t="str">
        <f>"3:32:36.252251"</f>
        <v>3:32:36.252251</v>
      </c>
      <c r="C2644">
        <v>-61</v>
      </c>
    </row>
    <row r="2645" spans="1:3" x14ac:dyDescent="0.25">
      <c r="A2645">
        <v>37</v>
      </c>
      <c r="B2645" t="str">
        <f>"3:32:37.480150"</f>
        <v>3:32:37.480150</v>
      </c>
      <c r="C2645">
        <v>-77</v>
      </c>
    </row>
    <row r="2646" spans="1:3" x14ac:dyDescent="0.25">
      <c r="A2646">
        <v>38</v>
      </c>
      <c r="B2646" t="str">
        <f>"3:32:37.480847"</f>
        <v>3:32:37.480847</v>
      </c>
      <c r="C2646">
        <v>-63</v>
      </c>
    </row>
    <row r="2647" spans="1:3" x14ac:dyDescent="0.25">
      <c r="A2647">
        <v>39</v>
      </c>
      <c r="B2647" t="str">
        <f>"3:32:37.481544"</f>
        <v>3:32:37.481544</v>
      </c>
      <c r="C2647">
        <v>-61</v>
      </c>
    </row>
    <row r="2648" spans="1:3" x14ac:dyDescent="0.25">
      <c r="A2648">
        <v>37</v>
      </c>
      <c r="B2648" t="str">
        <f>"3:32:38.726145"</f>
        <v>3:32:38.726145</v>
      </c>
      <c r="C2648">
        <v>-77</v>
      </c>
    </row>
    <row r="2649" spans="1:3" x14ac:dyDescent="0.25">
      <c r="A2649">
        <v>39</v>
      </c>
      <c r="B2649" t="str">
        <f>"3:32:38.727539"</f>
        <v>3:32:38.727539</v>
      </c>
      <c r="C2649">
        <v>-61</v>
      </c>
    </row>
    <row r="2650" spans="1:3" x14ac:dyDescent="0.25">
      <c r="A2650">
        <v>39</v>
      </c>
      <c r="B2650" t="str">
        <f>"3:32:39.971766"</f>
        <v>3:32:39.971766</v>
      </c>
      <c r="C2650">
        <v>-60</v>
      </c>
    </row>
    <row r="2651" spans="1:3" x14ac:dyDescent="0.25">
      <c r="A2651">
        <v>37</v>
      </c>
      <c r="B2651" t="str">
        <f>"3:32:41.216676"</f>
        <v>3:32:41.216676</v>
      </c>
      <c r="C2651">
        <v>-77</v>
      </c>
    </row>
    <row r="2652" spans="1:3" x14ac:dyDescent="0.25">
      <c r="A2652">
        <v>38</v>
      </c>
      <c r="B2652" t="str">
        <f>"3:32:41.217373"</f>
        <v>3:32:41.217373</v>
      </c>
      <c r="C2652">
        <v>-63</v>
      </c>
    </row>
    <row r="2653" spans="1:3" x14ac:dyDescent="0.25">
      <c r="A2653">
        <v>39</v>
      </c>
      <c r="B2653" t="str">
        <f>"3:32:41.218070"</f>
        <v>3:32:41.218070</v>
      </c>
      <c r="C2653">
        <v>-61</v>
      </c>
    </row>
    <row r="2654" spans="1:3" x14ac:dyDescent="0.25">
      <c r="A2654">
        <v>37</v>
      </c>
      <c r="B2654" t="str">
        <f>"3:32:42.465425"</f>
        <v>3:32:42.465425</v>
      </c>
      <c r="C2654">
        <v>-76</v>
      </c>
    </row>
    <row r="2655" spans="1:3" x14ac:dyDescent="0.25">
      <c r="A2655">
        <v>38</v>
      </c>
      <c r="B2655" t="str">
        <f>"3:32:42.466122"</f>
        <v>3:32:42.466122</v>
      </c>
      <c r="C2655">
        <v>-63</v>
      </c>
    </row>
    <row r="2656" spans="1:3" x14ac:dyDescent="0.25">
      <c r="A2656">
        <v>39</v>
      </c>
      <c r="B2656" t="str">
        <f>"3:32:42.466819"</f>
        <v>3:32:42.466819</v>
      </c>
      <c r="C2656">
        <v>-61</v>
      </c>
    </row>
    <row r="2657" spans="1:3" x14ac:dyDescent="0.25">
      <c r="A2657">
        <v>37</v>
      </c>
      <c r="B2657" t="str">
        <f>"3:32:43.709501"</f>
        <v>3:32:43.709501</v>
      </c>
      <c r="C2657">
        <v>-78</v>
      </c>
    </row>
    <row r="2658" spans="1:3" x14ac:dyDescent="0.25">
      <c r="A2658">
        <v>38</v>
      </c>
      <c r="B2658" t="str">
        <f>"3:32:43.710198"</f>
        <v>3:32:43.710198</v>
      </c>
      <c r="C2658">
        <v>-63</v>
      </c>
    </row>
    <row r="2659" spans="1:3" x14ac:dyDescent="0.25">
      <c r="A2659">
        <v>39</v>
      </c>
      <c r="B2659" t="str">
        <f>"3:32:43.710895"</f>
        <v>3:32:43.710895</v>
      </c>
      <c r="C2659">
        <v>-61</v>
      </c>
    </row>
    <row r="2660" spans="1:3" x14ac:dyDescent="0.25">
      <c r="A2660">
        <v>37</v>
      </c>
      <c r="B2660" t="str">
        <f>"3:32:44.971206"</f>
        <v>3:32:44.971206</v>
      </c>
      <c r="C2660">
        <v>-77</v>
      </c>
    </row>
    <row r="2661" spans="1:3" x14ac:dyDescent="0.25">
      <c r="A2661">
        <v>38</v>
      </c>
      <c r="B2661" t="str">
        <f>"3:32:44.971903"</f>
        <v>3:32:44.971903</v>
      </c>
      <c r="C2661">
        <v>-63</v>
      </c>
    </row>
    <row r="2662" spans="1:3" x14ac:dyDescent="0.25">
      <c r="A2662">
        <v>39</v>
      </c>
      <c r="B2662" t="str">
        <f>"3:32:44.972600"</f>
        <v>3:32:44.972600</v>
      </c>
      <c r="C2662">
        <v>-61</v>
      </c>
    </row>
    <row r="2663" spans="1:3" x14ac:dyDescent="0.25">
      <c r="A2663">
        <v>37</v>
      </c>
      <c r="B2663" t="str">
        <f>"3:32:46.211828"</f>
        <v>3:32:46.211828</v>
      </c>
      <c r="C2663">
        <v>-77</v>
      </c>
    </row>
    <row r="2664" spans="1:3" x14ac:dyDescent="0.25">
      <c r="A2664">
        <v>38</v>
      </c>
      <c r="B2664" t="str">
        <f>"3:32:46.212525"</f>
        <v>3:32:46.212525</v>
      </c>
      <c r="C2664">
        <v>-63</v>
      </c>
    </row>
    <row r="2665" spans="1:3" x14ac:dyDescent="0.25">
      <c r="A2665">
        <v>39</v>
      </c>
      <c r="B2665" t="str">
        <f>"3:32:46.213222"</f>
        <v>3:32:46.213222</v>
      </c>
      <c r="C2665">
        <v>-61</v>
      </c>
    </row>
    <row r="2666" spans="1:3" x14ac:dyDescent="0.25">
      <c r="A2666">
        <v>37</v>
      </c>
      <c r="B2666" t="str">
        <f>"3:32:47.456440"</f>
        <v>3:32:47.456440</v>
      </c>
      <c r="C2666">
        <v>-77</v>
      </c>
    </row>
    <row r="2667" spans="1:3" x14ac:dyDescent="0.25">
      <c r="A2667">
        <v>38</v>
      </c>
      <c r="B2667" t="str">
        <f>"3:32:47.457136"</f>
        <v>3:32:47.457136</v>
      </c>
      <c r="C2667">
        <v>-63</v>
      </c>
    </row>
    <row r="2668" spans="1:3" x14ac:dyDescent="0.25">
      <c r="A2668">
        <v>39</v>
      </c>
      <c r="B2668" t="str">
        <f>"3:32:47.457834"</f>
        <v>3:32:47.457834</v>
      </c>
      <c r="C2668">
        <v>-61</v>
      </c>
    </row>
    <row r="2669" spans="1:3" x14ac:dyDescent="0.25">
      <c r="A2669">
        <v>37</v>
      </c>
      <c r="B2669" t="str">
        <f>"3:32:48.697855"</f>
        <v>3:32:48.697855</v>
      </c>
      <c r="C2669">
        <v>-78</v>
      </c>
    </row>
    <row r="2670" spans="1:3" x14ac:dyDescent="0.25">
      <c r="A2670">
        <v>38</v>
      </c>
      <c r="B2670" t="str">
        <f>"3:32:48.698552"</f>
        <v>3:32:48.698552</v>
      </c>
      <c r="C2670">
        <v>-63</v>
      </c>
    </row>
    <row r="2671" spans="1:3" x14ac:dyDescent="0.25">
      <c r="A2671">
        <v>39</v>
      </c>
      <c r="B2671" t="str">
        <f>"3:32:48.699249"</f>
        <v>3:32:48.699249</v>
      </c>
      <c r="C2671">
        <v>-61</v>
      </c>
    </row>
    <row r="2672" spans="1:3" x14ac:dyDescent="0.25">
      <c r="A2672">
        <v>37</v>
      </c>
      <c r="B2672" t="str">
        <f>"3:32:51.188683"</f>
        <v>3:32:51.188683</v>
      </c>
      <c r="C2672">
        <v>-78</v>
      </c>
    </row>
    <row r="2673" spans="1:3" x14ac:dyDescent="0.25">
      <c r="A2673">
        <v>38</v>
      </c>
      <c r="B2673" t="str">
        <f>"3:32:51.189380"</f>
        <v>3:32:51.189380</v>
      </c>
      <c r="C2673">
        <v>-63</v>
      </c>
    </row>
    <row r="2674" spans="1:3" x14ac:dyDescent="0.25">
      <c r="A2674">
        <v>39</v>
      </c>
      <c r="B2674" t="str">
        <f>"3:32:51.190077"</f>
        <v>3:32:51.190077</v>
      </c>
      <c r="C2674">
        <v>-61</v>
      </c>
    </row>
    <row r="2675" spans="1:3" x14ac:dyDescent="0.25">
      <c r="A2675">
        <v>38</v>
      </c>
      <c r="B2675" t="str">
        <f>"3:32:52.442406"</f>
        <v>3:32:52.442406</v>
      </c>
      <c r="C2675">
        <v>-63</v>
      </c>
    </row>
    <row r="2676" spans="1:3" x14ac:dyDescent="0.25">
      <c r="A2676">
        <v>39</v>
      </c>
      <c r="B2676" t="str">
        <f>"3:32:52.443103"</f>
        <v>3:32:52.443103</v>
      </c>
      <c r="C2676">
        <v>-61</v>
      </c>
    </row>
    <row r="2677" spans="1:3" x14ac:dyDescent="0.25">
      <c r="A2677">
        <v>38</v>
      </c>
      <c r="B2677" t="str">
        <f>"3:32:53.684711"</f>
        <v>3:32:53.684711</v>
      </c>
      <c r="C2677">
        <v>-63</v>
      </c>
    </row>
    <row r="2678" spans="1:3" x14ac:dyDescent="0.25">
      <c r="A2678">
        <v>39</v>
      </c>
      <c r="B2678" t="str">
        <f>"3:32:53.685408"</f>
        <v>3:32:53.685408</v>
      </c>
      <c r="C2678">
        <v>-61</v>
      </c>
    </row>
    <row r="2679" spans="1:3" x14ac:dyDescent="0.25">
      <c r="A2679">
        <v>37</v>
      </c>
      <c r="B2679" t="str">
        <f>"3:32:54.973530"</f>
        <v>3:32:54.973530</v>
      </c>
      <c r="C2679">
        <v>-76</v>
      </c>
    </row>
    <row r="2680" spans="1:3" x14ac:dyDescent="0.25">
      <c r="A2680">
        <v>38</v>
      </c>
      <c r="B2680" t="str">
        <f>"3:32:54.974227"</f>
        <v>3:32:54.974227</v>
      </c>
      <c r="C2680">
        <v>-63</v>
      </c>
    </row>
    <row r="2681" spans="1:3" x14ac:dyDescent="0.25">
      <c r="A2681">
        <v>39</v>
      </c>
      <c r="B2681" t="str">
        <f>"3:32:54.975242"</f>
        <v>3:32:54.975242</v>
      </c>
      <c r="C2681">
        <v>-60</v>
      </c>
    </row>
    <row r="2682" spans="1:3" x14ac:dyDescent="0.25">
      <c r="A2682">
        <v>37</v>
      </c>
      <c r="B2682" t="str">
        <f>"3:32:56.196952"</f>
        <v>3:32:56.196952</v>
      </c>
      <c r="C2682">
        <v>-76</v>
      </c>
    </row>
    <row r="2683" spans="1:3" x14ac:dyDescent="0.25">
      <c r="A2683">
        <v>38</v>
      </c>
      <c r="B2683" t="str">
        <f>"3:32:56.197649"</f>
        <v>3:32:56.197649</v>
      </c>
      <c r="C2683">
        <v>-63</v>
      </c>
    </row>
    <row r="2684" spans="1:3" x14ac:dyDescent="0.25">
      <c r="A2684">
        <v>39</v>
      </c>
      <c r="B2684" t="str">
        <f>"3:32:56.198346"</f>
        <v>3:32:56.198346</v>
      </c>
      <c r="C2684">
        <v>-61</v>
      </c>
    </row>
    <row r="2685" spans="1:3" x14ac:dyDescent="0.25">
      <c r="A2685">
        <v>37</v>
      </c>
      <c r="B2685" t="str">
        <f>"3:32:57.433291"</f>
        <v>3:32:57.433291</v>
      </c>
      <c r="C2685">
        <v>-78</v>
      </c>
    </row>
    <row r="2686" spans="1:3" x14ac:dyDescent="0.25">
      <c r="A2686">
        <v>38</v>
      </c>
      <c r="B2686" t="str">
        <f>"3:32:57.433988"</f>
        <v>3:32:57.433988</v>
      </c>
      <c r="C2686">
        <v>-63</v>
      </c>
    </row>
    <row r="2687" spans="1:3" x14ac:dyDescent="0.25">
      <c r="A2687">
        <v>39</v>
      </c>
      <c r="B2687" t="str">
        <f>"3:32:57.434685"</f>
        <v>3:32:57.434685</v>
      </c>
      <c r="C2687">
        <v>-61</v>
      </c>
    </row>
    <row r="2688" spans="1:3" x14ac:dyDescent="0.25">
      <c r="A2688">
        <v>37</v>
      </c>
      <c r="B2688" t="str">
        <f>"3:32:58.678268"</f>
        <v>3:32:58.678268</v>
      </c>
      <c r="C2688">
        <v>-76</v>
      </c>
    </row>
    <row r="2689" spans="1:3" x14ac:dyDescent="0.25">
      <c r="A2689">
        <v>38</v>
      </c>
      <c r="B2689" t="str">
        <f>"3:32:58.678965"</f>
        <v>3:32:58.678965</v>
      </c>
      <c r="C2689">
        <v>-63</v>
      </c>
    </row>
    <row r="2690" spans="1:3" x14ac:dyDescent="0.25">
      <c r="A2690">
        <v>39</v>
      </c>
      <c r="B2690" t="str">
        <f>"3:32:58.679662"</f>
        <v>3:32:58.679662</v>
      </c>
      <c r="C2690">
        <v>-61</v>
      </c>
    </row>
    <row r="2691" spans="1:3" x14ac:dyDescent="0.25">
      <c r="A2691">
        <v>37</v>
      </c>
      <c r="B2691" t="str">
        <f>"3:32:59.929294"</f>
        <v>3:32:59.929294</v>
      </c>
      <c r="C2691">
        <v>-78</v>
      </c>
    </row>
    <row r="2692" spans="1:3" x14ac:dyDescent="0.25">
      <c r="A2692">
        <v>38</v>
      </c>
      <c r="B2692" t="str">
        <f>"3:32:59.929991"</f>
        <v>3:32:59.929991</v>
      </c>
      <c r="C2692">
        <v>-63</v>
      </c>
    </row>
    <row r="2693" spans="1:3" x14ac:dyDescent="0.25">
      <c r="A2693">
        <v>39</v>
      </c>
      <c r="B2693" t="str">
        <f>"3:32:59.930688"</f>
        <v>3:32:59.930688</v>
      </c>
      <c r="C2693">
        <v>-61</v>
      </c>
    </row>
    <row r="2694" spans="1:3" x14ac:dyDescent="0.25">
      <c r="A2694">
        <v>37</v>
      </c>
      <c r="B2694" t="str">
        <f>"3:33:01.175021"</f>
        <v>3:33:01.175021</v>
      </c>
      <c r="C2694">
        <v>-76</v>
      </c>
    </row>
    <row r="2695" spans="1:3" x14ac:dyDescent="0.25">
      <c r="A2695">
        <v>38</v>
      </c>
      <c r="B2695" t="str">
        <f>"3:33:01.175718"</f>
        <v>3:33:01.175718</v>
      </c>
      <c r="C2695">
        <v>-63</v>
      </c>
    </row>
    <row r="2696" spans="1:3" x14ac:dyDescent="0.25">
      <c r="A2696">
        <v>39</v>
      </c>
      <c r="B2696" t="str">
        <f>"3:33:01.176415"</f>
        <v>3:33:01.176415</v>
      </c>
      <c r="C2696">
        <v>-61</v>
      </c>
    </row>
    <row r="2697" spans="1:3" x14ac:dyDescent="0.25">
      <c r="A2697">
        <v>37</v>
      </c>
      <c r="B2697" t="str">
        <f>"3:33:03.664148"</f>
        <v>3:33:03.664148</v>
      </c>
      <c r="C2697">
        <v>-76</v>
      </c>
    </row>
    <row r="2698" spans="1:3" x14ac:dyDescent="0.25">
      <c r="A2698">
        <v>38</v>
      </c>
      <c r="B2698" t="str">
        <f>"3:33:03.664845"</f>
        <v>3:33:03.664845</v>
      </c>
      <c r="C2698">
        <v>-63</v>
      </c>
    </row>
    <row r="2699" spans="1:3" x14ac:dyDescent="0.25">
      <c r="A2699">
        <v>39</v>
      </c>
      <c r="B2699" t="str">
        <f>"3:33:03.665542"</f>
        <v>3:33:03.665542</v>
      </c>
      <c r="C2699">
        <v>-61</v>
      </c>
    </row>
    <row r="2700" spans="1:3" x14ac:dyDescent="0.25">
      <c r="A2700">
        <v>37</v>
      </c>
      <c r="B2700" t="str">
        <f>"3:33:04.930565"</f>
        <v>3:33:04.930565</v>
      </c>
      <c r="C2700">
        <v>-77</v>
      </c>
    </row>
    <row r="2701" spans="1:3" x14ac:dyDescent="0.25">
      <c r="A2701">
        <v>38</v>
      </c>
      <c r="B2701" t="str">
        <f>"3:33:04.931262"</f>
        <v>3:33:04.931262</v>
      </c>
      <c r="C2701">
        <v>-63</v>
      </c>
    </row>
    <row r="2702" spans="1:3" x14ac:dyDescent="0.25">
      <c r="A2702">
        <v>39</v>
      </c>
      <c r="B2702" t="str">
        <f>"3:33:04.931959"</f>
        <v>3:33:04.931959</v>
      </c>
      <c r="C2702">
        <v>-61</v>
      </c>
    </row>
    <row r="2703" spans="1:3" x14ac:dyDescent="0.25">
      <c r="A2703">
        <v>37</v>
      </c>
      <c r="B2703" t="str">
        <f>"3:33:06.150103"</f>
        <v>3:33:06.150103</v>
      </c>
      <c r="C2703">
        <v>-77</v>
      </c>
    </row>
    <row r="2704" spans="1:3" x14ac:dyDescent="0.25">
      <c r="A2704">
        <v>38</v>
      </c>
      <c r="B2704" t="str">
        <f>"3:33:06.150799"</f>
        <v>3:33:06.150799</v>
      </c>
      <c r="C2704">
        <v>-63</v>
      </c>
    </row>
    <row r="2705" spans="1:3" x14ac:dyDescent="0.25">
      <c r="A2705">
        <v>39</v>
      </c>
      <c r="B2705" t="str">
        <f>"3:33:06.151496"</f>
        <v>3:33:06.151496</v>
      </c>
      <c r="C2705">
        <v>-61</v>
      </c>
    </row>
    <row r="2706" spans="1:3" x14ac:dyDescent="0.25">
      <c r="A2706">
        <v>37</v>
      </c>
      <c r="B2706" t="str">
        <f>"3:33:07.391242"</f>
        <v>3:33:07.391242</v>
      </c>
      <c r="C2706">
        <v>-77</v>
      </c>
    </row>
    <row r="2707" spans="1:3" x14ac:dyDescent="0.25">
      <c r="A2707">
        <v>38</v>
      </c>
      <c r="B2707" t="str">
        <f>"3:33:07.391939"</f>
        <v>3:33:07.391939</v>
      </c>
      <c r="C2707">
        <v>-63</v>
      </c>
    </row>
    <row r="2708" spans="1:3" x14ac:dyDescent="0.25">
      <c r="A2708">
        <v>39</v>
      </c>
      <c r="B2708" t="str">
        <f>"3:33:07.392636"</f>
        <v>3:33:07.392636</v>
      </c>
      <c r="C2708">
        <v>-61</v>
      </c>
    </row>
    <row r="2709" spans="1:3" x14ac:dyDescent="0.25">
      <c r="A2709">
        <v>37</v>
      </c>
      <c r="B2709" t="str">
        <f>"3:33:08.643879"</f>
        <v>3:33:08.643879</v>
      </c>
      <c r="C2709">
        <v>-78</v>
      </c>
    </row>
    <row r="2710" spans="1:3" x14ac:dyDescent="0.25">
      <c r="A2710">
        <v>38</v>
      </c>
      <c r="B2710" t="str">
        <f>"3:33:08.644576"</f>
        <v>3:33:08.644576</v>
      </c>
      <c r="C2710">
        <v>-63</v>
      </c>
    </row>
    <row r="2711" spans="1:3" x14ac:dyDescent="0.25">
      <c r="A2711">
        <v>39</v>
      </c>
      <c r="B2711" t="str">
        <f>"3:33:08.645273"</f>
        <v>3:33:08.645273</v>
      </c>
      <c r="C2711">
        <v>-61</v>
      </c>
    </row>
    <row r="2712" spans="1:3" x14ac:dyDescent="0.25">
      <c r="A2712">
        <v>37</v>
      </c>
      <c r="B2712" t="str">
        <f>"3:33:09.888456"</f>
        <v>3:33:09.888456</v>
      </c>
      <c r="C2712">
        <v>-78</v>
      </c>
    </row>
    <row r="2713" spans="1:3" x14ac:dyDescent="0.25">
      <c r="A2713">
        <v>38</v>
      </c>
      <c r="B2713" t="str">
        <f>"3:33:09.889153"</f>
        <v>3:33:09.889153</v>
      </c>
      <c r="C2713">
        <v>-63</v>
      </c>
    </row>
    <row r="2714" spans="1:3" x14ac:dyDescent="0.25">
      <c r="A2714">
        <v>39</v>
      </c>
      <c r="B2714" t="str">
        <f>"3:33:09.889850"</f>
        <v>3:33:09.889850</v>
      </c>
      <c r="C2714">
        <v>-61</v>
      </c>
    </row>
    <row r="2715" spans="1:3" x14ac:dyDescent="0.25">
      <c r="A2715">
        <v>39</v>
      </c>
      <c r="B2715" t="str">
        <f>"3:33:11.137676"</f>
        <v>3:33:11.137676</v>
      </c>
      <c r="C2715">
        <v>-61</v>
      </c>
    </row>
    <row r="2716" spans="1:3" x14ac:dyDescent="0.25">
      <c r="A2716">
        <v>37</v>
      </c>
      <c r="B2716" t="str">
        <f>"3:33:12.391368"</f>
        <v>3:33:12.391368</v>
      </c>
      <c r="C2716">
        <v>-76</v>
      </c>
    </row>
    <row r="2717" spans="1:3" x14ac:dyDescent="0.25">
      <c r="A2717">
        <v>38</v>
      </c>
      <c r="B2717" t="str">
        <f>"3:33:12.392065"</f>
        <v>3:33:12.392065</v>
      </c>
      <c r="C2717">
        <v>-63</v>
      </c>
    </row>
    <row r="2718" spans="1:3" x14ac:dyDescent="0.25">
      <c r="A2718">
        <v>39</v>
      </c>
      <c r="B2718" t="str">
        <f>"3:33:12.392762"</f>
        <v>3:33:12.392762</v>
      </c>
      <c r="C2718">
        <v>-61</v>
      </c>
    </row>
    <row r="2719" spans="1:3" x14ac:dyDescent="0.25">
      <c r="A2719">
        <v>37</v>
      </c>
      <c r="B2719" t="str">
        <f>"3:33:13.628709"</f>
        <v>3:33:13.628709</v>
      </c>
      <c r="C2719">
        <v>-77</v>
      </c>
    </row>
    <row r="2720" spans="1:3" x14ac:dyDescent="0.25">
      <c r="A2720">
        <v>38</v>
      </c>
      <c r="B2720" t="str">
        <f>"3:33:13.629406"</f>
        <v>3:33:13.629406</v>
      </c>
      <c r="C2720">
        <v>-63</v>
      </c>
    </row>
    <row r="2721" spans="1:3" x14ac:dyDescent="0.25">
      <c r="A2721">
        <v>39</v>
      </c>
      <c r="B2721" t="str">
        <f>"3:33:13.630103"</f>
        <v>3:33:13.630103</v>
      </c>
      <c r="C2721">
        <v>-61</v>
      </c>
    </row>
    <row r="2722" spans="1:3" x14ac:dyDescent="0.25">
      <c r="A2722">
        <v>37</v>
      </c>
      <c r="B2722" t="str">
        <f>"3:33:16.106786"</f>
        <v>3:33:16.106786</v>
      </c>
      <c r="C2722">
        <v>-77</v>
      </c>
    </row>
    <row r="2723" spans="1:3" x14ac:dyDescent="0.25">
      <c r="A2723">
        <v>38</v>
      </c>
      <c r="B2723" t="str">
        <f>"3:33:16.107483"</f>
        <v>3:33:16.107483</v>
      </c>
      <c r="C2723">
        <v>-63</v>
      </c>
    </row>
    <row r="2724" spans="1:3" x14ac:dyDescent="0.25">
      <c r="A2724">
        <v>38</v>
      </c>
      <c r="B2724" t="str">
        <f>"3:33:16.107985"</f>
        <v>3:33:16.107985</v>
      </c>
      <c r="C2724">
        <v>-64</v>
      </c>
    </row>
    <row r="2725" spans="1:3" x14ac:dyDescent="0.25">
      <c r="A2725">
        <v>38</v>
      </c>
      <c r="B2725" t="str">
        <f>"3:33:16.108311"</f>
        <v>3:33:16.108311</v>
      </c>
      <c r="C2725">
        <v>-63</v>
      </c>
    </row>
    <row r="2726" spans="1:3" x14ac:dyDescent="0.25">
      <c r="A2726">
        <v>39</v>
      </c>
      <c r="B2726" t="str">
        <f>"3:33:16.108582"</f>
        <v>3:33:16.108582</v>
      </c>
      <c r="C2726">
        <v>-61</v>
      </c>
    </row>
    <row r="2727" spans="1:3" x14ac:dyDescent="0.25">
      <c r="A2727">
        <v>37</v>
      </c>
      <c r="B2727" t="str">
        <f>"3:33:17.396991"</f>
        <v>3:33:17.396991</v>
      </c>
      <c r="C2727">
        <v>-76</v>
      </c>
    </row>
    <row r="2728" spans="1:3" x14ac:dyDescent="0.25">
      <c r="A2728">
        <v>38</v>
      </c>
      <c r="B2728" t="str">
        <f>"3:33:17.397688"</f>
        <v>3:33:17.397688</v>
      </c>
      <c r="C2728">
        <v>-63</v>
      </c>
    </row>
    <row r="2729" spans="1:3" x14ac:dyDescent="0.25">
      <c r="A2729">
        <v>39</v>
      </c>
      <c r="B2729" t="str">
        <f>"3:33:17.398385"</f>
        <v>3:33:17.398385</v>
      </c>
      <c r="C2729">
        <v>-61</v>
      </c>
    </row>
    <row r="2730" spans="1:3" x14ac:dyDescent="0.25">
      <c r="A2730">
        <v>37</v>
      </c>
      <c r="B2730" t="str">
        <f>"3:33:18.602514"</f>
        <v>3:33:18.602514</v>
      </c>
      <c r="C2730">
        <v>-77</v>
      </c>
    </row>
    <row r="2731" spans="1:3" x14ac:dyDescent="0.25">
      <c r="A2731">
        <v>38</v>
      </c>
      <c r="B2731" t="str">
        <f>"3:33:18.603211"</f>
        <v>3:33:18.603211</v>
      </c>
      <c r="C2731">
        <v>-63</v>
      </c>
    </row>
    <row r="2732" spans="1:3" x14ac:dyDescent="0.25">
      <c r="A2732">
        <v>39</v>
      </c>
      <c r="B2732" t="str">
        <f>"3:33:18.603908"</f>
        <v>3:33:18.603908</v>
      </c>
      <c r="C2732">
        <v>-61</v>
      </c>
    </row>
    <row r="2733" spans="1:3" x14ac:dyDescent="0.25">
      <c r="A2733">
        <v>37</v>
      </c>
      <c r="B2733" t="str">
        <f>"3:33:19.887853"</f>
        <v>3:33:19.887853</v>
      </c>
      <c r="C2733">
        <v>-75</v>
      </c>
    </row>
    <row r="2734" spans="1:3" x14ac:dyDescent="0.25">
      <c r="A2734">
        <v>38</v>
      </c>
      <c r="B2734" t="str">
        <f>"3:33:19.888550"</f>
        <v>3:33:19.888550</v>
      </c>
      <c r="C2734">
        <v>-63</v>
      </c>
    </row>
    <row r="2735" spans="1:3" x14ac:dyDescent="0.25">
      <c r="A2735">
        <v>39</v>
      </c>
      <c r="B2735" t="str">
        <f>"3:33:19.889247"</f>
        <v>3:33:19.889247</v>
      </c>
      <c r="C2735">
        <v>-61</v>
      </c>
    </row>
    <row r="2736" spans="1:3" x14ac:dyDescent="0.25">
      <c r="A2736">
        <v>37</v>
      </c>
      <c r="B2736" t="str">
        <f>"3:33:21.101841"</f>
        <v>3:33:21.101841</v>
      </c>
      <c r="C2736">
        <v>-77</v>
      </c>
    </row>
    <row r="2737" spans="1:3" x14ac:dyDescent="0.25">
      <c r="A2737">
        <v>38</v>
      </c>
      <c r="B2737" t="str">
        <f>"3:33:21.102538"</f>
        <v>3:33:21.102538</v>
      </c>
      <c r="C2737">
        <v>-63</v>
      </c>
    </row>
    <row r="2738" spans="1:3" x14ac:dyDescent="0.25">
      <c r="A2738">
        <v>39</v>
      </c>
      <c r="B2738" t="str">
        <f>"3:33:21.103235"</f>
        <v>3:33:21.103235</v>
      </c>
      <c r="C2738">
        <v>-61</v>
      </c>
    </row>
    <row r="2739" spans="1:3" x14ac:dyDescent="0.25">
      <c r="A2739">
        <v>38</v>
      </c>
      <c r="B2739" t="str">
        <f>"3:33:22.384075"</f>
        <v>3:33:22.384075</v>
      </c>
      <c r="C2739">
        <v>-63</v>
      </c>
    </row>
    <row r="2740" spans="1:3" x14ac:dyDescent="0.25">
      <c r="A2740">
        <v>39</v>
      </c>
      <c r="B2740" t="str">
        <f>"3:33:22.384772"</f>
        <v>3:33:22.384772</v>
      </c>
      <c r="C2740">
        <v>-61</v>
      </c>
    </row>
    <row r="2741" spans="1:3" x14ac:dyDescent="0.25">
      <c r="A2741">
        <v>37</v>
      </c>
      <c r="B2741" t="str">
        <f>"3:33:23.582845"</f>
        <v>3:33:23.582845</v>
      </c>
      <c r="C2741">
        <v>-76</v>
      </c>
    </row>
    <row r="2742" spans="1:3" x14ac:dyDescent="0.25">
      <c r="A2742">
        <v>38</v>
      </c>
      <c r="B2742" t="str">
        <f>"3:33:23.583542"</f>
        <v>3:33:23.583542</v>
      </c>
      <c r="C2742">
        <v>-63</v>
      </c>
    </row>
    <row r="2743" spans="1:3" x14ac:dyDescent="0.25">
      <c r="A2743">
        <v>39</v>
      </c>
      <c r="B2743" t="str">
        <f>"3:33:23.584239"</f>
        <v>3:33:23.584239</v>
      </c>
      <c r="C2743">
        <v>-61</v>
      </c>
    </row>
    <row r="2744" spans="1:3" x14ac:dyDescent="0.25">
      <c r="A2744">
        <v>37</v>
      </c>
      <c r="B2744" t="str">
        <f>"3:33:24.832272"</f>
        <v>3:33:24.832272</v>
      </c>
      <c r="C2744">
        <v>-76</v>
      </c>
    </row>
    <row r="2745" spans="1:3" x14ac:dyDescent="0.25">
      <c r="A2745">
        <v>39</v>
      </c>
      <c r="B2745" t="str">
        <f>"3:33:24.833666"</f>
        <v>3:33:24.833666</v>
      </c>
      <c r="C2745">
        <v>-61</v>
      </c>
    </row>
    <row r="2746" spans="1:3" x14ac:dyDescent="0.25">
      <c r="A2746">
        <v>38</v>
      </c>
      <c r="B2746" t="str">
        <f>"3:33:26.093359"</f>
        <v>3:33:26.093359</v>
      </c>
      <c r="C2746">
        <v>-63</v>
      </c>
    </row>
    <row r="2747" spans="1:3" x14ac:dyDescent="0.25">
      <c r="A2747">
        <v>37</v>
      </c>
      <c r="B2747" t="str">
        <f>"3:33:27.318649"</f>
        <v>3:33:27.318649</v>
      </c>
      <c r="C2747">
        <v>-76</v>
      </c>
    </row>
    <row r="2748" spans="1:3" x14ac:dyDescent="0.25">
      <c r="A2748">
        <v>38</v>
      </c>
      <c r="B2748" t="str">
        <f>"3:33:27.319346"</f>
        <v>3:33:27.319346</v>
      </c>
      <c r="C2748">
        <v>-63</v>
      </c>
    </row>
    <row r="2749" spans="1:3" x14ac:dyDescent="0.25">
      <c r="A2749">
        <v>39</v>
      </c>
      <c r="B2749" t="str">
        <f>"3:33:27.320043"</f>
        <v>3:33:27.320043</v>
      </c>
      <c r="C2749">
        <v>-61</v>
      </c>
    </row>
    <row r="2750" spans="1:3" x14ac:dyDescent="0.25">
      <c r="A2750">
        <v>37</v>
      </c>
      <c r="B2750" t="str">
        <f>"3:33:28.562025"</f>
        <v>3:33:28.562025</v>
      </c>
      <c r="C2750">
        <v>-76</v>
      </c>
    </row>
    <row r="2751" spans="1:3" x14ac:dyDescent="0.25">
      <c r="A2751">
        <v>38</v>
      </c>
      <c r="B2751" t="str">
        <f>"3:33:28.562722"</f>
        <v>3:33:28.562722</v>
      </c>
      <c r="C2751">
        <v>-63</v>
      </c>
    </row>
    <row r="2752" spans="1:3" x14ac:dyDescent="0.25">
      <c r="A2752">
        <v>39</v>
      </c>
      <c r="B2752" t="str">
        <f>"3:33:28.563419"</f>
        <v>3:33:28.563419</v>
      </c>
      <c r="C2752">
        <v>-61</v>
      </c>
    </row>
    <row r="2753" spans="1:3" x14ac:dyDescent="0.25">
      <c r="A2753">
        <v>39</v>
      </c>
      <c r="B2753" t="str">
        <f>"3:33:28.563921"</f>
        <v>3:33:28.563921</v>
      </c>
      <c r="C2753">
        <v>-67</v>
      </c>
    </row>
    <row r="2754" spans="1:3" x14ac:dyDescent="0.25">
      <c r="A2754">
        <v>39</v>
      </c>
      <c r="B2754" t="str">
        <f>"3:33:28.564247"</f>
        <v>3:33:28.564247</v>
      </c>
      <c r="C2754">
        <v>-61</v>
      </c>
    </row>
    <row r="2755" spans="1:3" x14ac:dyDescent="0.25">
      <c r="A2755">
        <v>37</v>
      </c>
      <c r="B2755" t="str">
        <f>"3:33:29.837036"</f>
        <v>3:33:29.837036</v>
      </c>
      <c r="C2755">
        <v>-76</v>
      </c>
    </row>
    <row r="2756" spans="1:3" x14ac:dyDescent="0.25">
      <c r="A2756">
        <v>38</v>
      </c>
      <c r="B2756" t="str">
        <f>"3:33:29.837733"</f>
        <v>3:33:29.837733</v>
      </c>
      <c r="C2756">
        <v>-63</v>
      </c>
    </row>
    <row r="2757" spans="1:3" x14ac:dyDescent="0.25">
      <c r="A2757">
        <v>39</v>
      </c>
      <c r="B2757" t="str">
        <f>"3:33:29.838430"</f>
        <v>3:33:29.838430</v>
      </c>
      <c r="C2757">
        <v>-61</v>
      </c>
    </row>
    <row r="2758" spans="1:3" x14ac:dyDescent="0.25">
      <c r="A2758">
        <v>39</v>
      </c>
      <c r="B2758" t="str">
        <f>"3:33:31.061946"</f>
        <v>3:33:31.061946</v>
      </c>
      <c r="C2758">
        <v>-61</v>
      </c>
    </row>
    <row r="2759" spans="1:3" x14ac:dyDescent="0.25">
      <c r="A2759">
        <v>37</v>
      </c>
      <c r="B2759" t="str">
        <f>"3:33:33.553464"</f>
        <v>3:33:33.553464</v>
      </c>
      <c r="C2759">
        <v>-76</v>
      </c>
    </row>
    <row r="2760" spans="1:3" x14ac:dyDescent="0.25">
      <c r="A2760">
        <v>38</v>
      </c>
      <c r="B2760" t="str">
        <f>"3:33:33.554161"</f>
        <v>3:33:33.554161</v>
      </c>
      <c r="C2760">
        <v>-63</v>
      </c>
    </row>
    <row r="2761" spans="1:3" x14ac:dyDescent="0.25">
      <c r="A2761">
        <v>39</v>
      </c>
      <c r="B2761" t="str">
        <f>"3:33:33.554858"</f>
        <v>3:33:33.554858</v>
      </c>
      <c r="C2761">
        <v>-61</v>
      </c>
    </row>
    <row r="2762" spans="1:3" x14ac:dyDescent="0.25">
      <c r="A2762">
        <v>37</v>
      </c>
      <c r="B2762" t="str">
        <f>"3:33:34.800040"</f>
        <v>3:33:34.800040</v>
      </c>
      <c r="C2762">
        <v>-76</v>
      </c>
    </row>
    <row r="2763" spans="1:3" x14ac:dyDescent="0.25">
      <c r="A2763">
        <v>38</v>
      </c>
      <c r="B2763" t="str">
        <f>"3:33:34.800737"</f>
        <v>3:33:34.800737</v>
      </c>
      <c r="C2763">
        <v>-63</v>
      </c>
    </row>
    <row r="2764" spans="1:3" x14ac:dyDescent="0.25">
      <c r="A2764">
        <v>38</v>
      </c>
      <c r="B2764" t="str">
        <f>"3:33:34.801240"</f>
        <v>3:33:34.801240</v>
      </c>
      <c r="C2764">
        <v>-62</v>
      </c>
    </row>
    <row r="2765" spans="1:3" x14ac:dyDescent="0.25">
      <c r="A2765">
        <v>38</v>
      </c>
      <c r="B2765" t="str">
        <f>"3:33:34.801565"</f>
        <v>3:33:34.801565</v>
      </c>
      <c r="C2765">
        <v>-63</v>
      </c>
    </row>
    <row r="2766" spans="1:3" x14ac:dyDescent="0.25">
      <c r="A2766">
        <v>39</v>
      </c>
      <c r="B2766" t="str">
        <f>"3:33:34.801836"</f>
        <v>3:33:34.801836</v>
      </c>
      <c r="C2766">
        <v>-62</v>
      </c>
    </row>
    <row r="2767" spans="1:3" x14ac:dyDescent="0.25">
      <c r="A2767">
        <v>38</v>
      </c>
      <c r="B2767" t="str">
        <f>"3:33:36.053480"</f>
        <v>3:33:36.053480</v>
      </c>
      <c r="C2767">
        <v>-63</v>
      </c>
    </row>
    <row r="2768" spans="1:3" x14ac:dyDescent="0.25">
      <c r="A2768">
        <v>39</v>
      </c>
      <c r="B2768" t="str">
        <f>"3:33:36.054178"</f>
        <v>3:33:36.054178</v>
      </c>
      <c r="C2768">
        <v>-62</v>
      </c>
    </row>
    <row r="2769" spans="1:3" x14ac:dyDescent="0.25">
      <c r="A2769">
        <v>37</v>
      </c>
      <c r="B2769" t="str">
        <f>"3:33:37.298117"</f>
        <v>3:33:37.298117</v>
      </c>
      <c r="C2769">
        <v>-75</v>
      </c>
    </row>
    <row r="2770" spans="1:3" x14ac:dyDescent="0.25">
      <c r="A2770">
        <v>38</v>
      </c>
      <c r="B2770" t="str">
        <f>"3:33:37.298814"</f>
        <v>3:33:37.298814</v>
      </c>
      <c r="C2770">
        <v>-63</v>
      </c>
    </row>
    <row r="2771" spans="1:3" x14ac:dyDescent="0.25">
      <c r="A2771">
        <v>39</v>
      </c>
      <c r="B2771" t="str">
        <f>"3:33:37.299511"</f>
        <v>3:33:37.299511</v>
      </c>
      <c r="C2771">
        <v>-61</v>
      </c>
    </row>
    <row r="2772" spans="1:3" x14ac:dyDescent="0.25">
      <c r="A2772">
        <v>38</v>
      </c>
      <c r="B2772" t="str">
        <f>"3:33:38.548132"</f>
        <v>3:33:38.548132</v>
      </c>
      <c r="C2772">
        <v>-63</v>
      </c>
    </row>
    <row r="2773" spans="1:3" x14ac:dyDescent="0.25">
      <c r="A2773">
        <v>39</v>
      </c>
      <c r="B2773" t="str">
        <f>"3:33:38.548829"</f>
        <v>3:33:38.548829</v>
      </c>
      <c r="C2773">
        <v>-61</v>
      </c>
    </row>
    <row r="2774" spans="1:3" x14ac:dyDescent="0.25">
      <c r="A2774">
        <v>38</v>
      </c>
      <c r="B2774" t="str">
        <f>"3:33:41.034641"</f>
        <v>3:33:41.034641</v>
      </c>
      <c r="C2774">
        <v>-63</v>
      </c>
    </row>
    <row r="2775" spans="1:3" x14ac:dyDescent="0.25">
      <c r="A2775">
        <v>39</v>
      </c>
      <c r="B2775" t="str">
        <f>"3:33:41.035338"</f>
        <v>3:33:41.035338</v>
      </c>
      <c r="C2775">
        <v>-61</v>
      </c>
    </row>
    <row r="2776" spans="1:3" x14ac:dyDescent="0.25">
      <c r="A2776">
        <v>37</v>
      </c>
      <c r="B2776" t="str">
        <f>"3:33:42.273921"</f>
        <v>3:33:42.273921</v>
      </c>
      <c r="C2776">
        <v>-76</v>
      </c>
    </row>
    <row r="2777" spans="1:3" x14ac:dyDescent="0.25">
      <c r="A2777">
        <v>38</v>
      </c>
      <c r="B2777" t="str">
        <f>"3:33:42.274618"</f>
        <v>3:33:42.274618</v>
      </c>
      <c r="C2777">
        <v>-63</v>
      </c>
    </row>
    <row r="2778" spans="1:3" x14ac:dyDescent="0.25">
      <c r="A2778">
        <v>39</v>
      </c>
      <c r="B2778" t="str">
        <f>"3:33:42.275315"</f>
        <v>3:33:42.275315</v>
      </c>
      <c r="C2778">
        <v>-61</v>
      </c>
    </row>
    <row r="2779" spans="1:3" x14ac:dyDescent="0.25">
      <c r="A2779">
        <v>37</v>
      </c>
      <c r="B2779" t="str">
        <f>"3:33:43.523447"</f>
        <v>3:33:43.523447</v>
      </c>
      <c r="C2779">
        <v>-77</v>
      </c>
    </row>
    <row r="2780" spans="1:3" x14ac:dyDescent="0.25">
      <c r="A2780">
        <v>38</v>
      </c>
      <c r="B2780" t="str">
        <f>"3:33:43.524144"</f>
        <v>3:33:43.524144</v>
      </c>
      <c r="C2780">
        <v>-63</v>
      </c>
    </row>
    <row r="2781" spans="1:3" x14ac:dyDescent="0.25">
      <c r="A2781">
        <v>39</v>
      </c>
      <c r="B2781" t="str">
        <f>"3:33:43.524841"</f>
        <v>3:33:43.524841</v>
      </c>
      <c r="C2781">
        <v>-61</v>
      </c>
    </row>
    <row r="2782" spans="1:3" x14ac:dyDescent="0.25">
      <c r="A2782">
        <v>37</v>
      </c>
      <c r="B2782" t="str">
        <f>"3:33:44.766813"</f>
        <v>3:33:44.766813</v>
      </c>
      <c r="C2782">
        <v>-75</v>
      </c>
    </row>
    <row r="2783" spans="1:3" x14ac:dyDescent="0.25">
      <c r="A2783">
        <v>38</v>
      </c>
      <c r="B2783" t="str">
        <f>"3:33:44.767510"</f>
        <v>3:33:44.767510</v>
      </c>
      <c r="C2783">
        <v>-63</v>
      </c>
    </row>
    <row r="2784" spans="1:3" x14ac:dyDescent="0.25">
      <c r="A2784">
        <v>39</v>
      </c>
      <c r="B2784" t="str">
        <f>"3:33:44.768207"</f>
        <v>3:33:44.768207</v>
      </c>
      <c r="C2784">
        <v>-61</v>
      </c>
    </row>
    <row r="2785" spans="1:3" x14ac:dyDescent="0.25">
      <c r="A2785">
        <v>37</v>
      </c>
      <c r="B2785" t="str">
        <f>"3:33:46.007740"</f>
        <v>3:33:46.007740</v>
      </c>
      <c r="C2785">
        <v>-76</v>
      </c>
    </row>
    <row r="2786" spans="1:3" x14ac:dyDescent="0.25">
      <c r="A2786">
        <v>38</v>
      </c>
      <c r="B2786" t="str">
        <f>"3:33:46.008437"</f>
        <v>3:33:46.008437</v>
      </c>
      <c r="C2786">
        <v>-63</v>
      </c>
    </row>
    <row r="2787" spans="1:3" x14ac:dyDescent="0.25">
      <c r="A2787">
        <v>39</v>
      </c>
      <c r="B2787" t="str">
        <f>"3:33:46.009134"</f>
        <v>3:33:46.009134</v>
      </c>
      <c r="C2787">
        <v>-61</v>
      </c>
    </row>
    <row r="2788" spans="1:3" x14ac:dyDescent="0.25">
      <c r="A2788">
        <v>37</v>
      </c>
      <c r="B2788" t="str">
        <f>"3:33:47.241716"</f>
        <v>3:33:47.241716</v>
      </c>
      <c r="C2788">
        <v>-75</v>
      </c>
    </row>
    <row r="2789" spans="1:3" x14ac:dyDescent="0.25">
      <c r="A2789">
        <v>38</v>
      </c>
      <c r="B2789" t="str">
        <f>"3:33:47.242413"</f>
        <v>3:33:47.242413</v>
      </c>
      <c r="C2789">
        <v>-63</v>
      </c>
    </row>
    <row r="2790" spans="1:3" x14ac:dyDescent="0.25">
      <c r="A2790">
        <v>39</v>
      </c>
      <c r="B2790" t="str">
        <f>"3:33:47.243110"</f>
        <v>3:33:47.243110</v>
      </c>
      <c r="C2790">
        <v>-61</v>
      </c>
    </row>
    <row r="2791" spans="1:3" x14ac:dyDescent="0.25">
      <c r="A2791">
        <v>37</v>
      </c>
      <c r="B2791" t="str">
        <f>"3:33:48.506471"</f>
        <v>3:33:48.506471</v>
      </c>
      <c r="C2791">
        <v>-75</v>
      </c>
    </row>
    <row r="2792" spans="1:3" x14ac:dyDescent="0.25">
      <c r="A2792">
        <v>38</v>
      </c>
      <c r="B2792" t="str">
        <f>"3:33:48.507168"</f>
        <v>3:33:48.507168</v>
      </c>
      <c r="C2792">
        <v>-63</v>
      </c>
    </row>
    <row r="2793" spans="1:3" x14ac:dyDescent="0.25">
      <c r="A2793">
        <v>39</v>
      </c>
      <c r="B2793" t="str">
        <f>"3:33:48.507865"</f>
        <v>3:33:48.507865</v>
      </c>
      <c r="C2793">
        <v>-61</v>
      </c>
    </row>
    <row r="2794" spans="1:3" x14ac:dyDescent="0.25">
      <c r="A2794">
        <v>37</v>
      </c>
      <c r="B2794" t="str">
        <f>"3:33:49.748694"</f>
        <v>3:33:49.748694</v>
      </c>
      <c r="C2794">
        <v>-75</v>
      </c>
    </row>
    <row r="2795" spans="1:3" x14ac:dyDescent="0.25">
      <c r="A2795">
        <v>38</v>
      </c>
      <c r="B2795" t="str">
        <f>"3:33:49.749391"</f>
        <v>3:33:49.749391</v>
      </c>
      <c r="C2795">
        <v>-63</v>
      </c>
    </row>
    <row r="2796" spans="1:3" x14ac:dyDescent="0.25">
      <c r="A2796">
        <v>39</v>
      </c>
      <c r="B2796" t="str">
        <f>"3:33:49.750088"</f>
        <v>3:33:49.750088</v>
      </c>
      <c r="C2796">
        <v>-61</v>
      </c>
    </row>
    <row r="2797" spans="1:3" x14ac:dyDescent="0.25">
      <c r="A2797">
        <v>37</v>
      </c>
      <c r="B2797" t="str">
        <f>"3:33:50.976543"</f>
        <v>3:33:50.976543</v>
      </c>
      <c r="C2797">
        <v>-76</v>
      </c>
    </row>
    <row r="2798" spans="1:3" x14ac:dyDescent="0.25">
      <c r="A2798">
        <v>38</v>
      </c>
      <c r="B2798" t="str">
        <f>"3:33:50.977240"</f>
        <v>3:33:50.977240</v>
      </c>
      <c r="C2798">
        <v>-63</v>
      </c>
    </row>
    <row r="2799" spans="1:3" x14ac:dyDescent="0.25">
      <c r="A2799">
        <v>39</v>
      </c>
      <c r="B2799" t="str">
        <f>"3:33:50.977937"</f>
        <v>3:33:50.977937</v>
      </c>
      <c r="C2799">
        <v>-61</v>
      </c>
    </row>
    <row r="2800" spans="1:3" x14ac:dyDescent="0.25">
      <c r="A2800">
        <v>38</v>
      </c>
      <c r="B2800" t="str">
        <f>"3:33:52.226467"</f>
        <v>3:33:52.226467</v>
      </c>
      <c r="C2800">
        <v>-63</v>
      </c>
    </row>
    <row r="2801" spans="1:3" x14ac:dyDescent="0.25">
      <c r="A2801">
        <v>39</v>
      </c>
      <c r="B2801" t="str">
        <f>"3:33:52.227164"</f>
        <v>3:33:52.227164</v>
      </c>
      <c r="C2801">
        <v>-61</v>
      </c>
    </row>
    <row r="2802" spans="1:3" x14ac:dyDescent="0.25">
      <c r="A2802">
        <v>37</v>
      </c>
      <c r="B2802" t="str">
        <f>"3:33:53.462596"</f>
        <v>3:33:53.462596</v>
      </c>
      <c r="C2802">
        <v>-76</v>
      </c>
    </row>
    <row r="2803" spans="1:3" x14ac:dyDescent="0.25">
      <c r="A2803">
        <v>38</v>
      </c>
      <c r="B2803" t="str">
        <f>"3:33:53.463293"</f>
        <v>3:33:53.463293</v>
      </c>
      <c r="C2803">
        <v>-63</v>
      </c>
    </row>
    <row r="2804" spans="1:3" x14ac:dyDescent="0.25">
      <c r="A2804">
        <v>39</v>
      </c>
      <c r="B2804" t="str">
        <f>"3:33:53.463990"</f>
        <v>3:33:53.463990</v>
      </c>
      <c r="C2804">
        <v>-61</v>
      </c>
    </row>
    <row r="2805" spans="1:3" x14ac:dyDescent="0.25">
      <c r="A2805">
        <v>37</v>
      </c>
      <c r="B2805" t="str">
        <f>"3:33:54.714998"</f>
        <v>3:33:54.714998</v>
      </c>
      <c r="C2805">
        <v>-76</v>
      </c>
    </row>
    <row r="2806" spans="1:3" x14ac:dyDescent="0.25">
      <c r="A2806">
        <v>38</v>
      </c>
      <c r="B2806" t="str">
        <f>"3:33:54.715695"</f>
        <v>3:33:54.715695</v>
      </c>
      <c r="C2806">
        <v>-63</v>
      </c>
    </row>
    <row r="2807" spans="1:3" x14ac:dyDescent="0.25">
      <c r="A2807">
        <v>39</v>
      </c>
      <c r="B2807" t="str">
        <f>"3:33:54.716392"</f>
        <v>3:33:54.716392</v>
      </c>
      <c r="C2807">
        <v>-61</v>
      </c>
    </row>
    <row r="2808" spans="1:3" x14ac:dyDescent="0.25">
      <c r="A2808">
        <v>38</v>
      </c>
      <c r="B2808" t="str">
        <f>"3:33:55.956536"</f>
        <v>3:33:55.956536</v>
      </c>
      <c r="C2808">
        <v>-65</v>
      </c>
    </row>
    <row r="2809" spans="1:3" x14ac:dyDescent="0.25">
      <c r="A2809">
        <v>39</v>
      </c>
      <c r="B2809" t="str">
        <f>"3:33:55.957233"</f>
        <v>3:33:55.957233</v>
      </c>
      <c r="C2809">
        <v>-61</v>
      </c>
    </row>
    <row r="2810" spans="1:3" x14ac:dyDescent="0.25">
      <c r="A2810">
        <v>37</v>
      </c>
      <c r="B2810" t="str">
        <f>"3:33:57.199923"</f>
        <v>3:33:57.199923</v>
      </c>
      <c r="C2810">
        <v>-75</v>
      </c>
    </row>
    <row r="2811" spans="1:3" x14ac:dyDescent="0.25">
      <c r="A2811">
        <v>38</v>
      </c>
      <c r="B2811" t="str">
        <f>"3:33:57.200620"</f>
        <v>3:33:57.200620</v>
      </c>
      <c r="C2811">
        <v>-63</v>
      </c>
    </row>
    <row r="2812" spans="1:3" x14ac:dyDescent="0.25">
      <c r="A2812">
        <v>39</v>
      </c>
      <c r="B2812" t="str">
        <f>"3:33:57.201317"</f>
        <v>3:33:57.201317</v>
      </c>
      <c r="C2812">
        <v>-61</v>
      </c>
    </row>
    <row r="2813" spans="1:3" x14ac:dyDescent="0.25">
      <c r="A2813">
        <v>37</v>
      </c>
      <c r="B2813" t="str">
        <f>"3:33:58.444549"</f>
        <v>3:33:58.444549</v>
      </c>
      <c r="C2813">
        <v>-76</v>
      </c>
    </row>
    <row r="2814" spans="1:3" x14ac:dyDescent="0.25">
      <c r="A2814">
        <v>38</v>
      </c>
      <c r="B2814" t="str">
        <f>"3:33:58.445246"</f>
        <v>3:33:58.445246</v>
      </c>
      <c r="C2814">
        <v>-63</v>
      </c>
    </row>
    <row r="2815" spans="1:3" x14ac:dyDescent="0.25">
      <c r="A2815">
        <v>39</v>
      </c>
      <c r="B2815" t="str">
        <f>"3:33:58.445943"</f>
        <v>3:33:58.445943</v>
      </c>
      <c r="C2815">
        <v>-61</v>
      </c>
    </row>
    <row r="2816" spans="1:3" x14ac:dyDescent="0.25">
      <c r="A2816">
        <v>37</v>
      </c>
      <c r="B2816" t="str">
        <f>"3:33:59.718841"</f>
        <v>3:33:59.718841</v>
      </c>
      <c r="C2816">
        <v>-75</v>
      </c>
    </row>
    <row r="2817" spans="1:3" x14ac:dyDescent="0.25">
      <c r="A2817">
        <v>38</v>
      </c>
      <c r="B2817" t="str">
        <f>"3:33:59.719538"</f>
        <v>3:33:59.719538</v>
      </c>
      <c r="C2817">
        <v>-63</v>
      </c>
    </row>
    <row r="2818" spans="1:3" x14ac:dyDescent="0.25">
      <c r="A2818">
        <v>39</v>
      </c>
      <c r="B2818" t="str">
        <f>"3:33:59.720235"</f>
        <v>3:33:59.720235</v>
      </c>
      <c r="C2818">
        <v>-61</v>
      </c>
    </row>
    <row r="2819" spans="1:3" x14ac:dyDescent="0.25">
      <c r="A2819">
        <v>39</v>
      </c>
      <c r="B2819" t="str">
        <f>"3:34:02.187148"</f>
        <v>3:34:02.187148</v>
      </c>
      <c r="C2819">
        <v>-61</v>
      </c>
    </row>
    <row r="2820" spans="1:3" x14ac:dyDescent="0.25">
      <c r="A2820">
        <v>37</v>
      </c>
      <c r="B2820" t="str">
        <f>"3:34:03.438853"</f>
        <v>3:34:03.438853</v>
      </c>
      <c r="C2820">
        <v>-75</v>
      </c>
    </row>
    <row r="2821" spans="1:3" x14ac:dyDescent="0.25">
      <c r="A2821">
        <v>38</v>
      </c>
      <c r="B2821" t="str">
        <f>"3:34:03.439550"</f>
        <v>3:34:03.439550</v>
      </c>
      <c r="C2821">
        <v>-63</v>
      </c>
    </row>
    <row r="2822" spans="1:3" x14ac:dyDescent="0.25">
      <c r="A2822">
        <v>39</v>
      </c>
      <c r="B2822" t="str">
        <f>"3:34:03.440247"</f>
        <v>3:34:03.440247</v>
      </c>
      <c r="C2822">
        <v>-61</v>
      </c>
    </row>
    <row r="2823" spans="1:3" x14ac:dyDescent="0.25">
      <c r="A2823">
        <v>37</v>
      </c>
      <c r="B2823" t="str">
        <f>"3:34:04.690224"</f>
        <v>3:34:04.690224</v>
      </c>
      <c r="C2823">
        <v>-76</v>
      </c>
    </row>
    <row r="2824" spans="1:3" x14ac:dyDescent="0.25">
      <c r="A2824">
        <v>38</v>
      </c>
      <c r="B2824" t="str">
        <f>"3:34:04.690921"</f>
        <v>3:34:04.690921</v>
      </c>
      <c r="C2824">
        <v>-63</v>
      </c>
    </row>
    <row r="2825" spans="1:3" x14ac:dyDescent="0.25">
      <c r="A2825">
        <v>39</v>
      </c>
      <c r="B2825" t="str">
        <f>"3:34:04.691618"</f>
        <v>3:34:04.691618</v>
      </c>
      <c r="C2825">
        <v>-61</v>
      </c>
    </row>
    <row r="2826" spans="1:3" x14ac:dyDescent="0.25">
      <c r="A2826">
        <v>38</v>
      </c>
      <c r="B2826" t="str">
        <f>"3:34:05.934590"</f>
        <v>3:34:05.934590</v>
      </c>
      <c r="C2826">
        <v>-64</v>
      </c>
    </row>
    <row r="2827" spans="1:3" x14ac:dyDescent="0.25">
      <c r="A2827">
        <v>39</v>
      </c>
      <c r="B2827" t="str">
        <f>"3:34:05.935287"</f>
        <v>3:34:05.935287</v>
      </c>
      <c r="C2827">
        <v>-62</v>
      </c>
    </row>
    <row r="2828" spans="1:3" x14ac:dyDescent="0.25">
      <c r="A2828">
        <v>37</v>
      </c>
      <c r="B2828" t="str">
        <f>"3:34:07.177430"</f>
        <v>3:34:07.177430</v>
      </c>
      <c r="C2828">
        <v>-76</v>
      </c>
    </row>
    <row r="2829" spans="1:3" x14ac:dyDescent="0.25">
      <c r="A2829">
        <v>38</v>
      </c>
      <c r="B2829" t="str">
        <f>"3:34:07.178127"</f>
        <v>3:34:07.178127</v>
      </c>
      <c r="C2829">
        <v>-63</v>
      </c>
    </row>
    <row r="2830" spans="1:3" x14ac:dyDescent="0.25">
      <c r="A2830">
        <v>39</v>
      </c>
      <c r="B2830" t="str">
        <f>"3:34:07.178824"</f>
        <v>3:34:07.178824</v>
      </c>
      <c r="C2830">
        <v>-61</v>
      </c>
    </row>
    <row r="2831" spans="1:3" x14ac:dyDescent="0.25">
      <c r="A2831">
        <v>38</v>
      </c>
      <c r="B2831" t="str">
        <f>"3:34:08.409403"</f>
        <v>3:34:08.409403</v>
      </c>
      <c r="C2831">
        <v>-64</v>
      </c>
    </row>
    <row r="2832" spans="1:3" x14ac:dyDescent="0.25">
      <c r="A2832">
        <v>39</v>
      </c>
      <c r="B2832" t="str">
        <f>"3:34:08.410100"</f>
        <v>3:34:08.410100</v>
      </c>
      <c r="C2832">
        <v>-60</v>
      </c>
    </row>
    <row r="2833" spans="1:3" x14ac:dyDescent="0.25">
      <c r="A2833">
        <v>38</v>
      </c>
      <c r="B2833" t="str">
        <f>"3:34:09.667488"</f>
        <v>3:34:09.667488</v>
      </c>
      <c r="C2833">
        <v>-63</v>
      </c>
    </row>
    <row r="2834" spans="1:3" x14ac:dyDescent="0.25">
      <c r="A2834">
        <v>39</v>
      </c>
      <c r="B2834" t="str">
        <f>"3:34:09.668185"</f>
        <v>3:34:09.668185</v>
      </c>
      <c r="C2834">
        <v>-61</v>
      </c>
    </row>
    <row r="2835" spans="1:3" x14ac:dyDescent="0.25">
      <c r="A2835">
        <v>37</v>
      </c>
      <c r="B2835" t="str">
        <f>"3:34:10.910283"</f>
        <v>3:34:10.910283</v>
      </c>
      <c r="C2835">
        <v>-77</v>
      </c>
    </row>
    <row r="2836" spans="1:3" x14ac:dyDescent="0.25">
      <c r="A2836">
        <v>38</v>
      </c>
      <c r="B2836" t="str">
        <f>"3:34:10.910980"</f>
        <v>3:34:10.910980</v>
      </c>
      <c r="C2836">
        <v>-63</v>
      </c>
    </row>
    <row r="2837" spans="1:3" x14ac:dyDescent="0.25">
      <c r="A2837">
        <v>39</v>
      </c>
      <c r="B2837" t="str">
        <f>"3:34:10.911677"</f>
        <v>3:34:10.911677</v>
      </c>
      <c r="C2837">
        <v>-61</v>
      </c>
    </row>
    <row r="2838" spans="1:3" x14ac:dyDescent="0.25">
      <c r="A2838">
        <v>37</v>
      </c>
      <c r="B2838" t="str">
        <f>"3:34:12.147237"</f>
        <v>3:34:12.147237</v>
      </c>
      <c r="C2838">
        <v>-77</v>
      </c>
    </row>
    <row r="2839" spans="1:3" x14ac:dyDescent="0.25">
      <c r="A2839">
        <v>38</v>
      </c>
      <c r="B2839" t="str">
        <f>"3:34:12.147934"</f>
        <v>3:34:12.147934</v>
      </c>
      <c r="C2839">
        <v>-63</v>
      </c>
    </row>
    <row r="2840" spans="1:3" x14ac:dyDescent="0.25">
      <c r="A2840">
        <v>39</v>
      </c>
      <c r="B2840" t="str">
        <f>"3:34:12.148631"</f>
        <v>3:34:12.148631</v>
      </c>
      <c r="C2840">
        <v>-61</v>
      </c>
    </row>
    <row r="2841" spans="1:3" x14ac:dyDescent="0.25">
      <c r="A2841">
        <v>37</v>
      </c>
      <c r="B2841" t="str">
        <f>"3:34:13.404121"</f>
        <v>3:34:13.404121</v>
      </c>
      <c r="C2841">
        <v>-76</v>
      </c>
    </row>
    <row r="2842" spans="1:3" x14ac:dyDescent="0.25">
      <c r="A2842">
        <v>38</v>
      </c>
      <c r="B2842" t="str">
        <f>"3:34:13.404818"</f>
        <v>3:34:13.404818</v>
      </c>
      <c r="C2842">
        <v>-63</v>
      </c>
    </row>
    <row r="2843" spans="1:3" x14ac:dyDescent="0.25">
      <c r="A2843">
        <v>39</v>
      </c>
      <c r="B2843" t="str">
        <f>"3:34:13.405515"</f>
        <v>3:34:13.405515</v>
      </c>
      <c r="C2843">
        <v>-61</v>
      </c>
    </row>
    <row r="2844" spans="1:3" x14ac:dyDescent="0.25">
      <c r="A2844">
        <v>37</v>
      </c>
      <c r="B2844" t="str">
        <f>"3:34:14.640414"</f>
        <v>3:34:14.640414</v>
      </c>
      <c r="C2844">
        <v>-76</v>
      </c>
    </row>
    <row r="2845" spans="1:3" x14ac:dyDescent="0.25">
      <c r="A2845">
        <v>38</v>
      </c>
      <c r="B2845" t="str">
        <f>"3:34:14.641111"</f>
        <v>3:34:14.641111</v>
      </c>
      <c r="C2845">
        <v>-63</v>
      </c>
    </row>
    <row r="2846" spans="1:3" x14ac:dyDescent="0.25">
      <c r="A2846">
        <v>39</v>
      </c>
      <c r="B2846" t="str">
        <f>"3:34:14.641808"</f>
        <v>3:34:14.641808</v>
      </c>
      <c r="C2846">
        <v>-61</v>
      </c>
    </row>
    <row r="2847" spans="1:3" x14ac:dyDescent="0.25">
      <c r="A2847">
        <v>37</v>
      </c>
      <c r="B2847" t="str">
        <f>"3:34:15.895823"</f>
        <v>3:34:15.895823</v>
      </c>
      <c r="C2847">
        <v>-76</v>
      </c>
    </row>
    <row r="2848" spans="1:3" x14ac:dyDescent="0.25">
      <c r="A2848">
        <v>38</v>
      </c>
      <c r="B2848" t="str">
        <f>"3:34:15.896520"</f>
        <v>3:34:15.896520</v>
      </c>
      <c r="C2848">
        <v>-63</v>
      </c>
    </row>
    <row r="2849" spans="1:3" x14ac:dyDescent="0.25">
      <c r="A2849">
        <v>39</v>
      </c>
      <c r="B2849" t="str">
        <f>"3:34:15.897217"</f>
        <v>3:34:15.897217</v>
      </c>
      <c r="C2849">
        <v>-61</v>
      </c>
    </row>
    <row r="2850" spans="1:3" x14ac:dyDescent="0.25">
      <c r="A2850">
        <v>37</v>
      </c>
      <c r="B2850" t="str">
        <f>"3:34:17.124283"</f>
        <v>3:34:17.124283</v>
      </c>
      <c r="C2850">
        <v>-76</v>
      </c>
    </row>
    <row r="2851" spans="1:3" x14ac:dyDescent="0.25">
      <c r="A2851">
        <v>38</v>
      </c>
      <c r="B2851" t="str">
        <f>"3:34:17.124980"</f>
        <v>3:34:17.124980</v>
      </c>
      <c r="C2851">
        <v>-63</v>
      </c>
    </row>
    <row r="2852" spans="1:3" x14ac:dyDescent="0.25">
      <c r="A2852">
        <v>39</v>
      </c>
      <c r="B2852" t="str">
        <f>"3:34:17.125677"</f>
        <v>3:34:17.125677</v>
      </c>
      <c r="C2852">
        <v>-61</v>
      </c>
    </row>
    <row r="2853" spans="1:3" x14ac:dyDescent="0.25">
      <c r="A2853">
        <v>38</v>
      </c>
      <c r="B2853" t="str">
        <f>"3:34:18.379801"</f>
        <v>3:34:18.379801</v>
      </c>
      <c r="C2853">
        <v>-64</v>
      </c>
    </row>
    <row r="2854" spans="1:3" x14ac:dyDescent="0.25">
      <c r="A2854">
        <v>39</v>
      </c>
      <c r="B2854" t="str">
        <f>"3:34:18.380498"</f>
        <v>3:34:18.380498</v>
      </c>
      <c r="C2854">
        <v>-61</v>
      </c>
    </row>
    <row r="2855" spans="1:3" x14ac:dyDescent="0.25">
      <c r="A2855">
        <v>37</v>
      </c>
      <c r="B2855" t="str">
        <f>"3:34:19.611741"</f>
        <v>3:34:19.611741</v>
      </c>
      <c r="C2855">
        <v>-76</v>
      </c>
    </row>
    <row r="2856" spans="1:3" x14ac:dyDescent="0.25">
      <c r="A2856">
        <v>38</v>
      </c>
      <c r="B2856" t="str">
        <f>"3:34:19.612438"</f>
        <v>3:34:19.612438</v>
      </c>
      <c r="C2856">
        <v>-63</v>
      </c>
    </row>
    <row r="2857" spans="1:3" x14ac:dyDescent="0.25">
      <c r="A2857">
        <v>39</v>
      </c>
      <c r="B2857" t="str">
        <f>"3:34:19.613135"</f>
        <v>3:34:19.613135</v>
      </c>
      <c r="C2857">
        <v>-61</v>
      </c>
    </row>
    <row r="2858" spans="1:3" x14ac:dyDescent="0.25">
      <c r="A2858">
        <v>38</v>
      </c>
      <c r="B2858" t="str">
        <f>"3:34:20.851412"</f>
        <v>3:34:20.851412</v>
      </c>
      <c r="C2858">
        <v>-63</v>
      </c>
    </row>
    <row r="2859" spans="1:3" x14ac:dyDescent="0.25">
      <c r="A2859">
        <v>39</v>
      </c>
      <c r="B2859" t="str">
        <f>"3:34:20.852109"</f>
        <v>3:34:20.852109</v>
      </c>
      <c r="C2859">
        <v>-61</v>
      </c>
    </row>
    <row r="2860" spans="1:3" x14ac:dyDescent="0.25">
      <c r="A2860">
        <v>37</v>
      </c>
      <c r="B2860" t="str">
        <f>"3:34:22.122755"</f>
        <v>3:34:22.122755</v>
      </c>
      <c r="C2860">
        <v>-76</v>
      </c>
    </row>
    <row r="2861" spans="1:3" x14ac:dyDescent="0.25">
      <c r="A2861">
        <v>38</v>
      </c>
      <c r="B2861" t="str">
        <f>"3:34:22.123452"</f>
        <v>3:34:22.123452</v>
      </c>
      <c r="C2861">
        <v>-63</v>
      </c>
    </row>
    <row r="2862" spans="1:3" x14ac:dyDescent="0.25">
      <c r="A2862">
        <v>39</v>
      </c>
      <c r="B2862" t="str">
        <f>"3:34:22.124149"</f>
        <v>3:34:22.124149</v>
      </c>
      <c r="C2862">
        <v>-61</v>
      </c>
    </row>
    <row r="2863" spans="1:3" x14ac:dyDescent="0.25">
      <c r="A2863">
        <v>37</v>
      </c>
      <c r="B2863" t="str">
        <f>"3:34:23.336946"</f>
        <v>3:34:23.336946</v>
      </c>
      <c r="C2863">
        <v>-76</v>
      </c>
    </row>
    <row r="2864" spans="1:3" x14ac:dyDescent="0.25">
      <c r="A2864">
        <v>38</v>
      </c>
      <c r="B2864" t="str">
        <f>"3:34:23.337643"</f>
        <v>3:34:23.337643</v>
      </c>
      <c r="C2864">
        <v>-63</v>
      </c>
    </row>
    <row r="2865" spans="1:3" x14ac:dyDescent="0.25">
      <c r="A2865">
        <v>39</v>
      </c>
      <c r="B2865" t="str">
        <f>"3:34:23.338340"</f>
        <v>3:34:23.338340</v>
      </c>
      <c r="C2865">
        <v>-61</v>
      </c>
    </row>
    <row r="2866" spans="1:3" x14ac:dyDescent="0.25">
      <c r="A2866">
        <v>37</v>
      </c>
      <c r="B2866" t="str">
        <f>"3:34:24.617339"</f>
        <v>3:34:24.617339</v>
      </c>
      <c r="C2866">
        <v>-76</v>
      </c>
    </row>
    <row r="2867" spans="1:3" x14ac:dyDescent="0.25">
      <c r="A2867">
        <v>38</v>
      </c>
      <c r="B2867" t="str">
        <f>"3:34:24.618036"</f>
        <v>3:34:24.618036</v>
      </c>
      <c r="C2867">
        <v>-63</v>
      </c>
    </row>
    <row r="2868" spans="1:3" x14ac:dyDescent="0.25">
      <c r="A2868">
        <v>39</v>
      </c>
      <c r="B2868" t="str">
        <f>"3:34:24.618733"</f>
        <v>3:34:24.618733</v>
      </c>
      <c r="C2868">
        <v>-61</v>
      </c>
    </row>
    <row r="2869" spans="1:3" x14ac:dyDescent="0.25">
      <c r="A2869">
        <v>37</v>
      </c>
      <c r="B2869" t="str">
        <f>"3:34:28.347416"</f>
        <v>3:34:28.347416</v>
      </c>
      <c r="C2869">
        <v>-76</v>
      </c>
    </row>
    <row r="2870" spans="1:3" x14ac:dyDescent="0.25">
      <c r="A2870">
        <v>38</v>
      </c>
      <c r="B2870" t="str">
        <f>"3:34:28.348113"</f>
        <v>3:34:28.348113</v>
      </c>
      <c r="C2870">
        <v>-63</v>
      </c>
    </row>
    <row r="2871" spans="1:3" x14ac:dyDescent="0.25">
      <c r="A2871">
        <v>39</v>
      </c>
      <c r="B2871" t="str">
        <f>"3:34:28.348810"</f>
        <v>3:34:28.348810</v>
      </c>
      <c r="C2871">
        <v>-61</v>
      </c>
    </row>
    <row r="2872" spans="1:3" x14ac:dyDescent="0.25">
      <c r="A2872">
        <v>37</v>
      </c>
      <c r="B2872" t="str">
        <f>"3:34:29.563646"</f>
        <v>3:34:29.563646</v>
      </c>
      <c r="C2872">
        <v>-75</v>
      </c>
    </row>
    <row r="2873" spans="1:3" x14ac:dyDescent="0.25">
      <c r="A2873">
        <v>38</v>
      </c>
      <c r="B2873" t="str">
        <f>"3:34:29.564343"</f>
        <v>3:34:29.564343</v>
      </c>
      <c r="C2873">
        <v>-63</v>
      </c>
    </row>
    <row r="2874" spans="1:3" x14ac:dyDescent="0.25">
      <c r="A2874">
        <v>39</v>
      </c>
      <c r="B2874" t="str">
        <f>"3:34:29.565040"</f>
        <v>3:34:29.565040</v>
      </c>
      <c r="C2874">
        <v>-62</v>
      </c>
    </row>
    <row r="2875" spans="1:3" x14ac:dyDescent="0.25">
      <c r="A2875">
        <v>37</v>
      </c>
      <c r="B2875" t="str">
        <f>"3:34:30.801687"</f>
        <v>3:34:30.801687</v>
      </c>
      <c r="C2875">
        <v>-76</v>
      </c>
    </row>
    <row r="2876" spans="1:3" x14ac:dyDescent="0.25">
      <c r="A2876">
        <v>38</v>
      </c>
      <c r="B2876" t="str">
        <f>"3:34:30.802384"</f>
        <v>3:34:30.802384</v>
      </c>
      <c r="C2876">
        <v>-63</v>
      </c>
    </row>
    <row r="2877" spans="1:3" x14ac:dyDescent="0.25">
      <c r="A2877">
        <v>39</v>
      </c>
      <c r="B2877" t="str">
        <f>"3:34:30.803081"</f>
        <v>3:34:30.803081</v>
      </c>
      <c r="C2877">
        <v>-61</v>
      </c>
    </row>
    <row r="2878" spans="1:3" x14ac:dyDescent="0.25">
      <c r="A2878">
        <v>37</v>
      </c>
      <c r="B2878" t="str">
        <f>"3:34:32.055206"</f>
        <v>3:34:32.055206</v>
      </c>
      <c r="C2878">
        <v>-76</v>
      </c>
    </row>
    <row r="2879" spans="1:3" x14ac:dyDescent="0.25">
      <c r="A2879">
        <v>38</v>
      </c>
      <c r="B2879" t="str">
        <f>"3:34:32.055902"</f>
        <v>3:34:32.055902</v>
      </c>
      <c r="C2879">
        <v>-63</v>
      </c>
    </row>
    <row r="2880" spans="1:3" x14ac:dyDescent="0.25">
      <c r="A2880">
        <v>39</v>
      </c>
      <c r="B2880" t="str">
        <f>"3:34:32.056599"</f>
        <v>3:34:32.056599</v>
      </c>
      <c r="C2880">
        <v>-61</v>
      </c>
    </row>
    <row r="2881" spans="1:3" x14ac:dyDescent="0.25">
      <c r="A2881">
        <v>37</v>
      </c>
      <c r="B2881" t="str">
        <f>"3:34:33.295373"</f>
        <v>3:34:33.295373</v>
      </c>
      <c r="C2881">
        <v>-75</v>
      </c>
    </row>
    <row r="2882" spans="1:3" x14ac:dyDescent="0.25">
      <c r="A2882">
        <v>38</v>
      </c>
      <c r="B2882" t="str">
        <f>"3:34:33.296070"</f>
        <v>3:34:33.296070</v>
      </c>
      <c r="C2882">
        <v>-63</v>
      </c>
    </row>
    <row r="2883" spans="1:3" x14ac:dyDescent="0.25">
      <c r="A2883">
        <v>39</v>
      </c>
      <c r="B2883" t="str">
        <f>"3:34:33.296767"</f>
        <v>3:34:33.296767</v>
      </c>
      <c r="C2883">
        <v>-61</v>
      </c>
    </row>
    <row r="2884" spans="1:3" x14ac:dyDescent="0.25">
      <c r="A2884">
        <v>37</v>
      </c>
      <c r="B2884" t="str">
        <f>"3:34:34.539450"</f>
        <v>3:34:34.539450</v>
      </c>
      <c r="C2884">
        <v>-76</v>
      </c>
    </row>
    <row r="2885" spans="1:3" x14ac:dyDescent="0.25">
      <c r="A2885">
        <v>38</v>
      </c>
      <c r="B2885" t="str">
        <f>"3:34:34.540147"</f>
        <v>3:34:34.540147</v>
      </c>
      <c r="C2885">
        <v>-63</v>
      </c>
    </row>
    <row r="2886" spans="1:3" x14ac:dyDescent="0.25">
      <c r="A2886">
        <v>39</v>
      </c>
      <c r="B2886" t="str">
        <f>"3:34:34.540844"</f>
        <v>3:34:34.540844</v>
      </c>
      <c r="C2886">
        <v>-61</v>
      </c>
    </row>
    <row r="2887" spans="1:3" x14ac:dyDescent="0.25">
      <c r="A2887">
        <v>37</v>
      </c>
      <c r="B2887" t="str">
        <f>"3:34:35.799145"</f>
        <v>3:34:35.799145</v>
      </c>
      <c r="C2887">
        <v>-76</v>
      </c>
    </row>
    <row r="2888" spans="1:3" x14ac:dyDescent="0.25">
      <c r="A2888">
        <v>38</v>
      </c>
      <c r="B2888" t="str">
        <f>"3:34:35.799842"</f>
        <v>3:34:35.799842</v>
      </c>
      <c r="C2888">
        <v>-63</v>
      </c>
    </row>
    <row r="2889" spans="1:3" x14ac:dyDescent="0.25">
      <c r="A2889">
        <v>39</v>
      </c>
      <c r="B2889" t="str">
        <f>"3:34:35.800539"</f>
        <v>3:34:35.800539</v>
      </c>
      <c r="C2889">
        <v>-61</v>
      </c>
    </row>
    <row r="2890" spans="1:3" x14ac:dyDescent="0.25">
      <c r="A2890">
        <v>39</v>
      </c>
      <c r="B2890" t="str">
        <f>"3:34:37.037071"</f>
        <v>3:34:37.037071</v>
      </c>
      <c r="C2890">
        <v>-61</v>
      </c>
    </row>
    <row r="2891" spans="1:3" x14ac:dyDescent="0.25">
      <c r="A2891">
        <v>37</v>
      </c>
      <c r="B2891" t="str">
        <f>"3:34:38.286223"</f>
        <v>3:34:38.286223</v>
      </c>
      <c r="C2891">
        <v>-75</v>
      </c>
    </row>
    <row r="2892" spans="1:3" x14ac:dyDescent="0.25">
      <c r="A2892">
        <v>38</v>
      </c>
      <c r="B2892" t="str">
        <f>"3:34:38.286920"</f>
        <v>3:34:38.286920</v>
      </c>
      <c r="C2892">
        <v>-63</v>
      </c>
    </row>
    <row r="2893" spans="1:3" x14ac:dyDescent="0.25">
      <c r="A2893">
        <v>39</v>
      </c>
      <c r="B2893" t="str">
        <f>"3:34:38.287617"</f>
        <v>3:34:38.287617</v>
      </c>
      <c r="C2893">
        <v>-61</v>
      </c>
    </row>
    <row r="2894" spans="1:3" x14ac:dyDescent="0.25">
      <c r="A2894">
        <v>37</v>
      </c>
      <c r="B2894" t="str">
        <f>"3:34:39.516603"</f>
        <v>3:34:39.516603</v>
      </c>
      <c r="C2894">
        <v>-76</v>
      </c>
    </row>
    <row r="2895" spans="1:3" x14ac:dyDescent="0.25">
      <c r="A2895">
        <v>38</v>
      </c>
      <c r="B2895" t="str">
        <f>"3:34:39.517300"</f>
        <v>3:34:39.517300</v>
      </c>
      <c r="C2895">
        <v>-63</v>
      </c>
    </row>
    <row r="2896" spans="1:3" x14ac:dyDescent="0.25">
      <c r="A2896">
        <v>39</v>
      </c>
      <c r="B2896" t="str">
        <f>"3:34:39.517997"</f>
        <v>3:34:39.517997</v>
      </c>
      <c r="C2896">
        <v>-61</v>
      </c>
    </row>
    <row r="2897" spans="1:3" x14ac:dyDescent="0.25">
      <c r="A2897">
        <v>38</v>
      </c>
      <c r="B2897" t="str">
        <f>"3:34:40.764023"</f>
        <v>3:34:40.764023</v>
      </c>
      <c r="C2897">
        <v>-63</v>
      </c>
    </row>
    <row r="2898" spans="1:3" x14ac:dyDescent="0.25">
      <c r="A2898">
        <v>39</v>
      </c>
      <c r="B2898" t="str">
        <f>"3:34:40.764720"</f>
        <v>3:34:40.764720</v>
      </c>
      <c r="C2898">
        <v>-62</v>
      </c>
    </row>
    <row r="2899" spans="1:3" x14ac:dyDescent="0.25">
      <c r="A2899">
        <v>37</v>
      </c>
      <c r="B2899" t="str">
        <f>"3:34:42.009469"</f>
        <v>3:34:42.009469</v>
      </c>
      <c r="C2899">
        <v>-75</v>
      </c>
    </row>
    <row r="2900" spans="1:3" x14ac:dyDescent="0.25">
      <c r="A2900">
        <v>38</v>
      </c>
      <c r="B2900" t="str">
        <f>"3:34:42.010166"</f>
        <v>3:34:42.010166</v>
      </c>
      <c r="C2900">
        <v>-63</v>
      </c>
    </row>
    <row r="2901" spans="1:3" x14ac:dyDescent="0.25">
      <c r="A2901">
        <v>39</v>
      </c>
      <c r="B2901" t="str">
        <f>"3:34:42.010863"</f>
        <v>3:34:42.010863</v>
      </c>
      <c r="C2901">
        <v>-61</v>
      </c>
    </row>
    <row r="2902" spans="1:3" x14ac:dyDescent="0.25">
      <c r="A2902">
        <v>37</v>
      </c>
      <c r="B2902" t="str">
        <f>"3:34:43.248430"</f>
        <v>3:34:43.248430</v>
      </c>
      <c r="C2902">
        <v>-75</v>
      </c>
    </row>
    <row r="2903" spans="1:3" x14ac:dyDescent="0.25">
      <c r="A2903">
        <v>38</v>
      </c>
      <c r="B2903" t="str">
        <f>"3:34:43.249127"</f>
        <v>3:34:43.249127</v>
      </c>
      <c r="C2903">
        <v>-63</v>
      </c>
    </row>
    <row r="2904" spans="1:3" x14ac:dyDescent="0.25">
      <c r="A2904">
        <v>39</v>
      </c>
      <c r="B2904" t="str">
        <f>"3:34:43.249824"</f>
        <v>3:34:43.249824</v>
      </c>
      <c r="C2904">
        <v>-61</v>
      </c>
    </row>
    <row r="2905" spans="1:3" x14ac:dyDescent="0.25">
      <c r="A2905">
        <v>37</v>
      </c>
      <c r="B2905" t="str">
        <f>"3:34:44.497207"</f>
        <v>3:34:44.497207</v>
      </c>
      <c r="C2905">
        <v>-76</v>
      </c>
    </row>
    <row r="2906" spans="1:3" x14ac:dyDescent="0.25">
      <c r="A2906">
        <v>38</v>
      </c>
      <c r="B2906" t="str">
        <f>"3:34:44.497903"</f>
        <v>3:34:44.497903</v>
      </c>
      <c r="C2906">
        <v>-63</v>
      </c>
    </row>
    <row r="2907" spans="1:3" x14ac:dyDescent="0.25">
      <c r="A2907">
        <v>39</v>
      </c>
      <c r="B2907" t="str">
        <f>"3:34:44.498601"</f>
        <v>3:34:44.498601</v>
      </c>
      <c r="C2907">
        <v>-61</v>
      </c>
    </row>
    <row r="2908" spans="1:3" x14ac:dyDescent="0.25">
      <c r="A2908">
        <v>37</v>
      </c>
      <c r="B2908" t="str">
        <f>"3:34:45.745559"</f>
        <v>3:34:45.745559</v>
      </c>
      <c r="C2908">
        <v>-75</v>
      </c>
    </row>
    <row r="2909" spans="1:3" x14ac:dyDescent="0.25">
      <c r="A2909">
        <v>38</v>
      </c>
      <c r="B2909" t="str">
        <f>"3:34:45.746256"</f>
        <v>3:34:45.746256</v>
      </c>
      <c r="C2909">
        <v>-63</v>
      </c>
    </row>
    <row r="2910" spans="1:3" x14ac:dyDescent="0.25">
      <c r="A2910">
        <v>39</v>
      </c>
      <c r="B2910" t="str">
        <f>"3:34:45.746953"</f>
        <v>3:34:45.746953</v>
      </c>
      <c r="C2910">
        <v>-61</v>
      </c>
    </row>
    <row r="2911" spans="1:3" x14ac:dyDescent="0.25">
      <c r="A2911">
        <v>37</v>
      </c>
      <c r="B2911" t="str">
        <f>"3:34:47.001683"</f>
        <v>3:34:47.001683</v>
      </c>
      <c r="C2911">
        <v>-77</v>
      </c>
    </row>
    <row r="2912" spans="1:3" x14ac:dyDescent="0.25">
      <c r="A2912">
        <v>38</v>
      </c>
      <c r="B2912" t="str">
        <f>"3:34:47.002380"</f>
        <v>3:34:47.002380</v>
      </c>
      <c r="C2912">
        <v>-63</v>
      </c>
    </row>
    <row r="2913" spans="1:3" x14ac:dyDescent="0.25">
      <c r="A2913">
        <v>39</v>
      </c>
      <c r="B2913" t="str">
        <f>"3:34:47.003077"</f>
        <v>3:34:47.003077</v>
      </c>
      <c r="C2913">
        <v>-61</v>
      </c>
    </row>
    <row r="2914" spans="1:3" x14ac:dyDescent="0.25">
      <c r="A2914">
        <v>37</v>
      </c>
      <c r="B2914" t="str">
        <f>"3:34:49.488088"</f>
        <v>3:34:49.488088</v>
      </c>
      <c r="C2914">
        <v>-75</v>
      </c>
    </row>
    <row r="2915" spans="1:3" x14ac:dyDescent="0.25">
      <c r="A2915">
        <v>38</v>
      </c>
      <c r="B2915" t="str">
        <f>"3:34:49.488785"</f>
        <v>3:34:49.488785</v>
      </c>
      <c r="C2915">
        <v>-63</v>
      </c>
    </row>
    <row r="2916" spans="1:3" x14ac:dyDescent="0.25">
      <c r="A2916">
        <v>39</v>
      </c>
      <c r="B2916" t="str">
        <f>"3:34:49.489482"</f>
        <v>3:34:49.489482</v>
      </c>
      <c r="C2916">
        <v>-61</v>
      </c>
    </row>
    <row r="2917" spans="1:3" x14ac:dyDescent="0.25">
      <c r="A2917">
        <v>38</v>
      </c>
      <c r="B2917" t="str">
        <f>"3:34:50.751947"</f>
        <v>3:34:50.751947</v>
      </c>
      <c r="C2917">
        <v>-63</v>
      </c>
    </row>
    <row r="2918" spans="1:3" x14ac:dyDescent="0.25">
      <c r="A2918">
        <v>39</v>
      </c>
      <c r="B2918" t="str">
        <f>"3:34:50.752644"</f>
        <v>3:34:50.752644</v>
      </c>
      <c r="C2918">
        <v>-61</v>
      </c>
    </row>
    <row r="2919" spans="1:3" x14ac:dyDescent="0.25">
      <c r="A2919">
        <v>37</v>
      </c>
      <c r="B2919" t="str">
        <f>"3:34:51.998545"</f>
        <v>3:34:51.998545</v>
      </c>
      <c r="C2919">
        <v>-76</v>
      </c>
    </row>
    <row r="2920" spans="1:3" x14ac:dyDescent="0.25">
      <c r="A2920">
        <v>38</v>
      </c>
      <c r="B2920" t="str">
        <f>"3:34:51.999242"</f>
        <v>3:34:51.999242</v>
      </c>
      <c r="C2920">
        <v>-63</v>
      </c>
    </row>
    <row r="2921" spans="1:3" x14ac:dyDescent="0.25">
      <c r="A2921">
        <v>39</v>
      </c>
      <c r="B2921" t="str">
        <f>"3:34:51.999939"</f>
        <v>3:34:51.999939</v>
      </c>
      <c r="C2921">
        <v>-61</v>
      </c>
    </row>
    <row r="2922" spans="1:3" x14ac:dyDescent="0.25">
      <c r="A2922">
        <v>37</v>
      </c>
      <c r="B2922" t="str">
        <f>"3:34:53.221037"</f>
        <v>3:34:53.221037</v>
      </c>
      <c r="C2922">
        <v>-75</v>
      </c>
    </row>
    <row r="2923" spans="1:3" x14ac:dyDescent="0.25">
      <c r="A2923">
        <v>38</v>
      </c>
      <c r="B2923" t="str">
        <f>"3:34:53.221733"</f>
        <v>3:34:53.221733</v>
      </c>
      <c r="C2923">
        <v>-63</v>
      </c>
    </row>
    <row r="2924" spans="1:3" x14ac:dyDescent="0.25">
      <c r="A2924">
        <v>39</v>
      </c>
      <c r="B2924" t="str">
        <f>"3:34:53.222431"</f>
        <v>3:34:53.222431</v>
      </c>
      <c r="C2924">
        <v>-61</v>
      </c>
    </row>
    <row r="2925" spans="1:3" x14ac:dyDescent="0.25">
      <c r="A2925">
        <v>37</v>
      </c>
      <c r="B2925" t="str">
        <f>"3:34:54.460863"</f>
        <v>3:34:54.460863</v>
      </c>
      <c r="C2925">
        <v>-75</v>
      </c>
    </row>
    <row r="2926" spans="1:3" x14ac:dyDescent="0.25">
      <c r="A2926">
        <v>38</v>
      </c>
      <c r="B2926" t="str">
        <f>"3:34:54.461560"</f>
        <v>3:34:54.461560</v>
      </c>
      <c r="C2926">
        <v>-63</v>
      </c>
    </row>
    <row r="2927" spans="1:3" x14ac:dyDescent="0.25">
      <c r="A2927">
        <v>39</v>
      </c>
      <c r="B2927" t="str">
        <f>"3:34:54.462257"</f>
        <v>3:34:54.462257</v>
      </c>
      <c r="C2927">
        <v>-61</v>
      </c>
    </row>
    <row r="2928" spans="1:3" x14ac:dyDescent="0.25">
      <c r="A2928">
        <v>37</v>
      </c>
      <c r="B2928" t="str">
        <f>"3:34:55.732203"</f>
        <v>3:34:55.732203</v>
      </c>
      <c r="C2928">
        <v>-75</v>
      </c>
    </row>
    <row r="2929" spans="1:3" x14ac:dyDescent="0.25">
      <c r="A2929">
        <v>38</v>
      </c>
      <c r="B2929" t="str">
        <f>"3:34:55.732900"</f>
        <v>3:34:55.732900</v>
      </c>
      <c r="C2929">
        <v>-63</v>
      </c>
    </row>
    <row r="2930" spans="1:3" x14ac:dyDescent="0.25">
      <c r="A2930">
        <v>39</v>
      </c>
      <c r="B2930" t="str">
        <f>"3:34:55.733597"</f>
        <v>3:34:55.733597</v>
      </c>
      <c r="C2930">
        <v>-61</v>
      </c>
    </row>
    <row r="2931" spans="1:3" x14ac:dyDescent="0.25">
      <c r="A2931">
        <v>37</v>
      </c>
      <c r="B2931" t="str">
        <f>"3:34:56.958423"</f>
        <v>3:34:56.958423</v>
      </c>
      <c r="C2931">
        <v>-76</v>
      </c>
    </row>
    <row r="2932" spans="1:3" x14ac:dyDescent="0.25">
      <c r="A2932">
        <v>38</v>
      </c>
      <c r="B2932" t="str">
        <f>"3:34:56.959120"</f>
        <v>3:34:56.959120</v>
      </c>
      <c r="C2932">
        <v>-63</v>
      </c>
    </row>
    <row r="2933" spans="1:3" x14ac:dyDescent="0.25">
      <c r="A2933">
        <v>39</v>
      </c>
      <c r="B2933" t="str">
        <f>"3:34:56.959817"</f>
        <v>3:34:56.959817</v>
      </c>
      <c r="C2933">
        <v>-61</v>
      </c>
    </row>
    <row r="2934" spans="1:3" x14ac:dyDescent="0.25">
      <c r="A2934">
        <v>38</v>
      </c>
      <c r="B2934" t="str">
        <f>"3:34:58.207416"</f>
        <v>3:34:58.207416</v>
      </c>
      <c r="C2934">
        <v>-63</v>
      </c>
    </row>
    <row r="2935" spans="1:3" x14ac:dyDescent="0.25">
      <c r="A2935">
        <v>37</v>
      </c>
      <c r="B2935" t="str">
        <f>"3:34:59.454223"</f>
        <v>3:34:59.454223</v>
      </c>
      <c r="C2935">
        <v>-74</v>
      </c>
    </row>
    <row r="2936" spans="1:3" x14ac:dyDescent="0.25">
      <c r="A2936">
        <v>38</v>
      </c>
      <c r="B2936" t="str">
        <f>"3:34:59.454920"</f>
        <v>3:34:59.454920</v>
      </c>
      <c r="C2936">
        <v>-63</v>
      </c>
    </row>
    <row r="2937" spans="1:3" x14ac:dyDescent="0.25">
      <c r="A2937">
        <v>39</v>
      </c>
      <c r="B2937" t="str">
        <f>"3:34:59.455617"</f>
        <v>3:34:59.455617</v>
      </c>
      <c r="C2937">
        <v>-61</v>
      </c>
    </row>
    <row r="2938" spans="1:3" x14ac:dyDescent="0.25">
      <c r="A2938">
        <v>37</v>
      </c>
      <c r="B2938" t="str">
        <f>"3:35:00.689814"</f>
        <v>3:35:00.689814</v>
      </c>
      <c r="C2938">
        <v>-75</v>
      </c>
    </row>
    <row r="2939" spans="1:3" x14ac:dyDescent="0.25">
      <c r="A2939">
        <v>38</v>
      </c>
      <c r="B2939" t="str">
        <f>"3:35:00.690511"</f>
        <v>3:35:00.690511</v>
      </c>
      <c r="C2939">
        <v>-63</v>
      </c>
    </row>
    <row r="2940" spans="1:3" x14ac:dyDescent="0.25">
      <c r="A2940">
        <v>39</v>
      </c>
      <c r="B2940" t="str">
        <f>"3:35:00.691208"</f>
        <v>3:35:00.691208</v>
      </c>
      <c r="C2940">
        <v>-61</v>
      </c>
    </row>
    <row r="2941" spans="1:3" x14ac:dyDescent="0.25">
      <c r="A2941">
        <v>37</v>
      </c>
      <c r="B2941" t="str">
        <f>"3:35:01.955087"</f>
        <v>3:35:01.955087</v>
      </c>
      <c r="C2941">
        <v>-75</v>
      </c>
    </row>
    <row r="2942" spans="1:3" x14ac:dyDescent="0.25">
      <c r="A2942">
        <v>38</v>
      </c>
      <c r="B2942" t="str">
        <f>"3:35:01.955784"</f>
        <v>3:35:01.955784</v>
      </c>
      <c r="C2942">
        <v>-63</v>
      </c>
    </row>
    <row r="2943" spans="1:3" x14ac:dyDescent="0.25">
      <c r="A2943">
        <v>39</v>
      </c>
      <c r="B2943" t="str">
        <f>"3:35:01.956481"</f>
        <v>3:35:01.956481</v>
      </c>
      <c r="C2943">
        <v>-61</v>
      </c>
    </row>
    <row r="2944" spans="1:3" x14ac:dyDescent="0.25">
      <c r="A2944">
        <v>37</v>
      </c>
      <c r="B2944" t="str">
        <f>"3:35:03.184210"</f>
        <v>3:35:03.184210</v>
      </c>
      <c r="C2944">
        <v>-76</v>
      </c>
    </row>
    <row r="2945" spans="1:3" x14ac:dyDescent="0.25">
      <c r="A2945">
        <v>38</v>
      </c>
      <c r="B2945" t="str">
        <f>"3:35:03.184907"</f>
        <v>3:35:03.184907</v>
      </c>
      <c r="C2945">
        <v>-63</v>
      </c>
    </row>
    <row r="2946" spans="1:3" x14ac:dyDescent="0.25">
      <c r="A2946">
        <v>39</v>
      </c>
      <c r="B2946" t="str">
        <f>"3:35:03.185604"</f>
        <v>3:35:03.185604</v>
      </c>
      <c r="C2946">
        <v>-61</v>
      </c>
    </row>
    <row r="2947" spans="1:3" x14ac:dyDescent="0.25">
      <c r="A2947">
        <v>39</v>
      </c>
      <c r="B2947" t="str">
        <f>"3:35:03.186106"</f>
        <v>3:35:03.186106</v>
      </c>
      <c r="C2947">
        <v>-67</v>
      </c>
    </row>
    <row r="2948" spans="1:3" x14ac:dyDescent="0.25">
      <c r="A2948">
        <v>37</v>
      </c>
      <c r="B2948" t="str">
        <f>"3:35:04.433536"</f>
        <v>3:35:04.433536</v>
      </c>
      <c r="C2948">
        <v>-75</v>
      </c>
    </row>
    <row r="2949" spans="1:3" x14ac:dyDescent="0.25">
      <c r="A2949">
        <v>38</v>
      </c>
      <c r="B2949" t="str">
        <f>"3:35:04.434233"</f>
        <v>3:35:04.434233</v>
      </c>
      <c r="C2949">
        <v>-63</v>
      </c>
    </row>
    <row r="2950" spans="1:3" x14ac:dyDescent="0.25">
      <c r="A2950">
        <v>39</v>
      </c>
      <c r="B2950" t="str">
        <f>"3:35:04.434930"</f>
        <v>3:35:04.434930</v>
      </c>
      <c r="C2950">
        <v>-61</v>
      </c>
    </row>
    <row r="2951" spans="1:3" x14ac:dyDescent="0.25">
      <c r="A2951">
        <v>37</v>
      </c>
      <c r="B2951" t="str">
        <f>"3:35:06.930813"</f>
        <v>3:35:06.930813</v>
      </c>
      <c r="C2951">
        <v>-75</v>
      </c>
    </row>
    <row r="2952" spans="1:3" x14ac:dyDescent="0.25">
      <c r="A2952">
        <v>38</v>
      </c>
      <c r="B2952" t="str">
        <f>"3:35:06.931509"</f>
        <v>3:35:06.931509</v>
      </c>
      <c r="C2952">
        <v>-63</v>
      </c>
    </row>
    <row r="2953" spans="1:3" x14ac:dyDescent="0.25">
      <c r="A2953">
        <v>39</v>
      </c>
      <c r="B2953" t="str">
        <f>"3:35:06.932207"</f>
        <v>3:35:06.932207</v>
      </c>
      <c r="C2953">
        <v>-61</v>
      </c>
    </row>
    <row r="2954" spans="1:3" x14ac:dyDescent="0.25">
      <c r="A2954">
        <v>38</v>
      </c>
      <c r="B2954" t="str">
        <f>"3:35:08.174836"</f>
        <v>3:35:08.174836</v>
      </c>
      <c r="C2954">
        <v>-63</v>
      </c>
    </row>
    <row r="2955" spans="1:3" x14ac:dyDescent="0.25">
      <c r="A2955">
        <v>39</v>
      </c>
      <c r="B2955" t="str">
        <f>"3:35:08.175533"</f>
        <v>3:35:08.175533</v>
      </c>
      <c r="C2955">
        <v>-61</v>
      </c>
    </row>
    <row r="2956" spans="1:3" x14ac:dyDescent="0.25">
      <c r="A2956">
        <v>37</v>
      </c>
      <c r="B2956" t="str">
        <f>"3:35:09.427943"</f>
        <v>3:35:09.427943</v>
      </c>
      <c r="C2956">
        <v>-75</v>
      </c>
    </row>
    <row r="2957" spans="1:3" x14ac:dyDescent="0.25">
      <c r="A2957">
        <v>38</v>
      </c>
      <c r="B2957" t="str">
        <f>"3:35:09.428640"</f>
        <v>3:35:09.428640</v>
      </c>
      <c r="C2957">
        <v>-63</v>
      </c>
    </row>
    <row r="2958" spans="1:3" x14ac:dyDescent="0.25">
      <c r="A2958">
        <v>39</v>
      </c>
      <c r="B2958" t="str">
        <f>"3:35:09.429337"</f>
        <v>3:35:09.429337</v>
      </c>
      <c r="C2958">
        <v>-61</v>
      </c>
    </row>
    <row r="2959" spans="1:3" x14ac:dyDescent="0.25">
      <c r="A2959">
        <v>37</v>
      </c>
      <c r="B2959" t="str">
        <f>"3:35:10.675841"</f>
        <v>3:35:10.675841</v>
      </c>
      <c r="C2959">
        <v>-75</v>
      </c>
    </row>
    <row r="2960" spans="1:3" x14ac:dyDescent="0.25">
      <c r="A2960">
        <v>38</v>
      </c>
      <c r="B2960" t="str">
        <f>"3:35:10.676538"</f>
        <v>3:35:10.676538</v>
      </c>
      <c r="C2960">
        <v>-63</v>
      </c>
    </row>
    <row r="2961" spans="1:3" x14ac:dyDescent="0.25">
      <c r="A2961">
        <v>39</v>
      </c>
      <c r="B2961" t="str">
        <f>"3:35:10.677235"</f>
        <v>3:35:10.677235</v>
      </c>
      <c r="C2961">
        <v>-62</v>
      </c>
    </row>
    <row r="2962" spans="1:3" x14ac:dyDescent="0.25">
      <c r="A2962">
        <v>39</v>
      </c>
      <c r="B2962" t="str">
        <f>"3:35:11.941279"</f>
        <v>3:35:11.941279</v>
      </c>
      <c r="C2962">
        <v>-61</v>
      </c>
    </row>
    <row r="2963" spans="1:3" x14ac:dyDescent="0.25">
      <c r="A2963">
        <v>37</v>
      </c>
      <c r="B2963" t="str">
        <f>"3:35:13.167519"</f>
        <v>3:35:13.167519</v>
      </c>
      <c r="C2963">
        <v>-75</v>
      </c>
    </row>
    <row r="2964" spans="1:3" x14ac:dyDescent="0.25">
      <c r="A2964">
        <v>38</v>
      </c>
      <c r="B2964" t="str">
        <f>"3:35:13.168216"</f>
        <v>3:35:13.168216</v>
      </c>
      <c r="C2964">
        <v>-63</v>
      </c>
    </row>
    <row r="2965" spans="1:3" x14ac:dyDescent="0.25">
      <c r="A2965">
        <v>39</v>
      </c>
      <c r="B2965" t="str">
        <f>"3:35:13.168913"</f>
        <v>3:35:13.168913</v>
      </c>
      <c r="C2965">
        <v>-61</v>
      </c>
    </row>
    <row r="2966" spans="1:3" x14ac:dyDescent="0.25">
      <c r="A2966">
        <v>37</v>
      </c>
      <c r="B2966" t="str">
        <f>"3:35:14.409846"</f>
        <v>3:35:14.409846</v>
      </c>
      <c r="C2966">
        <v>-75</v>
      </c>
    </row>
    <row r="2967" spans="1:3" x14ac:dyDescent="0.25">
      <c r="A2967">
        <v>38</v>
      </c>
      <c r="B2967" t="str">
        <f>"3:35:14.410543"</f>
        <v>3:35:14.410543</v>
      </c>
      <c r="C2967">
        <v>-63</v>
      </c>
    </row>
    <row r="2968" spans="1:3" x14ac:dyDescent="0.25">
      <c r="A2968">
        <v>39</v>
      </c>
      <c r="B2968" t="str">
        <f>"3:35:14.411240"</f>
        <v>3:35:14.411240</v>
      </c>
      <c r="C2968">
        <v>-61</v>
      </c>
    </row>
    <row r="2969" spans="1:3" x14ac:dyDescent="0.25">
      <c r="A2969">
        <v>37</v>
      </c>
      <c r="B2969" t="str">
        <f>"3:35:15.666546"</f>
        <v>3:35:15.666546</v>
      </c>
      <c r="C2969">
        <v>-75</v>
      </c>
    </row>
    <row r="2970" spans="1:3" x14ac:dyDescent="0.25">
      <c r="A2970">
        <v>37</v>
      </c>
      <c r="B2970" t="str">
        <f>"3:35:15.667049"</f>
        <v>3:35:15.667049</v>
      </c>
      <c r="C2970">
        <v>-79</v>
      </c>
    </row>
    <row r="2971" spans="1:3" x14ac:dyDescent="0.25">
      <c r="A2971">
        <v>38</v>
      </c>
      <c r="B2971" t="str">
        <f>"3:35:15.667375"</f>
        <v>3:35:15.667375</v>
      </c>
      <c r="C2971">
        <v>-63</v>
      </c>
    </row>
    <row r="2972" spans="1:3" x14ac:dyDescent="0.25">
      <c r="A2972">
        <v>39</v>
      </c>
      <c r="B2972" t="str">
        <f>"3:35:15.668072"</f>
        <v>3:35:15.668072</v>
      </c>
      <c r="C2972">
        <v>-61</v>
      </c>
    </row>
    <row r="2973" spans="1:3" x14ac:dyDescent="0.25">
      <c r="A2973">
        <v>37</v>
      </c>
      <c r="B2973" t="str">
        <f>"3:35:16.914073"</f>
        <v>3:35:16.914073</v>
      </c>
      <c r="C2973">
        <v>-75</v>
      </c>
    </row>
    <row r="2974" spans="1:3" x14ac:dyDescent="0.25">
      <c r="A2974">
        <v>38</v>
      </c>
      <c r="B2974" t="str">
        <f>"3:35:16.914770"</f>
        <v>3:35:16.914770</v>
      </c>
      <c r="C2974">
        <v>-63</v>
      </c>
    </row>
    <row r="2975" spans="1:3" x14ac:dyDescent="0.25">
      <c r="A2975">
        <v>39</v>
      </c>
      <c r="B2975" t="str">
        <f>"3:35:16.915467"</f>
        <v>3:35:16.915467</v>
      </c>
      <c r="C2975">
        <v>-62</v>
      </c>
    </row>
    <row r="2976" spans="1:3" x14ac:dyDescent="0.25">
      <c r="A2976">
        <v>37</v>
      </c>
      <c r="B2976" t="str">
        <f>"3:35:18.158249"</f>
        <v>3:35:18.158249</v>
      </c>
      <c r="C2976">
        <v>-75</v>
      </c>
    </row>
    <row r="2977" spans="1:3" x14ac:dyDescent="0.25">
      <c r="A2977">
        <v>38</v>
      </c>
      <c r="B2977" t="str">
        <f>"3:35:18.158946"</f>
        <v>3:35:18.158946</v>
      </c>
      <c r="C2977">
        <v>-63</v>
      </c>
    </row>
    <row r="2978" spans="1:3" x14ac:dyDescent="0.25">
      <c r="A2978">
        <v>39</v>
      </c>
      <c r="B2978" t="str">
        <f>"3:35:18.159643"</f>
        <v>3:35:18.159643</v>
      </c>
      <c r="C2978">
        <v>-61</v>
      </c>
    </row>
    <row r="2979" spans="1:3" x14ac:dyDescent="0.25">
      <c r="A2979">
        <v>37</v>
      </c>
      <c r="B2979" t="str">
        <f>"3:35:19.417386"</f>
        <v>3:35:19.417386</v>
      </c>
      <c r="C2979">
        <v>-75</v>
      </c>
    </row>
    <row r="2980" spans="1:3" x14ac:dyDescent="0.25">
      <c r="A2980">
        <v>38</v>
      </c>
      <c r="B2980" t="str">
        <f>"3:35:19.418083"</f>
        <v>3:35:19.418083</v>
      </c>
      <c r="C2980">
        <v>-63</v>
      </c>
    </row>
    <row r="2981" spans="1:3" x14ac:dyDescent="0.25">
      <c r="A2981">
        <v>39</v>
      </c>
      <c r="B2981" t="str">
        <f>"3:35:19.418780"</f>
        <v>3:35:19.418780</v>
      </c>
      <c r="C2981">
        <v>-62</v>
      </c>
    </row>
    <row r="2982" spans="1:3" x14ac:dyDescent="0.25">
      <c r="A2982">
        <v>37</v>
      </c>
      <c r="B2982" t="str">
        <f>"3:35:20.650325"</f>
        <v>3:35:20.650325</v>
      </c>
      <c r="C2982">
        <v>-75</v>
      </c>
    </row>
    <row r="2983" spans="1:3" x14ac:dyDescent="0.25">
      <c r="A2983">
        <v>38</v>
      </c>
      <c r="B2983" t="str">
        <f>"3:35:20.651022"</f>
        <v>3:35:20.651022</v>
      </c>
      <c r="C2983">
        <v>-63</v>
      </c>
    </row>
    <row r="2984" spans="1:3" x14ac:dyDescent="0.25">
      <c r="A2984">
        <v>39</v>
      </c>
      <c r="B2984" t="str">
        <f>"3:35:20.651719"</f>
        <v>3:35:20.651719</v>
      </c>
      <c r="C2984">
        <v>-62</v>
      </c>
    </row>
    <row r="2985" spans="1:3" x14ac:dyDescent="0.25">
      <c r="A2985">
        <v>37</v>
      </c>
      <c r="B2985" t="str">
        <f>"3:35:23.142580"</f>
        <v>3:35:23.142580</v>
      </c>
      <c r="C2985">
        <v>-75</v>
      </c>
    </row>
    <row r="2986" spans="1:3" x14ac:dyDescent="0.25">
      <c r="A2986">
        <v>38</v>
      </c>
      <c r="B2986" t="str">
        <f>"3:35:23.143277"</f>
        <v>3:35:23.143277</v>
      </c>
      <c r="C2986">
        <v>-63</v>
      </c>
    </row>
    <row r="2987" spans="1:3" x14ac:dyDescent="0.25">
      <c r="A2987">
        <v>39</v>
      </c>
      <c r="B2987" t="str">
        <f>"3:35:23.143974"</f>
        <v>3:35:23.143974</v>
      </c>
      <c r="C2987">
        <v>-61</v>
      </c>
    </row>
    <row r="2988" spans="1:3" x14ac:dyDescent="0.25">
      <c r="A2988">
        <v>37</v>
      </c>
      <c r="B2988" t="str">
        <f>"3:35:24.422685"</f>
        <v>3:35:24.422685</v>
      </c>
      <c r="C2988">
        <v>-75</v>
      </c>
    </row>
    <row r="2989" spans="1:3" x14ac:dyDescent="0.25">
      <c r="A2989">
        <v>38</v>
      </c>
      <c r="B2989" t="str">
        <f>"3:35:24.423382"</f>
        <v>3:35:24.423382</v>
      </c>
      <c r="C2989">
        <v>-63</v>
      </c>
    </row>
    <row r="2990" spans="1:3" x14ac:dyDescent="0.25">
      <c r="A2990">
        <v>39</v>
      </c>
      <c r="B2990" t="str">
        <f>"3:35:24.424079"</f>
        <v>3:35:24.424079</v>
      </c>
      <c r="C2990">
        <v>-61</v>
      </c>
    </row>
    <row r="2991" spans="1:3" x14ac:dyDescent="0.25">
      <c r="A2991">
        <v>37</v>
      </c>
      <c r="B2991" t="str">
        <f>"3:35:25.653474"</f>
        <v>3:35:25.653474</v>
      </c>
      <c r="C2991">
        <v>-75</v>
      </c>
    </row>
    <row r="2992" spans="1:3" x14ac:dyDescent="0.25">
      <c r="A2992">
        <v>38</v>
      </c>
      <c r="B2992" t="str">
        <f>"3:35:25.654171"</f>
        <v>3:35:25.654171</v>
      </c>
      <c r="C2992">
        <v>-63</v>
      </c>
    </row>
    <row r="2993" spans="1:3" x14ac:dyDescent="0.25">
      <c r="A2993">
        <v>39</v>
      </c>
      <c r="B2993" t="str">
        <f>"3:35:25.654868"</f>
        <v>3:35:25.654868</v>
      </c>
      <c r="C2993">
        <v>-61</v>
      </c>
    </row>
    <row r="2994" spans="1:3" x14ac:dyDescent="0.25">
      <c r="A2994">
        <v>37</v>
      </c>
      <c r="B2994" t="str">
        <f>"3:35:26.897451"</f>
        <v>3:35:26.897451</v>
      </c>
      <c r="C2994">
        <v>-75</v>
      </c>
    </row>
    <row r="2995" spans="1:3" x14ac:dyDescent="0.25">
      <c r="A2995">
        <v>38</v>
      </c>
      <c r="B2995" t="str">
        <f>"3:35:26.898148"</f>
        <v>3:35:26.898148</v>
      </c>
      <c r="C2995">
        <v>-63</v>
      </c>
    </row>
    <row r="2996" spans="1:3" x14ac:dyDescent="0.25">
      <c r="A2996">
        <v>39</v>
      </c>
      <c r="B2996" t="str">
        <f>"3:35:26.898846"</f>
        <v>3:35:26.898846</v>
      </c>
      <c r="C2996">
        <v>-61</v>
      </c>
    </row>
    <row r="2997" spans="1:3" x14ac:dyDescent="0.25">
      <c r="A2997">
        <v>37</v>
      </c>
      <c r="B2997" t="str">
        <f>"3:35:28.135157"</f>
        <v>3:35:28.135157</v>
      </c>
      <c r="C2997">
        <v>-75</v>
      </c>
    </row>
    <row r="2998" spans="1:3" x14ac:dyDescent="0.25">
      <c r="A2998">
        <v>38</v>
      </c>
      <c r="B2998" t="str">
        <f>"3:35:28.135854"</f>
        <v>3:35:28.135854</v>
      </c>
      <c r="C2998">
        <v>-63</v>
      </c>
    </row>
    <row r="2999" spans="1:3" x14ac:dyDescent="0.25">
      <c r="A2999">
        <v>39</v>
      </c>
      <c r="B2999" t="str">
        <f>"3:35:28.136551"</f>
        <v>3:35:28.136551</v>
      </c>
      <c r="C2999">
        <v>-61</v>
      </c>
    </row>
    <row r="3000" spans="1:3" x14ac:dyDescent="0.25">
      <c r="A3000">
        <v>37</v>
      </c>
      <c r="B3000" t="str">
        <f>"3:35:29.382528"</f>
        <v>3:35:29.382528</v>
      </c>
      <c r="C3000">
        <v>-75</v>
      </c>
    </row>
    <row r="3001" spans="1:3" x14ac:dyDescent="0.25">
      <c r="A3001">
        <v>38</v>
      </c>
      <c r="B3001" t="str">
        <f>"3:35:29.383225"</f>
        <v>3:35:29.383225</v>
      </c>
      <c r="C3001">
        <v>-63</v>
      </c>
    </row>
    <row r="3002" spans="1:3" x14ac:dyDescent="0.25">
      <c r="A3002">
        <v>39</v>
      </c>
      <c r="B3002" t="str">
        <f>"3:35:29.383922"</f>
        <v>3:35:29.383922</v>
      </c>
      <c r="C3002">
        <v>-62</v>
      </c>
    </row>
    <row r="3003" spans="1:3" x14ac:dyDescent="0.25">
      <c r="A3003">
        <v>37</v>
      </c>
      <c r="B3003" t="str">
        <f>"3:35:30.626583"</f>
        <v>3:35:30.626583</v>
      </c>
      <c r="C3003">
        <v>-74</v>
      </c>
    </row>
    <row r="3004" spans="1:3" x14ac:dyDescent="0.25">
      <c r="A3004">
        <v>38</v>
      </c>
      <c r="B3004" t="str">
        <f>"3:35:30.627280"</f>
        <v>3:35:30.627280</v>
      </c>
      <c r="C3004">
        <v>-64</v>
      </c>
    </row>
    <row r="3005" spans="1:3" x14ac:dyDescent="0.25">
      <c r="A3005">
        <v>39</v>
      </c>
      <c r="B3005" t="str">
        <f>"3:35:30.627977"</f>
        <v>3:35:30.627977</v>
      </c>
      <c r="C3005">
        <v>-62</v>
      </c>
    </row>
    <row r="3006" spans="1:3" x14ac:dyDescent="0.25">
      <c r="A3006">
        <v>37</v>
      </c>
      <c r="B3006" t="str">
        <f>"3:35:31.884177"</f>
        <v>3:35:31.884177</v>
      </c>
      <c r="C3006">
        <v>-75</v>
      </c>
    </row>
    <row r="3007" spans="1:3" x14ac:dyDescent="0.25">
      <c r="A3007">
        <v>38</v>
      </c>
      <c r="B3007" t="str">
        <f>"3:35:31.884874"</f>
        <v>3:35:31.884874</v>
      </c>
      <c r="C3007">
        <v>-63</v>
      </c>
    </row>
    <row r="3008" spans="1:3" x14ac:dyDescent="0.25">
      <c r="A3008">
        <v>39</v>
      </c>
      <c r="B3008" t="str">
        <f>"3:35:31.885571"</f>
        <v>3:35:31.885571</v>
      </c>
      <c r="C3008">
        <v>-62</v>
      </c>
    </row>
    <row r="3009" spans="1:3" x14ac:dyDescent="0.25">
      <c r="A3009">
        <v>37</v>
      </c>
      <c r="B3009" t="str">
        <f>"3:35:33.113510"</f>
        <v>3:35:33.113510</v>
      </c>
      <c r="C3009">
        <v>-75</v>
      </c>
    </row>
    <row r="3010" spans="1:3" x14ac:dyDescent="0.25">
      <c r="A3010">
        <v>38</v>
      </c>
      <c r="B3010" t="str">
        <f>"3:35:33.114207"</f>
        <v>3:35:33.114207</v>
      </c>
      <c r="C3010">
        <v>-63</v>
      </c>
    </row>
    <row r="3011" spans="1:3" x14ac:dyDescent="0.25">
      <c r="A3011">
        <v>39</v>
      </c>
      <c r="B3011" t="str">
        <f>"3:35:33.114904"</f>
        <v>3:35:33.114904</v>
      </c>
      <c r="C3011">
        <v>-61</v>
      </c>
    </row>
    <row r="3012" spans="1:3" x14ac:dyDescent="0.25">
      <c r="A3012">
        <v>37</v>
      </c>
      <c r="B3012" t="str">
        <f>"3:35:34.402947"</f>
        <v>3:35:34.402947</v>
      </c>
      <c r="C3012">
        <v>-75</v>
      </c>
    </row>
    <row r="3013" spans="1:3" x14ac:dyDescent="0.25">
      <c r="A3013">
        <v>38</v>
      </c>
      <c r="B3013" t="str">
        <f>"3:35:34.403644"</f>
        <v>3:35:34.403644</v>
      </c>
      <c r="C3013">
        <v>-63</v>
      </c>
    </row>
    <row r="3014" spans="1:3" x14ac:dyDescent="0.25">
      <c r="A3014">
        <v>39</v>
      </c>
      <c r="B3014" t="str">
        <f>"3:35:34.404341"</f>
        <v>3:35:34.404341</v>
      </c>
      <c r="C3014">
        <v>-61</v>
      </c>
    </row>
    <row r="3015" spans="1:3" x14ac:dyDescent="0.25">
      <c r="A3015">
        <v>37</v>
      </c>
      <c r="B3015" t="str">
        <f>"3:35:35.613825"</f>
        <v>3:35:35.613825</v>
      </c>
      <c r="C3015">
        <v>-74</v>
      </c>
    </row>
    <row r="3016" spans="1:3" x14ac:dyDescent="0.25">
      <c r="A3016">
        <v>38</v>
      </c>
      <c r="B3016" t="str">
        <f>"3:35:35.614522"</f>
        <v>3:35:35.614522</v>
      </c>
      <c r="C3016">
        <v>-63</v>
      </c>
    </row>
    <row r="3017" spans="1:3" x14ac:dyDescent="0.25">
      <c r="A3017">
        <v>39</v>
      </c>
      <c r="B3017" t="str">
        <f>"3:35:35.615219"</f>
        <v>3:35:35.615219</v>
      </c>
      <c r="C3017">
        <v>-61</v>
      </c>
    </row>
    <row r="3018" spans="1:3" x14ac:dyDescent="0.25">
      <c r="A3018">
        <v>37</v>
      </c>
      <c r="B3018" t="str">
        <f>"3:35:36.873466"</f>
        <v>3:35:36.873466</v>
      </c>
      <c r="C3018">
        <v>-75</v>
      </c>
    </row>
    <row r="3019" spans="1:3" x14ac:dyDescent="0.25">
      <c r="A3019">
        <v>38</v>
      </c>
      <c r="B3019" t="str">
        <f>"3:35:36.874163"</f>
        <v>3:35:36.874163</v>
      </c>
      <c r="C3019">
        <v>-63</v>
      </c>
    </row>
    <row r="3020" spans="1:3" x14ac:dyDescent="0.25">
      <c r="A3020">
        <v>39</v>
      </c>
      <c r="B3020" t="str">
        <f>"3:35:36.874860"</f>
        <v>3:35:36.874860</v>
      </c>
      <c r="C3020">
        <v>-61</v>
      </c>
    </row>
    <row r="3021" spans="1:3" x14ac:dyDescent="0.25">
      <c r="A3021">
        <v>37</v>
      </c>
      <c r="B3021" t="str">
        <f>"3:35:38.100210"</f>
        <v>3:35:38.100210</v>
      </c>
      <c r="C3021">
        <v>-74</v>
      </c>
    </row>
    <row r="3022" spans="1:3" x14ac:dyDescent="0.25">
      <c r="A3022">
        <v>38</v>
      </c>
      <c r="B3022" t="str">
        <f>"3:35:38.100906"</f>
        <v>3:35:38.100906</v>
      </c>
      <c r="C3022">
        <v>-63</v>
      </c>
    </row>
    <row r="3023" spans="1:3" x14ac:dyDescent="0.25">
      <c r="A3023">
        <v>39</v>
      </c>
      <c r="B3023" t="str">
        <f>"3:35:38.101603"</f>
        <v>3:35:38.101603</v>
      </c>
      <c r="C3023">
        <v>-61</v>
      </c>
    </row>
    <row r="3024" spans="1:3" x14ac:dyDescent="0.25">
      <c r="A3024">
        <v>38</v>
      </c>
      <c r="B3024" t="str">
        <f>"3:35:39.351973"</f>
        <v>3:35:39.351973</v>
      </c>
      <c r="C3024">
        <v>-63</v>
      </c>
    </row>
    <row r="3025" spans="1:3" x14ac:dyDescent="0.25">
      <c r="A3025">
        <v>39</v>
      </c>
      <c r="B3025" t="str">
        <f>"3:35:39.352670"</f>
        <v>3:35:39.352670</v>
      </c>
      <c r="C3025">
        <v>-61</v>
      </c>
    </row>
    <row r="3026" spans="1:3" x14ac:dyDescent="0.25">
      <c r="A3026">
        <v>37</v>
      </c>
      <c r="B3026" t="str">
        <f>"3:35:40.583886"</f>
        <v>3:35:40.583886</v>
      </c>
      <c r="C3026">
        <v>-75</v>
      </c>
    </row>
    <row r="3027" spans="1:3" x14ac:dyDescent="0.25">
      <c r="A3027">
        <v>38</v>
      </c>
      <c r="B3027" t="str">
        <f>"3:35:40.584583"</f>
        <v>3:35:40.584583</v>
      </c>
      <c r="C3027">
        <v>-63</v>
      </c>
    </row>
    <row r="3028" spans="1:3" x14ac:dyDescent="0.25">
      <c r="A3028">
        <v>39</v>
      </c>
      <c r="B3028" t="str">
        <f>"3:35:40.585280"</f>
        <v>3:35:40.585280</v>
      </c>
      <c r="C3028">
        <v>-61</v>
      </c>
    </row>
    <row r="3029" spans="1:3" x14ac:dyDescent="0.25">
      <c r="A3029">
        <v>39</v>
      </c>
      <c r="B3029" t="str">
        <f>"3:35:40.585783"</f>
        <v>3:35:40.585783</v>
      </c>
      <c r="C3029">
        <v>-67</v>
      </c>
    </row>
    <row r="3030" spans="1:3" x14ac:dyDescent="0.25">
      <c r="A3030">
        <v>38</v>
      </c>
      <c r="B3030" t="str">
        <f>"3:35:41.856448"</f>
        <v>3:35:41.856448</v>
      </c>
      <c r="C3030">
        <v>-63</v>
      </c>
    </row>
    <row r="3031" spans="1:3" x14ac:dyDescent="0.25">
      <c r="A3031">
        <v>39</v>
      </c>
      <c r="B3031" t="str">
        <f>"3:35:41.857145"</f>
        <v>3:35:41.857145</v>
      </c>
      <c r="C3031">
        <v>-63</v>
      </c>
    </row>
    <row r="3032" spans="1:3" x14ac:dyDescent="0.25">
      <c r="A3032">
        <v>37</v>
      </c>
      <c r="B3032" t="str">
        <f>"3:35:43.074962"</f>
        <v>3:35:43.074962</v>
      </c>
      <c r="C3032">
        <v>-74</v>
      </c>
    </row>
    <row r="3033" spans="1:3" x14ac:dyDescent="0.25">
      <c r="A3033">
        <v>38</v>
      </c>
      <c r="B3033" t="str">
        <f>"3:35:43.075659"</f>
        <v>3:35:43.075659</v>
      </c>
      <c r="C3033">
        <v>-63</v>
      </c>
    </row>
    <row r="3034" spans="1:3" x14ac:dyDescent="0.25">
      <c r="A3034">
        <v>39</v>
      </c>
      <c r="B3034" t="str">
        <f>"3:35:43.076356"</f>
        <v>3:35:43.076356</v>
      </c>
      <c r="C3034">
        <v>-61</v>
      </c>
    </row>
    <row r="3035" spans="1:3" x14ac:dyDescent="0.25">
      <c r="A3035">
        <v>37</v>
      </c>
      <c r="B3035" t="str">
        <f>"3:35:44.334318"</f>
        <v>3:35:44.334318</v>
      </c>
      <c r="C3035">
        <v>-74</v>
      </c>
    </row>
    <row r="3036" spans="1:3" x14ac:dyDescent="0.25">
      <c r="A3036">
        <v>38</v>
      </c>
      <c r="B3036" t="str">
        <f>"3:35:44.335014"</f>
        <v>3:35:44.335014</v>
      </c>
      <c r="C3036">
        <v>-63</v>
      </c>
    </row>
    <row r="3037" spans="1:3" x14ac:dyDescent="0.25">
      <c r="A3037">
        <v>39</v>
      </c>
      <c r="B3037" t="str">
        <f>"3:35:44.335712"</f>
        <v>3:35:44.335712</v>
      </c>
      <c r="C3037">
        <v>-61</v>
      </c>
    </row>
    <row r="3038" spans="1:3" x14ac:dyDescent="0.25">
      <c r="A3038">
        <v>37</v>
      </c>
      <c r="B3038" t="str">
        <f>"3:35:45.578115"</f>
        <v>3:35:45.578115</v>
      </c>
      <c r="C3038">
        <v>-74</v>
      </c>
    </row>
    <row r="3039" spans="1:3" x14ac:dyDescent="0.25">
      <c r="A3039">
        <v>38</v>
      </c>
      <c r="B3039" t="str">
        <f>"3:35:45.578812"</f>
        <v>3:35:45.578812</v>
      </c>
      <c r="C3039">
        <v>-63</v>
      </c>
    </row>
    <row r="3040" spans="1:3" x14ac:dyDescent="0.25">
      <c r="A3040">
        <v>39</v>
      </c>
      <c r="B3040" t="str">
        <f>"3:35:45.579509"</f>
        <v>3:35:45.579509</v>
      </c>
      <c r="C3040">
        <v>-61</v>
      </c>
    </row>
    <row r="3041" spans="1:3" x14ac:dyDescent="0.25">
      <c r="A3041">
        <v>37</v>
      </c>
      <c r="B3041" t="str">
        <f>"3:35:46.807991"</f>
        <v>3:35:46.807991</v>
      </c>
      <c r="C3041">
        <v>-75</v>
      </c>
    </row>
    <row r="3042" spans="1:3" x14ac:dyDescent="0.25">
      <c r="A3042">
        <v>38</v>
      </c>
      <c r="B3042" t="str">
        <f>"3:35:46.808688"</f>
        <v>3:35:46.808688</v>
      </c>
      <c r="C3042">
        <v>-63</v>
      </c>
    </row>
    <row r="3043" spans="1:3" x14ac:dyDescent="0.25">
      <c r="A3043">
        <v>39</v>
      </c>
      <c r="B3043" t="str">
        <f>"3:35:46.809385"</f>
        <v>3:35:46.809385</v>
      </c>
      <c r="C3043">
        <v>-61</v>
      </c>
    </row>
    <row r="3044" spans="1:3" x14ac:dyDescent="0.25">
      <c r="A3044">
        <v>37</v>
      </c>
      <c r="B3044" t="str">
        <f>"3:35:48.068265"</f>
        <v>3:35:48.068265</v>
      </c>
      <c r="C3044">
        <v>-75</v>
      </c>
    </row>
    <row r="3045" spans="1:3" x14ac:dyDescent="0.25">
      <c r="A3045">
        <v>38</v>
      </c>
      <c r="B3045" t="str">
        <f>"3:35:48.068962"</f>
        <v>3:35:48.068962</v>
      </c>
      <c r="C3045">
        <v>-63</v>
      </c>
    </row>
    <row r="3046" spans="1:3" x14ac:dyDescent="0.25">
      <c r="A3046">
        <v>39</v>
      </c>
      <c r="B3046" t="str">
        <f>"3:35:48.069659"</f>
        <v>3:35:48.069659</v>
      </c>
      <c r="C3046">
        <v>-61</v>
      </c>
    </row>
    <row r="3047" spans="1:3" x14ac:dyDescent="0.25">
      <c r="A3047">
        <v>38</v>
      </c>
      <c r="B3047" t="str">
        <f>"3:35:49.312049"</f>
        <v>3:35:49.312049</v>
      </c>
      <c r="C3047">
        <v>-63</v>
      </c>
    </row>
    <row r="3048" spans="1:3" x14ac:dyDescent="0.25">
      <c r="A3048">
        <v>39</v>
      </c>
      <c r="B3048" t="str">
        <f>"3:35:49.312746"</f>
        <v>3:35:49.312746</v>
      </c>
      <c r="C3048">
        <v>-61</v>
      </c>
    </row>
    <row r="3049" spans="1:3" x14ac:dyDescent="0.25">
      <c r="A3049">
        <v>37</v>
      </c>
      <c r="B3049" t="str">
        <f>"3:35:50.544040"</f>
        <v>3:35:50.544040</v>
      </c>
      <c r="C3049">
        <v>-75</v>
      </c>
    </row>
    <row r="3050" spans="1:3" x14ac:dyDescent="0.25">
      <c r="A3050">
        <v>38</v>
      </c>
      <c r="B3050" t="str">
        <f>"3:35:50.544736"</f>
        <v>3:35:50.544736</v>
      </c>
      <c r="C3050">
        <v>-63</v>
      </c>
    </row>
    <row r="3051" spans="1:3" x14ac:dyDescent="0.25">
      <c r="A3051">
        <v>39</v>
      </c>
      <c r="B3051" t="str">
        <f>"3:35:50.545434"</f>
        <v>3:35:50.545434</v>
      </c>
      <c r="C3051">
        <v>-61</v>
      </c>
    </row>
    <row r="3052" spans="1:3" x14ac:dyDescent="0.25">
      <c r="A3052">
        <v>37</v>
      </c>
      <c r="B3052" t="str">
        <f>"3:35:53.035966"</f>
        <v>3:35:53.035966</v>
      </c>
      <c r="C3052">
        <v>-74</v>
      </c>
    </row>
    <row r="3053" spans="1:3" x14ac:dyDescent="0.25">
      <c r="A3053">
        <v>38</v>
      </c>
      <c r="B3053" t="str">
        <f>"3:35:53.036663"</f>
        <v>3:35:53.036663</v>
      </c>
      <c r="C3053">
        <v>-63</v>
      </c>
    </row>
    <row r="3054" spans="1:3" x14ac:dyDescent="0.25">
      <c r="A3054">
        <v>39</v>
      </c>
      <c r="B3054" t="str">
        <f>"3:35:53.037360"</f>
        <v>3:35:53.037360</v>
      </c>
      <c r="C3054">
        <v>-61</v>
      </c>
    </row>
    <row r="3055" spans="1:3" x14ac:dyDescent="0.25">
      <c r="A3055">
        <v>37</v>
      </c>
      <c r="B3055" t="str">
        <f>"3:35:54.313939"</f>
        <v>3:35:54.313939</v>
      </c>
      <c r="C3055">
        <v>-73</v>
      </c>
    </row>
    <row r="3056" spans="1:3" x14ac:dyDescent="0.25">
      <c r="A3056">
        <v>38</v>
      </c>
      <c r="B3056" t="str">
        <f>"3:35:54.314636"</f>
        <v>3:35:54.314636</v>
      </c>
      <c r="C3056">
        <v>-63</v>
      </c>
    </row>
    <row r="3057" spans="1:3" x14ac:dyDescent="0.25">
      <c r="A3057">
        <v>39</v>
      </c>
      <c r="B3057" t="str">
        <f>"3:35:54.315333"</f>
        <v>3:35:54.315333</v>
      </c>
      <c r="C3057">
        <v>-61</v>
      </c>
    </row>
    <row r="3058" spans="1:3" x14ac:dyDescent="0.25">
      <c r="A3058">
        <v>37</v>
      </c>
      <c r="B3058" t="str">
        <f>"3:35:55.531742"</f>
        <v>3:35:55.531742</v>
      </c>
      <c r="C3058">
        <v>-75</v>
      </c>
    </row>
    <row r="3059" spans="1:3" x14ac:dyDescent="0.25">
      <c r="A3059">
        <v>38</v>
      </c>
      <c r="B3059" t="str">
        <f>"3:35:55.532439"</f>
        <v>3:35:55.532439</v>
      </c>
      <c r="C3059">
        <v>-63</v>
      </c>
    </row>
    <row r="3060" spans="1:3" x14ac:dyDescent="0.25">
      <c r="A3060">
        <v>39</v>
      </c>
      <c r="B3060" t="str">
        <f>"3:35:55.533136"</f>
        <v>3:35:55.533136</v>
      </c>
      <c r="C3060">
        <v>-61</v>
      </c>
    </row>
    <row r="3061" spans="1:3" x14ac:dyDescent="0.25">
      <c r="A3061">
        <v>37</v>
      </c>
      <c r="B3061" t="str">
        <f>"3:35:56.778472"</f>
        <v>3:35:56.778472</v>
      </c>
      <c r="C3061">
        <v>-75</v>
      </c>
    </row>
    <row r="3062" spans="1:3" x14ac:dyDescent="0.25">
      <c r="A3062">
        <v>38</v>
      </c>
      <c r="B3062" t="str">
        <f>"3:35:56.779168"</f>
        <v>3:35:56.779168</v>
      </c>
      <c r="C3062">
        <v>-64</v>
      </c>
    </row>
    <row r="3063" spans="1:3" x14ac:dyDescent="0.25">
      <c r="A3063">
        <v>39</v>
      </c>
      <c r="B3063" t="str">
        <f>"3:35:56.779865"</f>
        <v>3:35:56.779865</v>
      </c>
      <c r="C3063">
        <v>-61</v>
      </c>
    </row>
    <row r="3064" spans="1:3" x14ac:dyDescent="0.25">
      <c r="A3064">
        <v>37</v>
      </c>
      <c r="B3064" t="str">
        <f>"3:36:00.515864"</f>
        <v>3:36:00.515864</v>
      </c>
      <c r="C3064">
        <v>-74</v>
      </c>
    </row>
    <row r="3065" spans="1:3" x14ac:dyDescent="0.25">
      <c r="A3065">
        <v>38</v>
      </c>
      <c r="B3065" t="str">
        <f>"3:36:00.516561"</f>
        <v>3:36:00.516561</v>
      </c>
      <c r="C3065">
        <v>-63</v>
      </c>
    </row>
    <row r="3066" spans="1:3" x14ac:dyDescent="0.25">
      <c r="A3066">
        <v>39</v>
      </c>
      <c r="B3066" t="str">
        <f>"3:36:00.517258"</f>
        <v>3:36:00.517258</v>
      </c>
      <c r="C3066">
        <v>-61</v>
      </c>
    </row>
    <row r="3067" spans="1:3" x14ac:dyDescent="0.25">
      <c r="A3067">
        <v>37</v>
      </c>
      <c r="B3067" t="str">
        <f>"3:36:01.766015"</f>
        <v>3:36:01.766015</v>
      </c>
      <c r="C3067">
        <v>-75</v>
      </c>
    </row>
    <row r="3068" spans="1:3" x14ac:dyDescent="0.25">
      <c r="A3068">
        <v>38</v>
      </c>
      <c r="B3068" t="str">
        <f>"3:36:01.766712"</f>
        <v>3:36:01.766712</v>
      </c>
      <c r="C3068">
        <v>-63</v>
      </c>
    </row>
    <row r="3069" spans="1:3" x14ac:dyDescent="0.25">
      <c r="A3069">
        <v>39</v>
      </c>
      <c r="B3069" t="str">
        <f>"3:36:01.767409"</f>
        <v>3:36:01.767409</v>
      </c>
      <c r="C3069">
        <v>-61</v>
      </c>
    </row>
    <row r="3070" spans="1:3" x14ac:dyDescent="0.25">
      <c r="A3070">
        <v>37</v>
      </c>
      <c r="B3070" t="str">
        <f>"3:36:03.029949"</f>
        <v>3:36:03.029949</v>
      </c>
      <c r="C3070">
        <v>-75</v>
      </c>
    </row>
    <row r="3071" spans="1:3" x14ac:dyDescent="0.25">
      <c r="A3071">
        <v>38</v>
      </c>
      <c r="B3071" t="str">
        <f>"3:36:03.030646"</f>
        <v>3:36:03.030646</v>
      </c>
      <c r="C3071">
        <v>-63</v>
      </c>
    </row>
    <row r="3072" spans="1:3" x14ac:dyDescent="0.25">
      <c r="A3072">
        <v>39</v>
      </c>
      <c r="B3072" t="str">
        <f>"3:36:03.031343"</f>
        <v>3:36:03.031343</v>
      </c>
      <c r="C3072">
        <v>-61</v>
      </c>
    </row>
    <row r="3073" spans="1:3" x14ac:dyDescent="0.25">
      <c r="A3073">
        <v>37</v>
      </c>
      <c r="B3073" t="str">
        <f>"3:36:04.285722"</f>
        <v>3:36:04.285722</v>
      </c>
      <c r="C3073">
        <v>-75</v>
      </c>
    </row>
    <row r="3074" spans="1:3" x14ac:dyDescent="0.25">
      <c r="A3074">
        <v>38</v>
      </c>
      <c r="B3074" t="str">
        <f>"3:36:04.286419"</f>
        <v>3:36:04.286419</v>
      </c>
      <c r="C3074">
        <v>-63</v>
      </c>
    </row>
    <row r="3075" spans="1:3" x14ac:dyDescent="0.25">
      <c r="A3075">
        <v>39</v>
      </c>
      <c r="B3075" t="str">
        <f>"3:36:04.287116"</f>
        <v>3:36:04.287116</v>
      </c>
      <c r="C3075">
        <v>-61</v>
      </c>
    </row>
    <row r="3076" spans="1:3" x14ac:dyDescent="0.25">
      <c r="A3076">
        <v>37</v>
      </c>
      <c r="B3076" t="str">
        <f>"3:36:06.777522"</f>
        <v>3:36:06.777522</v>
      </c>
      <c r="C3076">
        <v>-75</v>
      </c>
    </row>
    <row r="3077" spans="1:3" x14ac:dyDescent="0.25">
      <c r="A3077">
        <v>38</v>
      </c>
      <c r="B3077" t="str">
        <f>"3:36:06.778219"</f>
        <v>3:36:06.778219</v>
      </c>
      <c r="C3077">
        <v>-63</v>
      </c>
    </row>
    <row r="3078" spans="1:3" x14ac:dyDescent="0.25">
      <c r="A3078">
        <v>39</v>
      </c>
      <c r="B3078" t="str">
        <f>"3:36:06.778916"</f>
        <v>3:36:06.778916</v>
      </c>
      <c r="C3078">
        <v>-61</v>
      </c>
    </row>
    <row r="3079" spans="1:3" x14ac:dyDescent="0.25">
      <c r="A3079">
        <v>37</v>
      </c>
      <c r="B3079" t="str">
        <f>"3:36:07.993891"</f>
        <v>3:36:07.993891</v>
      </c>
      <c r="C3079">
        <v>-74</v>
      </c>
    </row>
    <row r="3080" spans="1:3" x14ac:dyDescent="0.25">
      <c r="A3080">
        <v>38</v>
      </c>
      <c r="B3080" t="str">
        <f>"3:36:07.994588"</f>
        <v>3:36:07.994588</v>
      </c>
      <c r="C3080">
        <v>-63</v>
      </c>
    </row>
    <row r="3081" spans="1:3" x14ac:dyDescent="0.25">
      <c r="A3081">
        <v>39</v>
      </c>
      <c r="B3081" t="str">
        <f>"3:36:07.995285"</f>
        <v>3:36:07.995285</v>
      </c>
      <c r="C3081">
        <v>-61</v>
      </c>
    </row>
    <row r="3082" spans="1:3" x14ac:dyDescent="0.25">
      <c r="A3082">
        <v>38</v>
      </c>
      <c r="B3082" t="str">
        <f>"3:36:09.248818"</f>
        <v>3:36:09.248818</v>
      </c>
      <c r="C3082">
        <v>-63</v>
      </c>
    </row>
    <row r="3083" spans="1:3" x14ac:dyDescent="0.25">
      <c r="A3083">
        <v>39</v>
      </c>
      <c r="B3083" t="str">
        <f>"3:36:09.249515"</f>
        <v>3:36:09.249515</v>
      </c>
      <c r="C3083">
        <v>-61</v>
      </c>
    </row>
    <row r="3084" spans="1:3" x14ac:dyDescent="0.25">
      <c r="A3084">
        <v>38</v>
      </c>
      <c r="B3084" t="str">
        <f>"3:36:10.472364"</f>
        <v>3:36:10.472364</v>
      </c>
      <c r="C3084">
        <v>-63</v>
      </c>
    </row>
    <row r="3085" spans="1:3" x14ac:dyDescent="0.25">
      <c r="A3085">
        <v>39</v>
      </c>
      <c r="B3085" t="str">
        <f>"3:36:10.473061"</f>
        <v>3:36:10.473061</v>
      </c>
      <c r="C3085">
        <v>-61</v>
      </c>
    </row>
    <row r="3086" spans="1:3" x14ac:dyDescent="0.25">
      <c r="A3086">
        <v>37</v>
      </c>
      <c r="B3086" t="str">
        <f>"3:36:11.759319"</f>
        <v>3:36:11.759319</v>
      </c>
      <c r="C3086">
        <v>-75</v>
      </c>
    </row>
    <row r="3087" spans="1:3" x14ac:dyDescent="0.25">
      <c r="A3087">
        <v>38</v>
      </c>
      <c r="B3087" t="str">
        <f>"3:36:11.760016"</f>
        <v>3:36:11.760016</v>
      </c>
      <c r="C3087">
        <v>-63</v>
      </c>
    </row>
    <row r="3088" spans="1:3" x14ac:dyDescent="0.25">
      <c r="A3088">
        <v>39</v>
      </c>
      <c r="B3088" t="str">
        <f>"3:36:11.760713"</f>
        <v>3:36:11.760713</v>
      </c>
      <c r="C3088">
        <v>-61</v>
      </c>
    </row>
    <row r="3089" spans="1:3" x14ac:dyDescent="0.25">
      <c r="A3089">
        <v>37</v>
      </c>
      <c r="B3089" t="str">
        <f>"3:36:12.963244"</f>
        <v>3:36:12.963244</v>
      </c>
      <c r="C3089">
        <v>-74</v>
      </c>
    </row>
    <row r="3090" spans="1:3" x14ac:dyDescent="0.25">
      <c r="A3090">
        <v>38</v>
      </c>
      <c r="B3090" t="str">
        <f>"3:36:12.963941"</f>
        <v>3:36:12.963941</v>
      </c>
      <c r="C3090">
        <v>-63</v>
      </c>
    </row>
    <row r="3091" spans="1:3" x14ac:dyDescent="0.25">
      <c r="A3091">
        <v>39</v>
      </c>
      <c r="B3091" t="str">
        <f>"3:36:12.964638"</f>
        <v>3:36:12.964638</v>
      </c>
      <c r="C3091">
        <v>-61</v>
      </c>
    </row>
    <row r="3092" spans="1:3" x14ac:dyDescent="0.25">
      <c r="A3092">
        <v>37</v>
      </c>
      <c r="B3092" t="str">
        <f>"3:36:14.242116"</f>
        <v>3:36:14.242116</v>
      </c>
      <c r="C3092">
        <v>-75</v>
      </c>
    </row>
    <row r="3093" spans="1:3" x14ac:dyDescent="0.25">
      <c r="A3093">
        <v>38</v>
      </c>
      <c r="B3093" t="str">
        <f>"3:36:14.242813"</f>
        <v>3:36:14.242813</v>
      </c>
      <c r="C3093">
        <v>-63</v>
      </c>
    </row>
    <row r="3094" spans="1:3" x14ac:dyDescent="0.25">
      <c r="A3094">
        <v>39</v>
      </c>
      <c r="B3094" t="str">
        <f>"3:36:14.243510"</f>
        <v>3:36:14.243510</v>
      </c>
      <c r="C3094">
        <v>-61</v>
      </c>
    </row>
    <row r="3095" spans="1:3" x14ac:dyDescent="0.25">
      <c r="A3095">
        <v>37</v>
      </c>
      <c r="B3095" t="str">
        <f>"3:36:15.446098"</f>
        <v>3:36:15.446098</v>
      </c>
      <c r="C3095">
        <v>-75</v>
      </c>
    </row>
    <row r="3096" spans="1:3" x14ac:dyDescent="0.25">
      <c r="A3096">
        <v>38</v>
      </c>
      <c r="B3096" t="str">
        <f>"3:36:15.446795"</f>
        <v>3:36:15.446795</v>
      </c>
      <c r="C3096">
        <v>-63</v>
      </c>
    </row>
    <row r="3097" spans="1:3" x14ac:dyDescent="0.25">
      <c r="A3097">
        <v>39</v>
      </c>
      <c r="B3097" t="str">
        <f>"3:36:15.447492"</f>
        <v>3:36:15.447492</v>
      </c>
      <c r="C3097">
        <v>-61</v>
      </c>
    </row>
    <row r="3098" spans="1:3" x14ac:dyDescent="0.25">
      <c r="A3098">
        <v>37</v>
      </c>
      <c r="B3098" t="str">
        <f>"3:36:16.722158"</f>
        <v>3:36:16.722158</v>
      </c>
      <c r="C3098">
        <v>-75</v>
      </c>
    </row>
    <row r="3099" spans="1:3" x14ac:dyDescent="0.25">
      <c r="A3099">
        <v>38</v>
      </c>
      <c r="B3099" t="str">
        <f>"3:36:16.722855"</f>
        <v>3:36:16.722855</v>
      </c>
      <c r="C3099">
        <v>-63</v>
      </c>
    </row>
    <row r="3100" spans="1:3" x14ac:dyDescent="0.25">
      <c r="A3100">
        <v>39</v>
      </c>
      <c r="B3100" t="str">
        <f>"3:36:16.723552"</f>
        <v>3:36:16.723552</v>
      </c>
      <c r="C3100">
        <v>-61</v>
      </c>
    </row>
    <row r="3101" spans="1:3" x14ac:dyDescent="0.25">
      <c r="A3101">
        <v>37</v>
      </c>
      <c r="B3101" t="str">
        <f>"3:36:17.950638"</f>
        <v>3:36:17.950638</v>
      </c>
      <c r="C3101">
        <v>-75</v>
      </c>
    </row>
    <row r="3102" spans="1:3" x14ac:dyDescent="0.25">
      <c r="A3102">
        <v>39</v>
      </c>
      <c r="B3102" t="str">
        <f>"3:36:17.952032"</f>
        <v>3:36:17.952032</v>
      </c>
      <c r="C3102">
        <v>-61</v>
      </c>
    </row>
    <row r="3103" spans="1:3" x14ac:dyDescent="0.25">
      <c r="A3103">
        <v>37</v>
      </c>
      <c r="B3103" t="str">
        <f>"3:36:20.454769"</f>
        <v>3:36:20.454769</v>
      </c>
      <c r="C3103">
        <v>-74</v>
      </c>
    </row>
    <row r="3104" spans="1:3" x14ac:dyDescent="0.25">
      <c r="A3104">
        <v>38</v>
      </c>
      <c r="B3104" t="str">
        <f>"3:36:20.455466"</f>
        <v>3:36:20.455466</v>
      </c>
      <c r="C3104">
        <v>-63</v>
      </c>
    </row>
    <row r="3105" spans="1:3" x14ac:dyDescent="0.25">
      <c r="A3105">
        <v>39</v>
      </c>
      <c r="B3105" t="str">
        <f>"3:36:20.456163"</f>
        <v>3:36:20.456163</v>
      </c>
      <c r="C3105">
        <v>-61</v>
      </c>
    </row>
    <row r="3106" spans="1:3" x14ac:dyDescent="0.25">
      <c r="A3106">
        <v>38</v>
      </c>
      <c r="B3106" t="str">
        <f>"3:36:21.690324"</f>
        <v>3:36:21.690324</v>
      </c>
      <c r="C3106">
        <v>-63</v>
      </c>
    </row>
    <row r="3107" spans="1:3" x14ac:dyDescent="0.25">
      <c r="A3107">
        <v>39</v>
      </c>
      <c r="B3107" t="str">
        <f>"3:36:21.691021"</f>
        <v>3:36:21.691021</v>
      </c>
      <c r="C3107">
        <v>-61</v>
      </c>
    </row>
    <row r="3108" spans="1:3" x14ac:dyDescent="0.25">
      <c r="A3108">
        <v>38</v>
      </c>
      <c r="B3108" t="str">
        <f>"3:36:22.933872"</f>
        <v>3:36:22.933872</v>
      </c>
      <c r="C3108">
        <v>-63</v>
      </c>
    </row>
    <row r="3109" spans="1:3" x14ac:dyDescent="0.25">
      <c r="A3109">
        <v>39</v>
      </c>
      <c r="B3109" t="str">
        <f>"3:36:22.934569"</f>
        <v>3:36:22.934569</v>
      </c>
      <c r="C3109">
        <v>-61</v>
      </c>
    </row>
    <row r="3110" spans="1:3" x14ac:dyDescent="0.25">
      <c r="A3110">
        <v>37</v>
      </c>
      <c r="B3110" t="str">
        <f>"3:36:24.169312"</f>
        <v>3:36:24.169312</v>
      </c>
      <c r="C3110">
        <v>-75</v>
      </c>
    </row>
    <row r="3111" spans="1:3" x14ac:dyDescent="0.25">
      <c r="A3111">
        <v>38</v>
      </c>
      <c r="B3111" t="str">
        <f>"3:36:24.170009"</f>
        <v>3:36:24.170009</v>
      </c>
      <c r="C3111">
        <v>-63</v>
      </c>
    </row>
    <row r="3112" spans="1:3" x14ac:dyDescent="0.25">
      <c r="A3112">
        <v>39</v>
      </c>
      <c r="B3112" t="str">
        <f>"3:36:24.170706"</f>
        <v>3:36:24.170706</v>
      </c>
      <c r="C3112">
        <v>-61</v>
      </c>
    </row>
    <row r="3113" spans="1:3" x14ac:dyDescent="0.25">
      <c r="A3113">
        <v>37</v>
      </c>
      <c r="B3113" t="str">
        <f>"3:36:25.419627"</f>
        <v>3:36:25.419627</v>
      </c>
      <c r="C3113">
        <v>-75</v>
      </c>
    </row>
    <row r="3114" spans="1:3" x14ac:dyDescent="0.25">
      <c r="A3114">
        <v>38</v>
      </c>
      <c r="B3114" t="str">
        <f>"3:36:25.420324"</f>
        <v>3:36:25.420324</v>
      </c>
      <c r="C3114">
        <v>-63</v>
      </c>
    </row>
    <row r="3115" spans="1:3" x14ac:dyDescent="0.25">
      <c r="A3115">
        <v>39</v>
      </c>
      <c r="B3115" t="str">
        <f>"3:36:25.421021"</f>
        <v>3:36:25.421021</v>
      </c>
      <c r="C3115">
        <v>-61</v>
      </c>
    </row>
    <row r="3116" spans="1:3" x14ac:dyDescent="0.25">
      <c r="A3116">
        <v>37</v>
      </c>
      <c r="B3116" t="str">
        <f>"3:36:26.662253"</f>
        <v>3:36:26.662253</v>
      </c>
      <c r="C3116">
        <v>-74</v>
      </c>
    </row>
    <row r="3117" spans="1:3" x14ac:dyDescent="0.25">
      <c r="A3117">
        <v>38</v>
      </c>
      <c r="B3117" t="str">
        <f>"3:36:26.662950"</f>
        <v>3:36:26.662950</v>
      </c>
      <c r="C3117">
        <v>-63</v>
      </c>
    </row>
    <row r="3118" spans="1:3" x14ac:dyDescent="0.25">
      <c r="A3118">
        <v>39</v>
      </c>
      <c r="B3118" t="str">
        <f>"3:36:26.663647"</f>
        <v>3:36:26.663647</v>
      </c>
      <c r="C3118">
        <v>-61</v>
      </c>
    </row>
    <row r="3119" spans="1:3" x14ac:dyDescent="0.25">
      <c r="A3119">
        <v>39</v>
      </c>
      <c r="B3119" t="str">
        <f>"3:36:27.906141"</f>
        <v>3:36:27.906141</v>
      </c>
      <c r="C3119">
        <v>-59</v>
      </c>
    </row>
    <row r="3120" spans="1:3" x14ac:dyDescent="0.25">
      <c r="A3120">
        <v>37</v>
      </c>
      <c r="B3120" t="str">
        <f>"3:36:29.180135"</f>
        <v>3:36:29.180135</v>
      </c>
      <c r="C3120">
        <v>-74</v>
      </c>
    </row>
    <row r="3121" spans="1:3" x14ac:dyDescent="0.25">
      <c r="A3121">
        <v>38</v>
      </c>
      <c r="B3121" t="str">
        <f>"3:36:29.180832"</f>
        <v>3:36:29.180832</v>
      </c>
      <c r="C3121">
        <v>-63</v>
      </c>
    </row>
    <row r="3122" spans="1:3" x14ac:dyDescent="0.25">
      <c r="A3122">
        <v>39</v>
      </c>
      <c r="B3122" t="str">
        <f>"3:36:29.181529"</f>
        <v>3:36:29.181529</v>
      </c>
      <c r="C3122">
        <v>-61</v>
      </c>
    </row>
    <row r="3123" spans="1:3" x14ac:dyDescent="0.25">
      <c r="A3123">
        <v>37</v>
      </c>
      <c r="B3123" t="str">
        <f>"3:36:30.410403"</f>
        <v>3:36:30.410403</v>
      </c>
      <c r="C3123">
        <v>-75</v>
      </c>
    </row>
    <row r="3124" spans="1:3" x14ac:dyDescent="0.25">
      <c r="A3124">
        <v>38</v>
      </c>
      <c r="B3124" t="str">
        <f>"3:36:30.411100"</f>
        <v>3:36:30.411100</v>
      </c>
      <c r="C3124">
        <v>-63</v>
      </c>
    </row>
    <row r="3125" spans="1:3" x14ac:dyDescent="0.25">
      <c r="A3125">
        <v>39</v>
      </c>
      <c r="B3125" t="str">
        <f>"3:36:30.411797"</f>
        <v>3:36:30.411797</v>
      </c>
      <c r="C3125">
        <v>-61</v>
      </c>
    </row>
    <row r="3126" spans="1:3" x14ac:dyDescent="0.25">
      <c r="A3126">
        <v>37</v>
      </c>
      <c r="B3126" t="str">
        <f>"3:36:31.640105"</f>
        <v>3:36:31.640105</v>
      </c>
      <c r="C3126">
        <v>-74</v>
      </c>
    </row>
    <row r="3127" spans="1:3" x14ac:dyDescent="0.25">
      <c r="A3127">
        <v>38</v>
      </c>
      <c r="B3127" t="str">
        <f>"3:36:31.640802"</f>
        <v>3:36:31.640802</v>
      </c>
      <c r="C3127">
        <v>-63</v>
      </c>
    </row>
    <row r="3128" spans="1:3" x14ac:dyDescent="0.25">
      <c r="A3128">
        <v>37</v>
      </c>
      <c r="B3128" t="str">
        <f>"3:36:32.872735"</f>
        <v>3:36:32.872735</v>
      </c>
      <c r="C3128">
        <v>-74</v>
      </c>
    </row>
    <row r="3129" spans="1:3" x14ac:dyDescent="0.25">
      <c r="A3129">
        <v>38</v>
      </c>
      <c r="B3129" t="str">
        <f>"3:36:32.873432"</f>
        <v>3:36:32.873432</v>
      </c>
      <c r="C3129">
        <v>-63</v>
      </c>
    </row>
    <row r="3130" spans="1:3" x14ac:dyDescent="0.25">
      <c r="A3130">
        <v>39</v>
      </c>
      <c r="B3130" t="str">
        <f>"3:36:32.874129"</f>
        <v>3:36:32.874129</v>
      </c>
      <c r="C3130">
        <v>-61</v>
      </c>
    </row>
    <row r="3131" spans="1:3" x14ac:dyDescent="0.25">
      <c r="A3131">
        <v>37</v>
      </c>
      <c r="B3131" t="str">
        <f>"3:36:34.112430"</f>
        <v>3:36:34.112430</v>
      </c>
      <c r="C3131">
        <v>-72</v>
      </c>
    </row>
    <row r="3132" spans="1:3" x14ac:dyDescent="0.25">
      <c r="A3132">
        <v>38</v>
      </c>
      <c r="B3132" t="str">
        <f>"3:36:34.113127"</f>
        <v>3:36:34.113127</v>
      </c>
      <c r="C3132">
        <v>-62</v>
      </c>
    </row>
    <row r="3133" spans="1:3" x14ac:dyDescent="0.25">
      <c r="A3133">
        <v>39</v>
      </c>
      <c r="B3133" t="str">
        <f>"3:36:34.113824"</f>
        <v>3:36:34.113824</v>
      </c>
      <c r="C3133">
        <v>-61</v>
      </c>
    </row>
    <row r="3134" spans="1:3" x14ac:dyDescent="0.25">
      <c r="A3134">
        <v>37</v>
      </c>
      <c r="B3134" t="str">
        <f>"3:36:35.377985"</f>
        <v>3:36:35.377985</v>
      </c>
      <c r="C3134">
        <v>-74</v>
      </c>
    </row>
    <row r="3135" spans="1:3" x14ac:dyDescent="0.25">
      <c r="A3135">
        <v>38</v>
      </c>
      <c r="B3135" t="str">
        <f>"3:36:35.378682"</f>
        <v>3:36:35.378682</v>
      </c>
      <c r="C3135">
        <v>-63</v>
      </c>
    </row>
    <row r="3136" spans="1:3" x14ac:dyDescent="0.25">
      <c r="A3136">
        <v>39</v>
      </c>
      <c r="B3136" t="str">
        <f>"3:36:35.379379"</f>
        <v>3:36:35.379379</v>
      </c>
      <c r="C3136">
        <v>-61</v>
      </c>
    </row>
    <row r="3137" spans="1:3" x14ac:dyDescent="0.25">
      <c r="A3137">
        <v>37</v>
      </c>
      <c r="B3137" t="str">
        <f>"3:36:36.611056"</f>
        <v>3:36:36.611056</v>
      </c>
      <c r="C3137">
        <v>-74</v>
      </c>
    </row>
    <row r="3138" spans="1:3" x14ac:dyDescent="0.25">
      <c r="A3138">
        <v>38</v>
      </c>
      <c r="B3138" t="str">
        <f>"3:36:36.611752"</f>
        <v>3:36:36.611752</v>
      </c>
      <c r="C3138">
        <v>-63</v>
      </c>
    </row>
    <row r="3139" spans="1:3" x14ac:dyDescent="0.25">
      <c r="A3139">
        <v>39</v>
      </c>
      <c r="B3139" t="str">
        <f>"3:36:36.612450"</f>
        <v>3:36:36.612450</v>
      </c>
      <c r="C3139">
        <v>-61</v>
      </c>
    </row>
    <row r="3140" spans="1:3" x14ac:dyDescent="0.25">
      <c r="A3140">
        <v>37</v>
      </c>
      <c r="B3140" t="str">
        <f>"3:36:37.863700"</f>
        <v>3:36:37.863700</v>
      </c>
      <c r="C3140">
        <v>-75</v>
      </c>
    </row>
    <row r="3141" spans="1:3" x14ac:dyDescent="0.25">
      <c r="A3141">
        <v>38</v>
      </c>
      <c r="B3141" t="str">
        <f>"3:36:37.864397"</f>
        <v>3:36:37.864397</v>
      </c>
      <c r="C3141">
        <v>-63</v>
      </c>
    </row>
    <row r="3142" spans="1:3" x14ac:dyDescent="0.25">
      <c r="A3142">
        <v>39</v>
      </c>
      <c r="B3142" t="str">
        <f>"3:36:37.865094"</f>
        <v>3:36:37.865094</v>
      </c>
      <c r="C3142">
        <v>-61</v>
      </c>
    </row>
    <row r="3143" spans="1:3" x14ac:dyDescent="0.25">
      <c r="A3143">
        <v>38</v>
      </c>
      <c r="B3143" t="str">
        <f>"3:36:39.104804"</f>
        <v>3:36:39.104804</v>
      </c>
      <c r="C3143">
        <v>-63</v>
      </c>
    </row>
    <row r="3144" spans="1:3" x14ac:dyDescent="0.25">
      <c r="A3144">
        <v>39</v>
      </c>
      <c r="B3144" t="str">
        <f>"3:36:39.105501"</f>
        <v>3:36:39.105501</v>
      </c>
      <c r="C3144">
        <v>-61</v>
      </c>
    </row>
    <row r="3145" spans="1:3" x14ac:dyDescent="0.25">
      <c r="A3145">
        <v>37</v>
      </c>
      <c r="B3145" t="str">
        <f>"3:36:40.362354"</f>
        <v>3:36:40.362354</v>
      </c>
      <c r="C3145">
        <v>-74</v>
      </c>
    </row>
    <row r="3146" spans="1:3" x14ac:dyDescent="0.25">
      <c r="A3146">
        <v>38</v>
      </c>
      <c r="B3146" t="str">
        <f>"3:36:40.363051"</f>
        <v>3:36:40.363051</v>
      </c>
      <c r="C3146">
        <v>-64</v>
      </c>
    </row>
    <row r="3147" spans="1:3" x14ac:dyDescent="0.25">
      <c r="A3147">
        <v>39</v>
      </c>
      <c r="B3147" t="str">
        <f>"3:36:40.363748"</f>
        <v>3:36:40.363748</v>
      </c>
      <c r="C3147">
        <v>-61</v>
      </c>
    </row>
    <row r="3148" spans="1:3" x14ac:dyDescent="0.25">
      <c r="A3148">
        <v>37</v>
      </c>
      <c r="B3148" t="str">
        <f>"3:36:41.592283"</f>
        <v>3:36:41.592283</v>
      </c>
      <c r="C3148">
        <v>-74</v>
      </c>
    </row>
    <row r="3149" spans="1:3" x14ac:dyDescent="0.25">
      <c r="A3149">
        <v>38</v>
      </c>
      <c r="B3149" t="str">
        <f>"3:36:41.592980"</f>
        <v>3:36:41.592980</v>
      </c>
      <c r="C3149">
        <v>-63</v>
      </c>
    </row>
    <row r="3150" spans="1:3" x14ac:dyDescent="0.25">
      <c r="A3150">
        <v>39</v>
      </c>
      <c r="B3150" t="str">
        <f>"3:36:41.593677"</f>
        <v>3:36:41.593677</v>
      </c>
      <c r="C3150">
        <v>-61</v>
      </c>
    </row>
    <row r="3151" spans="1:3" x14ac:dyDescent="0.25">
      <c r="A3151">
        <v>37</v>
      </c>
      <c r="B3151" t="str">
        <f>"3:36:44.081059"</f>
        <v>3:36:44.081059</v>
      </c>
      <c r="C3151">
        <v>-74</v>
      </c>
    </row>
    <row r="3152" spans="1:3" x14ac:dyDescent="0.25">
      <c r="A3152">
        <v>38</v>
      </c>
      <c r="B3152" t="str">
        <f>"3:36:44.081756"</f>
        <v>3:36:44.081756</v>
      </c>
      <c r="C3152">
        <v>-63</v>
      </c>
    </row>
    <row r="3153" spans="1:3" x14ac:dyDescent="0.25">
      <c r="A3153">
        <v>39</v>
      </c>
      <c r="B3153" t="str">
        <f>"3:36:44.082453"</f>
        <v>3:36:44.082453</v>
      </c>
      <c r="C3153">
        <v>-61</v>
      </c>
    </row>
    <row r="3154" spans="1:3" x14ac:dyDescent="0.25">
      <c r="A3154">
        <v>39</v>
      </c>
      <c r="B3154" t="str">
        <f>"3:36:45.326413"</f>
        <v>3:36:45.326413</v>
      </c>
      <c r="C3154">
        <v>-61</v>
      </c>
    </row>
    <row r="3155" spans="1:3" x14ac:dyDescent="0.25">
      <c r="A3155">
        <v>37</v>
      </c>
      <c r="B3155" t="str">
        <f>"3:36:46.584802"</f>
        <v>3:36:46.584802</v>
      </c>
      <c r="C3155">
        <v>-74</v>
      </c>
    </row>
    <row r="3156" spans="1:3" x14ac:dyDescent="0.25">
      <c r="A3156">
        <v>38</v>
      </c>
      <c r="B3156" t="str">
        <f>"3:36:46.585498"</f>
        <v>3:36:46.585498</v>
      </c>
      <c r="C3156">
        <v>-63</v>
      </c>
    </row>
    <row r="3157" spans="1:3" x14ac:dyDescent="0.25">
      <c r="A3157">
        <v>39</v>
      </c>
      <c r="B3157" t="str">
        <f>"3:36:46.586196"</f>
        <v>3:36:46.586196</v>
      </c>
      <c r="C3157">
        <v>-61</v>
      </c>
    </row>
    <row r="3158" spans="1:3" x14ac:dyDescent="0.25">
      <c r="A3158">
        <v>38</v>
      </c>
      <c r="B3158" t="str">
        <f>"3:36:47.820633"</f>
        <v>3:36:47.820633</v>
      </c>
      <c r="C3158">
        <v>-61</v>
      </c>
    </row>
    <row r="3159" spans="1:3" x14ac:dyDescent="0.25">
      <c r="A3159">
        <v>39</v>
      </c>
      <c r="B3159" t="str">
        <f>"3:36:47.821330"</f>
        <v>3:36:47.821330</v>
      </c>
      <c r="C3159">
        <v>-61</v>
      </c>
    </row>
    <row r="3160" spans="1:3" x14ac:dyDescent="0.25">
      <c r="A3160">
        <v>37</v>
      </c>
      <c r="B3160" t="str">
        <f>"3:36:49.068712"</f>
        <v>3:36:49.068712</v>
      </c>
      <c r="C3160">
        <v>-75</v>
      </c>
    </row>
    <row r="3161" spans="1:3" x14ac:dyDescent="0.25">
      <c r="A3161">
        <v>38</v>
      </c>
      <c r="B3161" t="str">
        <f>"3:36:49.069409"</f>
        <v>3:36:49.069409</v>
      </c>
      <c r="C3161">
        <v>-63</v>
      </c>
    </row>
    <row r="3162" spans="1:3" x14ac:dyDescent="0.25">
      <c r="A3162">
        <v>39</v>
      </c>
      <c r="B3162" t="str">
        <f>"3:36:49.070106"</f>
        <v>3:36:49.070106</v>
      </c>
      <c r="C3162">
        <v>-61</v>
      </c>
    </row>
    <row r="3163" spans="1:3" x14ac:dyDescent="0.25">
      <c r="A3163">
        <v>37</v>
      </c>
      <c r="B3163" t="str">
        <f>"3:36:50.321088"</f>
        <v>3:36:50.321088</v>
      </c>
      <c r="C3163">
        <v>-74</v>
      </c>
    </row>
    <row r="3164" spans="1:3" x14ac:dyDescent="0.25">
      <c r="A3164">
        <v>38</v>
      </c>
      <c r="B3164" t="str">
        <f>"3:36:50.321785"</f>
        <v>3:36:50.321785</v>
      </c>
      <c r="C3164">
        <v>-63</v>
      </c>
    </row>
    <row r="3165" spans="1:3" x14ac:dyDescent="0.25">
      <c r="A3165">
        <v>39</v>
      </c>
      <c r="B3165" t="str">
        <f>"3:36:50.322482"</f>
        <v>3:36:50.322482</v>
      </c>
      <c r="C3165">
        <v>-61</v>
      </c>
    </row>
    <row r="3166" spans="1:3" x14ac:dyDescent="0.25">
      <c r="A3166">
        <v>38</v>
      </c>
      <c r="B3166" t="str">
        <f>"3:36:51.596544"</f>
        <v>3:36:51.596544</v>
      </c>
      <c r="C3166">
        <v>-63</v>
      </c>
    </row>
    <row r="3167" spans="1:3" x14ac:dyDescent="0.25">
      <c r="A3167">
        <v>39</v>
      </c>
      <c r="B3167" t="str">
        <f>"3:36:51.597241"</f>
        <v>3:36:51.597241</v>
      </c>
      <c r="C3167">
        <v>-61</v>
      </c>
    </row>
    <row r="3168" spans="1:3" x14ac:dyDescent="0.25">
      <c r="A3168">
        <v>37</v>
      </c>
      <c r="B3168" t="str">
        <f>"3:36:52.803837"</f>
        <v>3:36:52.803837</v>
      </c>
      <c r="C3168">
        <v>-74</v>
      </c>
    </row>
    <row r="3169" spans="1:3" x14ac:dyDescent="0.25">
      <c r="A3169">
        <v>38</v>
      </c>
      <c r="B3169" t="str">
        <f>"3:36:52.804534"</f>
        <v>3:36:52.804534</v>
      </c>
      <c r="C3169">
        <v>-63</v>
      </c>
    </row>
    <row r="3170" spans="1:3" x14ac:dyDescent="0.25">
      <c r="A3170">
        <v>39</v>
      </c>
      <c r="B3170" t="str">
        <f>"3:36:52.805231"</f>
        <v>3:36:52.805231</v>
      </c>
      <c r="C3170">
        <v>-61</v>
      </c>
    </row>
    <row r="3171" spans="1:3" x14ac:dyDescent="0.25">
      <c r="A3171">
        <v>37</v>
      </c>
      <c r="B3171" t="str">
        <f>"3:36:54.048042"</f>
        <v>3:36:54.048042</v>
      </c>
      <c r="C3171">
        <v>-74</v>
      </c>
    </row>
    <row r="3172" spans="1:3" x14ac:dyDescent="0.25">
      <c r="A3172">
        <v>38</v>
      </c>
      <c r="B3172" t="str">
        <f>"3:36:54.048739"</f>
        <v>3:36:54.048739</v>
      </c>
      <c r="C3172">
        <v>-63</v>
      </c>
    </row>
    <row r="3173" spans="1:3" x14ac:dyDescent="0.25">
      <c r="A3173">
        <v>39</v>
      </c>
      <c r="B3173" t="str">
        <f>"3:36:54.049436"</f>
        <v>3:36:54.049436</v>
      </c>
      <c r="C3173">
        <v>-61</v>
      </c>
    </row>
    <row r="3174" spans="1:3" x14ac:dyDescent="0.25">
      <c r="A3174">
        <v>37</v>
      </c>
      <c r="B3174" t="str">
        <f>"3:36:55.329046"</f>
        <v>3:36:55.329046</v>
      </c>
      <c r="C3174">
        <v>-74</v>
      </c>
    </row>
    <row r="3175" spans="1:3" x14ac:dyDescent="0.25">
      <c r="A3175">
        <v>38</v>
      </c>
      <c r="B3175" t="str">
        <f>"3:36:55.329743"</f>
        <v>3:36:55.329743</v>
      </c>
      <c r="C3175">
        <v>-63</v>
      </c>
    </row>
    <row r="3176" spans="1:3" x14ac:dyDescent="0.25">
      <c r="A3176">
        <v>39</v>
      </c>
      <c r="B3176" t="str">
        <f>"3:36:55.330440"</f>
        <v>3:36:55.330440</v>
      </c>
      <c r="C3176">
        <v>-61</v>
      </c>
    </row>
    <row r="3177" spans="1:3" x14ac:dyDescent="0.25">
      <c r="A3177">
        <v>37</v>
      </c>
      <c r="B3177" t="str">
        <f>"3:36:56.582936"</f>
        <v>3:36:56.582936</v>
      </c>
      <c r="C3177">
        <v>-74</v>
      </c>
    </row>
    <row r="3178" spans="1:3" x14ac:dyDescent="0.25">
      <c r="A3178">
        <v>38</v>
      </c>
      <c r="B3178" t="str">
        <f>"3:36:56.583633"</f>
        <v>3:36:56.583633</v>
      </c>
      <c r="C3178">
        <v>-63</v>
      </c>
    </row>
    <row r="3179" spans="1:3" x14ac:dyDescent="0.25">
      <c r="A3179">
        <v>39</v>
      </c>
      <c r="B3179" t="str">
        <f>"3:36:56.584330"</f>
        <v>3:36:56.584330</v>
      </c>
      <c r="C3179">
        <v>-61</v>
      </c>
    </row>
    <row r="3180" spans="1:3" x14ac:dyDescent="0.25">
      <c r="A3180">
        <v>37</v>
      </c>
      <c r="B3180" t="str">
        <f>"3:36:59.027141"</f>
        <v>3:36:59.027141</v>
      </c>
      <c r="C3180">
        <v>-74</v>
      </c>
    </row>
    <row r="3181" spans="1:3" x14ac:dyDescent="0.25">
      <c r="A3181">
        <v>38</v>
      </c>
      <c r="B3181" t="str">
        <f>"3:36:59.027838"</f>
        <v>3:36:59.027838</v>
      </c>
      <c r="C3181">
        <v>-63</v>
      </c>
    </row>
    <row r="3182" spans="1:3" x14ac:dyDescent="0.25">
      <c r="A3182">
        <v>39</v>
      </c>
      <c r="B3182" t="str">
        <f>"3:36:59.028535"</f>
        <v>3:36:59.028535</v>
      </c>
      <c r="C3182">
        <v>-61</v>
      </c>
    </row>
    <row r="3183" spans="1:3" x14ac:dyDescent="0.25">
      <c r="A3183">
        <v>37</v>
      </c>
      <c r="B3183" t="str">
        <f>"3:37:00.302135"</f>
        <v>3:37:00.302135</v>
      </c>
      <c r="C3183">
        <v>-74</v>
      </c>
    </row>
    <row r="3184" spans="1:3" x14ac:dyDescent="0.25">
      <c r="A3184">
        <v>38</v>
      </c>
      <c r="B3184" t="str">
        <f>"3:37:00.302832"</f>
        <v>3:37:00.302832</v>
      </c>
      <c r="C3184">
        <v>-63</v>
      </c>
    </row>
    <row r="3185" spans="1:3" x14ac:dyDescent="0.25">
      <c r="A3185">
        <v>39</v>
      </c>
      <c r="B3185" t="str">
        <f>"3:37:00.303529"</f>
        <v>3:37:00.303529</v>
      </c>
      <c r="C3185">
        <v>-61</v>
      </c>
    </row>
    <row r="3186" spans="1:3" x14ac:dyDescent="0.25">
      <c r="A3186">
        <v>37</v>
      </c>
      <c r="B3186" t="str">
        <f>"3:37:01.517324"</f>
        <v>3:37:01.517324</v>
      </c>
      <c r="C3186">
        <v>-74</v>
      </c>
    </row>
    <row r="3187" spans="1:3" x14ac:dyDescent="0.25">
      <c r="A3187">
        <v>38</v>
      </c>
      <c r="B3187" t="str">
        <f>"3:37:01.518021"</f>
        <v>3:37:01.518021</v>
      </c>
      <c r="C3187">
        <v>-62</v>
      </c>
    </row>
    <row r="3188" spans="1:3" x14ac:dyDescent="0.25">
      <c r="A3188">
        <v>39</v>
      </c>
      <c r="B3188" t="str">
        <f>"3:37:01.518718"</f>
        <v>3:37:01.518718</v>
      </c>
      <c r="C3188">
        <v>-61</v>
      </c>
    </row>
    <row r="3189" spans="1:3" x14ac:dyDescent="0.25">
      <c r="A3189">
        <v>37</v>
      </c>
      <c r="B3189" t="str">
        <f>"3:37:02.752167"</f>
        <v>3:37:02.752167</v>
      </c>
      <c r="C3189">
        <v>-75</v>
      </c>
    </row>
    <row r="3190" spans="1:3" x14ac:dyDescent="0.25">
      <c r="A3190">
        <v>38</v>
      </c>
      <c r="B3190" t="str">
        <f>"3:37:02.752864"</f>
        <v>3:37:02.752864</v>
      </c>
      <c r="C3190">
        <v>-63</v>
      </c>
    </row>
    <row r="3191" spans="1:3" x14ac:dyDescent="0.25">
      <c r="A3191">
        <v>39</v>
      </c>
      <c r="B3191" t="str">
        <f>"3:37:02.753561"</f>
        <v>3:37:02.753561</v>
      </c>
      <c r="C3191">
        <v>-61</v>
      </c>
    </row>
    <row r="3192" spans="1:3" x14ac:dyDescent="0.25">
      <c r="A3192">
        <v>37</v>
      </c>
      <c r="B3192" t="str">
        <f>"3:37:04.003443"</f>
        <v>3:37:04.003443</v>
      </c>
      <c r="C3192">
        <v>-74</v>
      </c>
    </row>
    <row r="3193" spans="1:3" x14ac:dyDescent="0.25">
      <c r="A3193">
        <v>38</v>
      </c>
      <c r="B3193" t="str">
        <f>"3:37:04.004140"</f>
        <v>3:37:04.004140</v>
      </c>
      <c r="C3193">
        <v>-63</v>
      </c>
    </row>
    <row r="3194" spans="1:3" x14ac:dyDescent="0.25">
      <c r="A3194">
        <v>39</v>
      </c>
      <c r="B3194" t="str">
        <f>"3:37:04.004837"</f>
        <v>3:37:04.004837</v>
      </c>
      <c r="C3194">
        <v>-61</v>
      </c>
    </row>
    <row r="3195" spans="1:3" x14ac:dyDescent="0.25">
      <c r="A3195">
        <v>37</v>
      </c>
      <c r="B3195" t="str">
        <f>"3:37:06.483200"</f>
        <v>3:37:06.483200</v>
      </c>
      <c r="C3195">
        <v>-75</v>
      </c>
    </row>
    <row r="3196" spans="1:3" x14ac:dyDescent="0.25">
      <c r="A3196">
        <v>38</v>
      </c>
      <c r="B3196" t="str">
        <f>"3:37:06.483897"</f>
        <v>3:37:06.483897</v>
      </c>
      <c r="C3196">
        <v>-63</v>
      </c>
    </row>
    <row r="3197" spans="1:3" x14ac:dyDescent="0.25">
      <c r="A3197">
        <v>39</v>
      </c>
      <c r="B3197" t="str">
        <f>"3:37:06.484594"</f>
        <v>3:37:06.484594</v>
      </c>
      <c r="C3197">
        <v>-61</v>
      </c>
    </row>
    <row r="3198" spans="1:3" x14ac:dyDescent="0.25">
      <c r="A3198">
        <v>38</v>
      </c>
      <c r="B3198" t="str">
        <f>"3:37:07.721116"</f>
        <v>3:37:07.721116</v>
      </c>
      <c r="C3198">
        <v>-63</v>
      </c>
    </row>
    <row r="3199" spans="1:3" x14ac:dyDescent="0.25">
      <c r="A3199">
        <v>37</v>
      </c>
      <c r="B3199" t="str">
        <f>"3:37:08.970867"</f>
        <v>3:37:08.970867</v>
      </c>
      <c r="C3199">
        <v>-75</v>
      </c>
    </row>
    <row r="3200" spans="1:3" x14ac:dyDescent="0.25">
      <c r="A3200">
        <v>38</v>
      </c>
      <c r="B3200" t="str">
        <f>"3:37:08.971564"</f>
        <v>3:37:08.971564</v>
      </c>
      <c r="C3200">
        <v>-63</v>
      </c>
    </row>
    <row r="3201" spans="1:3" x14ac:dyDescent="0.25">
      <c r="A3201">
        <v>39</v>
      </c>
      <c r="B3201" t="str">
        <f>"3:37:08.972261"</f>
        <v>3:37:08.972261</v>
      </c>
      <c r="C3201">
        <v>-61</v>
      </c>
    </row>
    <row r="3202" spans="1:3" x14ac:dyDescent="0.25">
      <c r="A3202">
        <v>37</v>
      </c>
      <c r="B3202" t="str">
        <f>"3:37:10.213745"</f>
        <v>3:37:10.213745</v>
      </c>
      <c r="C3202">
        <v>-75</v>
      </c>
    </row>
    <row r="3203" spans="1:3" x14ac:dyDescent="0.25">
      <c r="A3203">
        <v>38</v>
      </c>
      <c r="B3203" t="str">
        <f>"3:37:10.214442"</f>
        <v>3:37:10.214442</v>
      </c>
      <c r="C3203">
        <v>-63</v>
      </c>
    </row>
    <row r="3204" spans="1:3" x14ac:dyDescent="0.25">
      <c r="A3204">
        <v>39</v>
      </c>
      <c r="B3204" t="str">
        <f>"3:37:10.215139"</f>
        <v>3:37:10.215139</v>
      </c>
      <c r="C3204">
        <v>-61</v>
      </c>
    </row>
    <row r="3205" spans="1:3" x14ac:dyDescent="0.25">
      <c r="A3205">
        <v>37</v>
      </c>
      <c r="B3205" t="str">
        <f>"3:37:11.459222"</f>
        <v>3:37:11.459222</v>
      </c>
      <c r="C3205">
        <v>-75</v>
      </c>
    </row>
    <row r="3206" spans="1:3" x14ac:dyDescent="0.25">
      <c r="A3206">
        <v>38</v>
      </c>
      <c r="B3206" t="str">
        <f>"3:37:11.459918"</f>
        <v>3:37:11.459918</v>
      </c>
      <c r="C3206">
        <v>-63</v>
      </c>
    </row>
    <row r="3207" spans="1:3" x14ac:dyDescent="0.25">
      <c r="A3207">
        <v>39</v>
      </c>
      <c r="B3207" t="str">
        <f>"3:37:11.460615"</f>
        <v>3:37:11.460615</v>
      </c>
      <c r="C3207">
        <v>-61</v>
      </c>
    </row>
    <row r="3208" spans="1:3" x14ac:dyDescent="0.25">
      <c r="A3208">
        <v>37</v>
      </c>
      <c r="B3208" t="str">
        <f>"3:37:12.716420"</f>
        <v>3:37:12.716420</v>
      </c>
      <c r="C3208">
        <v>-75</v>
      </c>
    </row>
    <row r="3209" spans="1:3" x14ac:dyDescent="0.25">
      <c r="A3209">
        <v>38</v>
      </c>
      <c r="B3209" t="str">
        <f>"3:37:12.717117"</f>
        <v>3:37:12.717117</v>
      </c>
      <c r="C3209">
        <v>-63</v>
      </c>
    </row>
    <row r="3210" spans="1:3" x14ac:dyDescent="0.25">
      <c r="A3210">
        <v>39</v>
      </c>
      <c r="B3210" t="str">
        <f>"3:37:12.717814"</f>
        <v>3:37:12.717814</v>
      </c>
      <c r="C3210">
        <v>-61</v>
      </c>
    </row>
    <row r="3211" spans="1:3" x14ac:dyDescent="0.25">
      <c r="A3211">
        <v>37</v>
      </c>
      <c r="B3211" t="str">
        <f>"3:37:13.951998"</f>
        <v>3:37:13.951998</v>
      </c>
      <c r="C3211">
        <v>-74</v>
      </c>
    </row>
    <row r="3212" spans="1:3" x14ac:dyDescent="0.25">
      <c r="A3212">
        <v>38</v>
      </c>
      <c r="B3212" t="str">
        <f>"3:37:13.952695"</f>
        <v>3:37:13.952695</v>
      </c>
      <c r="C3212">
        <v>-63</v>
      </c>
    </row>
    <row r="3213" spans="1:3" x14ac:dyDescent="0.25">
      <c r="A3213">
        <v>39</v>
      </c>
      <c r="B3213" t="str">
        <f>"3:37:13.953392"</f>
        <v>3:37:13.953392</v>
      </c>
      <c r="C3213">
        <v>-61</v>
      </c>
    </row>
    <row r="3214" spans="1:3" x14ac:dyDescent="0.25">
      <c r="A3214">
        <v>37</v>
      </c>
      <c r="B3214" t="str">
        <f>"3:37:15.205874"</f>
        <v>3:37:15.205874</v>
      </c>
      <c r="C3214">
        <v>-74</v>
      </c>
    </row>
    <row r="3215" spans="1:3" x14ac:dyDescent="0.25">
      <c r="A3215">
        <v>38</v>
      </c>
      <c r="B3215" t="str">
        <f>"3:37:15.206571"</f>
        <v>3:37:15.206571</v>
      </c>
      <c r="C3215">
        <v>-63</v>
      </c>
    </row>
    <row r="3216" spans="1:3" x14ac:dyDescent="0.25">
      <c r="A3216">
        <v>39</v>
      </c>
      <c r="B3216" t="str">
        <f>"3:37:15.207268"</f>
        <v>3:37:15.207268</v>
      </c>
      <c r="C3216">
        <v>-61</v>
      </c>
    </row>
    <row r="3217" spans="1:3" x14ac:dyDescent="0.25">
      <c r="A3217">
        <v>37</v>
      </c>
      <c r="B3217" t="str">
        <f>"3:37:16.485562"</f>
        <v>3:37:16.485562</v>
      </c>
      <c r="C3217">
        <v>-74</v>
      </c>
    </row>
    <row r="3218" spans="1:3" x14ac:dyDescent="0.25">
      <c r="A3218">
        <v>38</v>
      </c>
      <c r="B3218" t="str">
        <f>"3:37:16.486259"</f>
        <v>3:37:16.486259</v>
      </c>
      <c r="C3218">
        <v>-63</v>
      </c>
    </row>
    <row r="3219" spans="1:3" x14ac:dyDescent="0.25">
      <c r="A3219">
        <v>39</v>
      </c>
      <c r="B3219" t="str">
        <f>"3:37:16.486956"</f>
        <v>3:37:16.486956</v>
      </c>
      <c r="C3219">
        <v>-61</v>
      </c>
    </row>
    <row r="3220" spans="1:3" x14ac:dyDescent="0.25">
      <c r="A3220">
        <v>37</v>
      </c>
      <c r="B3220" t="str">
        <f>"3:37:17.691854"</f>
        <v>3:37:17.691854</v>
      </c>
      <c r="C3220">
        <v>-74</v>
      </c>
    </row>
    <row r="3221" spans="1:3" x14ac:dyDescent="0.25">
      <c r="A3221">
        <v>38</v>
      </c>
      <c r="B3221" t="str">
        <f>"3:37:17.692551"</f>
        <v>3:37:17.692551</v>
      </c>
      <c r="C3221">
        <v>-64</v>
      </c>
    </row>
    <row r="3222" spans="1:3" x14ac:dyDescent="0.25">
      <c r="A3222">
        <v>39</v>
      </c>
      <c r="B3222" t="str">
        <f>"3:37:17.693248"</f>
        <v>3:37:17.693248</v>
      </c>
      <c r="C3222">
        <v>-61</v>
      </c>
    </row>
    <row r="3223" spans="1:3" x14ac:dyDescent="0.25">
      <c r="A3223">
        <v>37</v>
      </c>
      <c r="B3223" t="str">
        <f>"3:37:18.943996"</f>
        <v>3:37:18.943996</v>
      </c>
      <c r="C3223">
        <v>-74</v>
      </c>
    </row>
    <row r="3224" spans="1:3" x14ac:dyDescent="0.25">
      <c r="A3224">
        <v>38</v>
      </c>
      <c r="B3224" t="str">
        <f>"3:37:18.944693"</f>
        <v>3:37:18.944693</v>
      </c>
      <c r="C3224">
        <v>-63</v>
      </c>
    </row>
    <row r="3225" spans="1:3" x14ac:dyDescent="0.25">
      <c r="A3225">
        <v>39</v>
      </c>
      <c r="B3225" t="str">
        <f>"3:37:18.945390"</f>
        <v>3:37:18.945390</v>
      </c>
      <c r="C3225">
        <v>-61</v>
      </c>
    </row>
    <row r="3226" spans="1:3" x14ac:dyDescent="0.25">
      <c r="A3226">
        <v>37</v>
      </c>
      <c r="B3226" t="str">
        <f>"3:37:20.216924"</f>
        <v>3:37:20.216924</v>
      </c>
      <c r="C3226">
        <v>-75</v>
      </c>
    </row>
    <row r="3227" spans="1:3" x14ac:dyDescent="0.25">
      <c r="A3227">
        <v>38</v>
      </c>
      <c r="B3227" t="str">
        <f>"3:37:20.217621"</f>
        <v>3:37:20.217621</v>
      </c>
      <c r="C3227">
        <v>-63</v>
      </c>
    </row>
    <row r="3228" spans="1:3" x14ac:dyDescent="0.25">
      <c r="A3228">
        <v>39</v>
      </c>
      <c r="B3228" t="str">
        <f>"3:37:20.218318"</f>
        <v>3:37:20.218318</v>
      </c>
      <c r="C3228">
        <v>-61</v>
      </c>
    </row>
    <row r="3229" spans="1:3" x14ac:dyDescent="0.25">
      <c r="A3229">
        <v>37</v>
      </c>
      <c r="B3229" t="str">
        <f>"3:37:21.432079"</f>
        <v>3:37:21.432079</v>
      </c>
      <c r="C3229">
        <v>-74</v>
      </c>
    </row>
    <row r="3230" spans="1:3" x14ac:dyDescent="0.25">
      <c r="A3230">
        <v>38</v>
      </c>
      <c r="B3230" t="str">
        <f>"3:37:21.432776"</f>
        <v>3:37:21.432776</v>
      </c>
      <c r="C3230">
        <v>-63</v>
      </c>
    </row>
    <row r="3231" spans="1:3" x14ac:dyDescent="0.25">
      <c r="A3231">
        <v>39</v>
      </c>
      <c r="B3231" t="str">
        <f>"3:37:21.433473"</f>
        <v>3:37:21.433473</v>
      </c>
      <c r="C3231">
        <v>-61</v>
      </c>
    </row>
    <row r="3232" spans="1:3" x14ac:dyDescent="0.25">
      <c r="A3232">
        <v>37</v>
      </c>
      <c r="B3232" t="str">
        <f>"3:37:22.667453"</f>
        <v>3:37:22.667453</v>
      </c>
      <c r="C3232">
        <v>-72</v>
      </c>
    </row>
    <row r="3233" spans="1:3" x14ac:dyDescent="0.25">
      <c r="A3233">
        <v>38</v>
      </c>
      <c r="B3233" t="str">
        <f>"3:37:22.668150"</f>
        <v>3:37:22.668150</v>
      </c>
      <c r="C3233">
        <v>-64</v>
      </c>
    </row>
    <row r="3234" spans="1:3" x14ac:dyDescent="0.25">
      <c r="A3234">
        <v>39</v>
      </c>
      <c r="B3234" t="str">
        <f>"3:37:22.668847"</f>
        <v>3:37:22.668847</v>
      </c>
      <c r="C3234">
        <v>-61</v>
      </c>
    </row>
    <row r="3235" spans="1:3" x14ac:dyDescent="0.25">
      <c r="A3235">
        <v>37</v>
      </c>
      <c r="B3235" t="str">
        <f>"3:37:23.908705"</f>
        <v>3:37:23.908705</v>
      </c>
      <c r="C3235">
        <v>-75</v>
      </c>
    </row>
    <row r="3236" spans="1:3" x14ac:dyDescent="0.25">
      <c r="A3236">
        <v>38</v>
      </c>
      <c r="B3236" t="str">
        <f>"3:37:23.909402"</f>
        <v>3:37:23.909402</v>
      </c>
      <c r="C3236">
        <v>-63</v>
      </c>
    </row>
    <row r="3237" spans="1:3" x14ac:dyDescent="0.25">
      <c r="A3237">
        <v>39</v>
      </c>
      <c r="B3237" t="str">
        <f>"3:37:23.910099"</f>
        <v>3:37:23.910099</v>
      </c>
      <c r="C3237">
        <v>-61</v>
      </c>
    </row>
    <row r="3238" spans="1:3" x14ac:dyDescent="0.25">
      <c r="A3238">
        <v>37</v>
      </c>
      <c r="B3238" t="str">
        <f>"3:37:25.160881"</f>
        <v>3:37:25.160881</v>
      </c>
      <c r="C3238">
        <v>-75</v>
      </c>
    </row>
    <row r="3239" spans="1:3" x14ac:dyDescent="0.25">
      <c r="A3239">
        <v>38</v>
      </c>
      <c r="B3239" t="str">
        <f>"3:37:25.161578"</f>
        <v>3:37:25.161578</v>
      </c>
      <c r="C3239">
        <v>-63</v>
      </c>
    </row>
    <row r="3240" spans="1:3" x14ac:dyDescent="0.25">
      <c r="A3240">
        <v>39</v>
      </c>
      <c r="B3240" t="str">
        <f>"3:37:25.162275"</f>
        <v>3:37:25.162275</v>
      </c>
      <c r="C3240">
        <v>-61</v>
      </c>
    </row>
    <row r="3241" spans="1:3" x14ac:dyDescent="0.25">
      <c r="A3241">
        <v>39</v>
      </c>
      <c r="B3241" t="str">
        <f>"3:37:27.644501"</f>
        <v>3:37:27.644501</v>
      </c>
      <c r="C3241">
        <v>-60</v>
      </c>
    </row>
    <row r="3242" spans="1:3" x14ac:dyDescent="0.25">
      <c r="A3242">
        <v>37</v>
      </c>
      <c r="B3242" t="str">
        <f>"3:37:28.908055"</f>
        <v>3:37:28.908055</v>
      </c>
      <c r="C3242">
        <v>-74</v>
      </c>
    </row>
    <row r="3243" spans="1:3" x14ac:dyDescent="0.25">
      <c r="A3243">
        <v>38</v>
      </c>
      <c r="B3243" t="str">
        <f>"3:37:28.908752"</f>
        <v>3:37:28.908752</v>
      </c>
      <c r="C3243">
        <v>-63</v>
      </c>
    </row>
    <row r="3244" spans="1:3" x14ac:dyDescent="0.25">
      <c r="A3244">
        <v>39</v>
      </c>
      <c r="B3244" t="str">
        <f>"3:37:28.909449"</f>
        <v>3:37:28.909449</v>
      </c>
      <c r="C3244">
        <v>-61</v>
      </c>
    </row>
    <row r="3245" spans="1:3" x14ac:dyDescent="0.25">
      <c r="A3245">
        <v>37</v>
      </c>
      <c r="B3245" t="str">
        <f>"3:37:30.140974"</f>
        <v>3:37:30.140974</v>
      </c>
      <c r="C3245">
        <v>-75</v>
      </c>
    </row>
    <row r="3246" spans="1:3" x14ac:dyDescent="0.25">
      <c r="A3246">
        <v>38</v>
      </c>
      <c r="B3246" t="str">
        <f>"3:37:30.141670"</f>
        <v>3:37:30.141670</v>
      </c>
      <c r="C3246">
        <v>-63</v>
      </c>
    </row>
    <row r="3247" spans="1:3" x14ac:dyDescent="0.25">
      <c r="A3247">
        <v>39</v>
      </c>
      <c r="B3247" t="str">
        <f>"3:37:30.142368"</f>
        <v>3:37:30.142368</v>
      </c>
      <c r="C3247">
        <v>-61</v>
      </c>
    </row>
    <row r="3248" spans="1:3" x14ac:dyDescent="0.25">
      <c r="A3248">
        <v>37</v>
      </c>
      <c r="B3248" t="str">
        <f>"3:37:31.378234"</f>
        <v>3:37:31.378234</v>
      </c>
      <c r="C3248">
        <v>-75</v>
      </c>
    </row>
    <row r="3249" spans="1:3" x14ac:dyDescent="0.25">
      <c r="A3249">
        <v>38</v>
      </c>
      <c r="B3249" t="str">
        <f>"3:37:31.378931"</f>
        <v>3:37:31.378931</v>
      </c>
      <c r="C3249">
        <v>-63</v>
      </c>
    </row>
    <row r="3250" spans="1:3" x14ac:dyDescent="0.25">
      <c r="A3250">
        <v>39</v>
      </c>
      <c r="B3250" t="str">
        <f>"3:37:31.379628"</f>
        <v>3:37:31.379628</v>
      </c>
      <c r="C3250">
        <v>-61</v>
      </c>
    </row>
    <row r="3251" spans="1:3" x14ac:dyDescent="0.25">
      <c r="A3251">
        <v>38</v>
      </c>
      <c r="B3251" t="str">
        <f>"3:37:32.619712"</f>
        <v>3:37:32.619712</v>
      </c>
      <c r="C3251">
        <v>-64</v>
      </c>
    </row>
    <row r="3252" spans="1:3" x14ac:dyDescent="0.25">
      <c r="A3252">
        <v>39</v>
      </c>
      <c r="B3252" t="str">
        <f>"3:37:32.620409"</f>
        <v>3:37:32.620409</v>
      </c>
      <c r="C3252">
        <v>-61</v>
      </c>
    </row>
    <row r="3253" spans="1:3" x14ac:dyDescent="0.25">
      <c r="A3253">
        <v>37</v>
      </c>
      <c r="B3253" t="str">
        <f>"3:37:33.869710"</f>
        <v>3:37:33.869710</v>
      </c>
      <c r="C3253">
        <v>-75</v>
      </c>
    </row>
    <row r="3254" spans="1:3" x14ac:dyDescent="0.25">
      <c r="A3254">
        <v>38</v>
      </c>
      <c r="B3254" t="str">
        <f>"3:37:33.870407"</f>
        <v>3:37:33.870407</v>
      </c>
      <c r="C3254">
        <v>-63</v>
      </c>
    </row>
    <row r="3255" spans="1:3" x14ac:dyDescent="0.25">
      <c r="A3255">
        <v>39</v>
      </c>
      <c r="B3255" t="str">
        <f>"3:37:33.871104"</f>
        <v>3:37:33.871104</v>
      </c>
      <c r="C3255">
        <v>-61</v>
      </c>
    </row>
    <row r="3256" spans="1:3" x14ac:dyDescent="0.25">
      <c r="A3256">
        <v>38</v>
      </c>
      <c r="B3256" t="str">
        <f>"3:37:35.108175"</f>
        <v>3:37:35.108175</v>
      </c>
      <c r="C3256">
        <v>-63</v>
      </c>
    </row>
    <row r="3257" spans="1:3" x14ac:dyDescent="0.25">
      <c r="A3257">
        <v>39</v>
      </c>
      <c r="B3257" t="str">
        <f>"3:37:35.108872"</f>
        <v>3:37:35.108872</v>
      </c>
      <c r="C3257">
        <v>-61</v>
      </c>
    </row>
    <row r="3258" spans="1:3" x14ac:dyDescent="0.25">
      <c r="A3258">
        <v>38</v>
      </c>
      <c r="B3258" t="str">
        <f>"3:37:36.349583"</f>
        <v>3:37:36.349583</v>
      </c>
      <c r="C3258">
        <v>-63</v>
      </c>
    </row>
    <row r="3259" spans="1:3" x14ac:dyDescent="0.25">
      <c r="A3259">
        <v>39</v>
      </c>
      <c r="B3259" t="str">
        <f>"3:37:36.350280"</f>
        <v>3:37:36.350280</v>
      </c>
      <c r="C3259">
        <v>-61</v>
      </c>
    </row>
    <row r="3260" spans="1:3" x14ac:dyDescent="0.25">
      <c r="A3260">
        <v>37</v>
      </c>
      <c r="B3260" t="str">
        <f>"3:37:37.600012"</f>
        <v>3:37:37.600012</v>
      </c>
      <c r="C3260">
        <v>-75</v>
      </c>
    </row>
    <row r="3261" spans="1:3" x14ac:dyDescent="0.25">
      <c r="A3261">
        <v>38</v>
      </c>
      <c r="B3261" t="str">
        <f>"3:37:37.600709"</f>
        <v>3:37:37.600709</v>
      </c>
      <c r="C3261">
        <v>-63</v>
      </c>
    </row>
    <row r="3262" spans="1:3" x14ac:dyDescent="0.25">
      <c r="A3262">
        <v>39</v>
      </c>
      <c r="B3262" t="str">
        <f>"3:37:37.601406"</f>
        <v>3:37:37.601406</v>
      </c>
      <c r="C3262">
        <v>-61</v>
      </c>
    </row>
    <row r="3263" spans="1:3" x14ac:dyDescent="0.25">
      <c r="A3263">
        <v>37</v>
      </c>
      <c r="B3263" t="str">
        <f>"3:37:38.840180"</f>
        <v>3:37:38.840180</v>
      </c>
      <c r="C3263">
        <v>-75</v>
      </c>
    </row>
    <row r="3264" spans="1:3" x14ac:dyDescent="0.25">
      <c r="A3264">
        <v>38</v>
      </c>
      <c r="B3264" t="str">
        <f>"3:37:38.840877"</f>
        <v>3:37:38.840877</v>
      </c>
      <c r="C3264">
        <v>-63</v>
      </c>
    </row>
    <row r="3265" spans="1:3" x14ac:dyDescent="0.25">
      <c r="A3265">
        <v>39</v>
      </c>
      <c r="B3265" t="str">
        <f>"3:37:38.841574"</f>
        <v>3:37:38.841574</v>
      </c>
      <c r="C3265">
        <v>-61</v>
      </c>
    </row>
    <row r="3266" spans="1:3" x14ac:dyDescent="0.25">
      <c r="A3266">
        <v>37</v>
      </c>
      <c r="B3266" t="str">
        <f>"3:37:40.101908"</f>
        <v>3:37:40.101908</v>
      </c>
      <c r="C3266">
        <v>-74</v>
      </c>
    </row>
    <row r="3267" spans="1:3" x14ac:dyDescent="0.25">
      <c r="A3267">
        <v>38</v>
      </c>
      <c r="B3267" t="str">
        <f>"3:37:40.102605"</f>
        <v>3:37:40.102605</v>
      </c>
      <c r="C3267">
        <v>-63</v>
      </c>
    </row>
    <row r="3268" spans="1:3" x14ac:dyDescent="0.25">
      <c r="A3268">
        <v>39</v>
      </c>
      <c r="B3268" t="str">
        <f>"3:37:40.103302"</f>
        <v>3:37:40.103302</v>
      </c>
      <c r="C3268">
        <v>-61</v>
      </c>
    </row>
    <row r="3269" spans="1:3" x14ac:dyDescent="0.25">
      <c r="A3269">
        <v>37</v>
      </c>
      <c r="B3269" t="str">
        <f>"3:37:41.335238"</f>
        <v>3:37:41.335238</v>
      </c>
      <c r="C3269">
        <v>-74</v>
      </c>
    </row>
    <row r="3270" spans="1:3" x14ac:dyDescent="0.25">
      <c r="A3270">
        <v>38</v>
      </c>
      <c r="B3270" t="str">
        <f>"3:37:41.335935"</f>
        <v>3:37:41.335935</v>
      </c>
      <c r="C3270">
        <v>-63</v>
      </c>
    </row>
    <row r="3271" spans="1:3" x14ac:dyDescent="0.25">
      <c r="A3271">
        <v>39</v>
      </c>
      <c r="B3271" t="str">
        <f>"3:37:41.336632"</f>
        <v>3:37:41.336632</v>
      </c>
      <c r="C3271">
        <v>-61</v>
      </c>
    </row>
    <row r="3272" spans="1:3" x14ac:dyDescent="0.25">
      <c r="A3272">
        <v>37</v>
      </c>
      <c r="B3272" t="str">
        <f>"3:37:43.832548"</f>
        <v>3:37:43.832548</v>
      </c>
      <c r="C3272">
        <v>-74</v>
      </c>
    </row>
    <row r="3273" spans="1:3" x14ac:dyDescent="0.25">
      <c r="A3273">
        <v>38</v>
      </c>
      <c r="B3273" t="str">
        <f>"3:37:43.833245"</f>
        <v>3:37:43.833245</v>
      </c>
      <c r="C3273">
        <v>-63</v>
      </c>
    </row>
    <row r="3274" spans="1:3" x14ac:dyDescent="0.25">
      <c r="A3274">
        <v>39</v>
      </c>
      <c r="B3274" t="str">
        <f>"3:37:43.833942"</f>
        <v>3:37:43.833942</v>
      </c>
      <c r="C3274">
        <v>-61</v>
      </c>
    </row>
    <row r="3275" spans="1:3" x14ac:dyDescent="0.25">
      <c r="A3275">
        <v>37</v>
      </c>
      <c r="B3275" t="str">
        <f>"3:37:45.116346"</f>
        <v>3:37:45.116346</v>
      </c>
      <c r="C3275">
        <v>-74</v>
      </c>
    </row>
    <row r="3276" spans="1:3" x14ac:dyDescent="0.25">
      <c r="A3276">
        <v>38</v>
      </c>
      <c r="B3276" t="str">
        <f>"3:37:45.117043"</f>
        <v>3:37:45.117043</v>
      </c>
      <c r="C3276">
        <v>-63</v>
      </c>
    </row>
    <row r="3277" spans="1:3" x14ac:dyDescent="0.25">
      <c r="A3277">
        <v>39</v>
      </c>
      <c r="B3277" t="str">
        <f>"3:37:45.117740"</f>
        <v>3:37:45.117740</v>
      </c>
      <c r="C3277">
        <v>-61</v>
      </c>
    </row>
    <row r="3278" spans="1:3" x14ac:dyDescent="0.25">
      <c r="A3278">
        <v>37</v>
      </c>
      <c r="B3278" t="str">
        <f>"3:37:46.315390"</f>
        <v>3:37:46.315390</v>
      </c>
      <c r="C3278">
        <v>-74</v>
      </c>
    </row>
    <row r="3279" spans="1:3" x14ac:dyDescent="0.25">
      <c r="A3279">
        <v>38</v>
      </c>
      <c r="B3279" t="str">
        <f>"3:37:46.316087"</f>
        <v>3:37:46.316087</v>
      </c>
      <c r="C3279">
        <v>-63</v>
      </c>
    </row>
    <row r="3280" spans="1:3" x14ac:dyDescent="0.25">
      <c r="A3280">
        <v>39</v>
      </c>
      <c r="B3280" t="str">
        <f>"3:37:46.316784"</f>
        <v>3:37:46.316784</v>
      </c>
      <c r="C3280">
        <v>-61</v>
      </c>
    </row>
    <row r="3281" spans="1:3" x14ac:dyDescent="0.25">
      <c r="A3281">
        <v>37</v>
      </c>
      <c r="B3281" t="str">
        <f>"3:37:47.568992"</f>
        <v>3:37:47.568992</v>
      </c>
      <c r="C3281">
        <v>-74</v>
      </c>
    </row>
    <row r="3282" spans="1:3" x14ac:dyDescent="0.25">
      <c r="A3282">
        <v>38</v>
      </c>
      <c r="B3282" t="str">
        <f>"3:37:47.569689"</f>
        <v>3:37:47.569689</v>
      </c>
      <c r="C3282">
        <v>-63</v>
      </c>
    </row>
    <row r="3283" spans="1:3" x14ac:dyDescent="0.25">
      <c r="A3283">
        <v>39</v>
      </c>
      <c r="B3283" t="str">
        <f>"3:37:47.570386"</f>
        <v>3:37:47.570386</v>
      </c>
      <c r="C3283">
        <v>-61</v>
      </c>
    </row>
    <row r="3284" spans="1:3" x14ac:dyDescent="0.25">
      <c r="A3284">
        <v>37</v>
      </c>
      <c r="B3284" t="str">
        <f>"3:37:48.809216"</f>
        <v>3:37:48.809216</v>
      </c>
      <c r="C3284">
        <v>-75</v>
      </c>
    </row>
    <row r="3285" spans="1:3" x14ac:dyDescent="0.25">
      <c r="A3285">
        <v>38</v>
      </c>
      <c r="B3285" t="str">
        <f>"3:37:48.809913"</f>
        <v>3:37:48.809913</v>
      </c>
      <c r="C3285">
        <v>-63</v>
      </c>
    </row>
    <row r="3286" spans="1:3" x14ac:dyDescent="0.25">
      <c r="A3286">
        <v>39</v>
      </c>
      <c r="B3286" t="str">
        <f>"3:37:48.810610"</f>
        <v>3:37:48.810610</v>
      </c>
      <c r="C3286">
        <v>-61</v>
      </c>
    </row>
    <row r="3287" spans="1:3" x14ac:dyDescent="0.25">
      <c r="A3287">
        <v>37</v>
      </c>
      <c r="B3287" t="str">
        <f>"3:37:50.055992"</f>
        <v>3:37:50.055992</v>
      </c>
      <c r="C3287">
        <v>-75</v>
      </c>
    </row>
    <row r="3288" spans="1:3" x14ac:dyDescent="0.25">
      <c r="A3288">
        <v>38</v>
      </c>
      <c r="B3288" t="str">
        <f>"3:37:50.056689"</f>
        <v>3:37:50.056689</v>
      </c>
      <c r="C3288">
        <v>-63</v>
      </c>
    </row>
    <row r="3289" spans="1:3" x14ac:dyDescent="0.25">
      <c r="A3289">
        <v>39</v>
      </c>
      <c r="B3289" t="str">
        <f>"3:37:50.057386"</f>
        <v>3:37:50.057386</v>
      </c>
      <c r="C3289">
        <v>-61</v>
      </c>
    </row>
    <row r="3290" spans="1:3" x14ac:dyDescent="0.25">
      <c r="A3290">
        <v>37</v>
      </c>
      <c r="B3290" t="str">
        <f>"3:37:51.298468"</f>
        <v>3:37:51.298468</v>
      </c>
      <c r="C3290">
        <v>-74</v>
      </c>
    </row>
    <row r="3291" spans="1:3" x14ac:dyDescent="0.25">
      <c r="A3291">
        <v>38</v>
      </c>
      <c r="B3291" t="str">
        <f>"3:37:51.299165"</f>
        <v>3:37:51.299165</v>
      </c>
      <c r="C3291">
        <v>-63</v>
      </c>
    </row>
    <row r="3292" spans="1:3" x14ac:dyDescent="0.25">
      <c r="A3292">
        <v>39</v>
      </c>
      <c r="B3292" t="str">
        <f>"3:37:51.299862"</f>
        <v>3:37:51.299862</v>
      </c>
      <c r="C3292">
        <v>-61</v>
      </c>
    </row>
    <row r="3293" spans="1:3" x14ac:dyDescent="0.25">
      <c r="A3293">
        <v>37</v>
      </c>
      <c r="B3293" t="str">
        <f>"3:37:52.542494"</f>
        <v>3:37:52.542494</v>
      </c>
      <c r="C3293">
        <v>-74</v>
      </c>
    </row>
    <row r="3294" spans="1:3" x14ac:dyDescent="0.25">
      <c r="A3294">
        <v>38</v>
      </c>
      <c r="B3294" t="str">
        <f>"3:37:52.543191"</f>
        <v>3:37:52.543191</v>
      </c>
      <c r="C3294">
        <v>-63</v>
      </c>
    </row>
    <row r="3295" spans="1:3" x14ac:dyDescent="0.25">
      <c r="A3295">
        <v>39</v>
      </c>
      <c r="B3295" t="str">
        <f>"3:37:52.543888"</f>
        <v>3:37:52.543888</v>
      </c>
      <c r="C3295">
        <v>-61</v>
      </c>
    </row>
    <row r="3296" spans="1:3" x14ac:dyDescent="0.25">
      <c r="A3296">
        <v>37</v>
      </c>
      <c r="B3296" t="str">
        <f>"3:37:53.809122"</f>
        <v>3:37:53.809122</v>
      </c>
      <c r="C3296">
        <v>-74</v>
      </c>
    </row>
    <row r="3297" spans="1:3" x14ac:dyDescent="0.25">
      <c r="A3297">
        <v>37</v>
      </c>
      <c r="B3297" t="str">
        <f>"3:37:53.809625"</f>
        <v>3:37:53.809625</v>
      </c>
      <c r="C3297">
        <v>-64</v>
      </c>
    </row>
    <row r="3298" spans="1:3" x14ac:dyDescent="0.25">
      <c r="A3298">
        <v>37</v>
      </c>
      <c r="B3298" t="str">
        <f>"3:37:53.809950"</f>
        <v>3:37:53.809950</v>
      </c>
      <c r="C3298">
        <v>-74</v>
      </c>
    </row>
    <row r="3299" spans="1:3" x14ac:dyDescent="0.25">
      <c r="A3299">
        <v>38</v>
      </c>
      <c r="B3299" t="str">
        <f>"3:37:53.810221"</f>
        <v>3:37:53.810221</v>
      </c>
      <c r="C3299">
        <v>-63</v>
      </c>
    </row>
    <row r="3300" spans="1:3" x14ac:dyDescent="0.25">
      <c r="A3300">
        <v>39</v>
      </c>
      <c r="B3300" t="str">
        <f>"3:37:53.810918"</f>
        <v>3:37:53.810918</v>
      </c>
      <c r="C3300">
        <v>-61</v>
      </c>
    </row>
    <row r="3301" spans="1:3" x14ac:dyDescent="0.25">
      <c r="A3301">
        <v>37</v>
      </c>
      <c r="B3301" t="str">
        <f>"3:37:55.038570"</f>
        <v>3:37:55.038570</v>
      </c>
      <c r="C3301">
        <v>-74</v>
      </c>
    </row>
    <row r="3302" spans="1:3" x14ac:dyDescent="0.25">
      <c r="A3302">
        <v>38</v>
      </c>
      <c r="B3302" t="str">
        <f>"3:37:55.039267"</f>
        <v>3:37:55.039267</v>
      </c>
      <c r="C3302">
        <v>-63</v>
      </c>
    </row>
    <row r="3303" spans="1:3" x14ac:dyDescent="0.25">
      <c r="A3303">
        <v>39</v>
      </c>
      <c r="B3303" t="str">
        <f>"3:37:55.039964"</f>
        <v>3:37:55.039964</v>
      </c>
      <c r="C3303">
        <v>-61</v>
      </c>
    </row>
    <row r="3304" spans="1:3" x14ac:dyDescent="0.25">
      <c r="A3304">
        <v>37</v>
      </c>
      <c r="B3304" t="str">
        <f>"3:37:56.302920"</f>
        <v>3:37:56.302920</v>
      </c>
      <c r="C3304">
        <v>-74</v>
      </c>
    </row>
    <row r="3305" spans="1:3" x14ac:dyDescent="0.25">
      <c r="A3305">
        <v>38</v>
      </c>
      <c r="B3305" t="str">
        <f>"3:37:56.303617"</f>
        <v>3:37:56.303617</v>
      </c>
      <c r="C3305">
        <v>-63</v>
      </c>
    </row>
    <row r="3306" spans="1:3" x14ac:dyDescent="0.25">
      <c r="A3306">
        <v>39</v>
      </c>
      <c r="B3306" t="str">
        <f>"3:37:56.304314"</f>
        <v>3:37:56.304314</v>
      </c>
      <c r="C3306">
        <v>-61</v>
      </c>
    </row>
    <row r="3307" spans="1:3" x14ac:dyDescent="0.25">
      <c r="A3307">
        <v>37</v>
      </c>
      <c r="B3307" t="str">
        <f>"3:37:57.528896"</f>
        <v>3:37:57.528896</v>
      </c>
      <c r="C3307">
        <v>-74</v>
      </c>
    </row>
    <row r="3308" spans="1:3" x14ac:dyDescent="0.25">
      <c r="A3308">
        <v>38</v>
      </c>
      <c r="B3308" t="str">
        <f>"3:37:57.529593"</f>
        <v>3:37:57.529593</v>
      </c>
      <c r="C3308">
        <v>-63</v>
      </c>
    </row>
    <row r="3309" spans="1:3" x14ac:dyDescent="0.25">
      <c r="A3309">
        <v>39</v>
      </c>
      <c r="B3309" t="str">
        <f>"3:37:57.530290"</f>
        <v>3:37:57.530290</v>
      </c>
      <c r="C3309">
        <v>-61</v>
      </c>
    </row>
    <row r="3310" spans="1:3" x14ac:dyDescent="0.25">
      <c r="A3310">
        <v>37</v>
      </c>
      <c r="B3310" t="str">
        <f>"3:37:58.772422"</f>
        <v>3:37:58.772422</v>
      </c>
      <c r="C3310">
        <v>-74</v>
      </c>
    </row>
    <row r="3311" spans="1:3" x14ac:dyDescent="0.25">
      <c r="A3311">
        <v>38</v>
      </c>
      <c r="B3311" t="str">
        <f>"3:37:58.773119"</f>
        <v>3:37:58.773119</v>
      </c>
      <c r="C3311">
        <v>-63</v>
      </c>
    </row>
    <row r="3312" spans="1:3" x14ac:dyDescent="0.25">
      <c r="A3312">
        <v>39</v>
      </c>
      <c r="B3312" t="str">
        <f>"3:37:58.773816"</f>
        <v>3:37:58.773816</v>
      </c>
      <c r="C3312">
        <v>-61</v>
      </c>
    </row>
    <row r="3313" spans="1:3" x14ac:dyDescent="0.25">
      <c r="A3313">
        <v>37</v>
      </c>
      <c r="B3313" t="str">
        <f>"3:38:00.024194"</f>
        <v>3:38:00.024194</v>
      </c>
      <c r="C3313">
        <v>-74</v>
      </c>
    </row>
    <row r="3314" spans="1:3" x14ac:dyDescent="0.25">
      <c r="A3314">
        <v>38</v>
      </c>
      <c r="B3314" t="str">
        <f>"3:38:00.024891"</f>
        <v>3:38:00.024891</v>
      </c>
      <c r="C3314">
        <v>-63</v>
      </c>
    </row>
    <row r="3315" spans="1:3" x14ac:dyDescent="0.25">
      <c r="A3315">
        <v>39</v>
      </c>
      <c r="B3315" t="str">
        <f>"3:38:00.025588"</f>
        <v>3:38:00.025588</v>
      </c>
      <c r="C3315">
        <v>-61</v>
      </c>
    </row>
    <row r="3316" spans="1:3" x14ac:dyDescent="0.25">
      <c r="A3316">
        <v>39</v>
      </c>
      <c r="B3316" t="str">
        <f>"3:38:00.026091"</f>
        <v>3:38:00.026091</v>
      </c>
      <c r="C3316">
        <v>-67</v>
      </c>
    </row>
    <row r="3317" spans="1:3" x14ac:dyDescent="0.25">
      <c r="A3317">
        <v>39</v>
      </c>
      <c r="B3317" t="str">
        <f>"3:38:00.026416"</f>
        <v>3:38:00.026416</v>
      </c>
      <c r="C3317">
        <v>-61</v>
      </c>
    </row>
    <row r="3318" spans="1:3" x14ac:dyDescent="0.25">
      <c r="A3318">
        <v>38</v>
      </c>
      <c r="B3318" t="str">
        <f>"3:38:01.278723"</f>
        <v>3:38:01.278723</v>
      </c>
      <c r="C3318">
        <v>-63</v>
      </c>
    </row>
    <row r="3319" spans="1:3" x14ac:dyDescent="0.25">
      <c r="A3319">
        <v>39</v>
      </c>
      <c r="B3319" t="str">
        <f>"3:38:01.279420"</f>
        <v>3:38:01.279420</v>
      </c>
      <c r="C3319">
        <v>-61</v>
      </c>
    </row>
    <row r="3320" spans="1:3" x14ac:dyDescent="0.25">
      <c r="A3320">
        <v>37</v>
      </c>
      <c r="B3320" t="str">
        <f>"3:38:02.510374"</f>
        <v>3:38:02.510374</v>
      </c>
      <c r="C3320">
        <v>-74</v>
      </c>
    </row>
    <row r="3321" spans="1:3" x14ac:dyDescent="0.25">
      <c r="A3321">
        <v>39</v>
      </c>
      <c r="B3321" t="str">
        <f>"3:38:02.511768"</f>
        <v>3:38:02.511768</v>
      </c>
      <c r="C3321">
        <v>-61</v>
      </c>
    </row>
    <row r="3322" spans="1:3" x14ac:dyDescent="0.25">
      <c r="A3322">
        <v>37</v>
      </c>
      <c r="B3322" t="str">
        <f>"3:38:03.755250"</f>
        <v>3:38:03.755250</v>
      </c>
      <c r="C3322">
        <v>-74</v>
      </c>
    </row>
    <row r="3323" spans="1:3" x14ac:dyDescent="0.25">
      <c r="A3323">
        <v>38</v>
      </c>
      <c r="B3323" t="str">
        <f>"3:38:03.755947"</f>
        <v>3:38:03.755947</v>
      </c>
      <c r="C3323">
        <v>-63</v>
      </c>
    </row>
    <row r="3324" spans="1:3" x14ac:dyDescent="0.25">
      <c r="A3324">
        <v>39</v>
      </c>
      <c r="B3324" t="str">
        <f>"3:38:03.756644"</f>
        <v>3:38:03.756644</v>
      </c>
      <c r="C3324">
        <v>-61</v>
      </c>
    </row>
    <row r="3325" spans="1:3" x14ac:dyDescent="0.25">
      <c r="A3325">
        <v>37</v>
      </c>
      <c r="B3325" t="str">
        <f>"3:38:05.017666"</f>
        <v>3:38:05.017666</v>
      </c>
      <c r="C3325">
        <v>-74</v>
      </c>
    </row>
    <row r="3326" spans="1:3" x14ac:dyDescent="0.25">
      <c r="A3326">
        <v>38</v>
      </c>
      <c r="B3326" t="str">
        <f>"3:38:05.018363"</f>
        <v>3:38:05.018363</v>
      </c>
      <c r="C3326">
        <v>-63</v>
      </c>
    </row>
    <row r="3327" spans="1:3" x14ac:dyDescent="0.25">
      <c r="A3327">
        <v>39</v>
      </c>
      <c r="B3327" t="str">
        <f>"3:38:05.019060"</f>
        <v>3:38:05.019060</v>
      </c>
      <c r="C3327">
        <v>-61</v>
      </c>
    </row>
    <row r="3328" spans="1:3" x14ac:dyDescent="0.25">
      <c r="A3328">
        <v>37</v>
      </c>
      <c r="B3328" t="str">
        <f>"3:38:06.267979"</f>
        <v>3:38:06.267979</v>
      </c>
      <c r="C3328">
        <v>-74</v>
      </c>
    </row>
    <row r="3329" spans="1:3" x14ac:dyDescent="0.25">
      <c r="A3329">
        <v>38</v>
      </c>
      <c r="B3329" t="str">
        <f>"3:38:06.268676"</f>
        <v>3:38:06.268676</v>
      </c>
      <c r="C3329">
        <v>-63</v>
      </c>
    </row>
    <row r="3330" spans="1:3" x14ac:dyDescent="0.25">
      <c r="A3330">
        <v>39</v>
      </c>
      <c r="B3330" t="str">
        <f>"3:38:06.269373"</f>
        <v>3:38:06.269373</v>
      </c>
      <c r="C3330">
        <v>-61</v>
      </c>
    </row>
    <row r="3331" spans="1:3" x14ac:dyDescent="0.25">
      <c r="A3331">
        <v>37</v>
      </c>
      <c r="B3331" t="str">
        <f>"3:38:07.496267"</f>
        <v>3:38:07.496267</v>
      </c>
      <c r="C3331">
        <v>-74</v>
      </c>
    </row>
    <row r="3332" spans="1:3" x14ac:dyDescent="0.25">
      <c r="A3332">
        <v>38</v>
      </c>
      <c r="B3332" t="str">
        <f>"3:38:07.496964"</f>
        <v>3:38:07.496964</v>
      </c>
      <c r="C3332">
        <v>-63</v>
      </c>
    </row>
    <row r="3333" spans="1:3" x14ac:dyDescent="0.25">
      <c r="A3333">
        <v>39</v>
      </c>
      <c r="B3333" t="str">
        <f>"3:38:07.497661"</f>
        <v>3:38:07.497661</v>
      </c>
      <c r="C3333">
        <v>-61</v>
      </c>
    </row>
    <row r="3334" spans="1:3" x14ac:dyDescent="0.25">
      <c r="A3334">
        <v>38</v>
      </c>
      <c r="B3334" t="str">
        <f>"3:38:08.744573"</f>
        <v>3:38:08.744573</v>
      </c>
      <c r="C3334">
        <v>-63</v>
      </c>
    </row>
    <row r="3335" spans="1:3" x14ac:dyDescent="0.25">
      <c r="A3335">
        <v>39</v>
      </c>
      <c r="B3335" t="str">
        <f>"3:38:08.745270"</f>
        <v>3:38:08.745270</v>
      </c>
      <c r="C3335">
        <v>-61</v>
      </c>
    </row>
    <row r="3336" spans="1:3" x14ac:dyDescent="0.25">
      <c r="A3336">
        <v>37</v>
      </c>
      <c r="B3336" t="str">
        <f>"3:38:09.979602"</f>
        <v>3:38:09.979602</v>
      </c>
      <c r="C3336">
        <v>-74</v>
      </c>
    </row>
    <row r="3337" spans="1:3" x14ac:dyDescent="0.25">
      <c r="A3337">
        <v>38</v>
      </c>
      <c r="B3337" t="str">
        <f>"3:38:09.980299"</f>
        <v>3:38:09.980299</v>
      </c>
      <c r="C3337">
        <v>-63</v>
      </c>
    </row>
    <row r="3338" spans="1:3" x14ac:dyDescent="0.25">
      <c r="A3338">
        <v>39</v>
      </c>
      <c r="B3338" t="str">
        <f>"3:38:09.980996"</f>
        <v>3:38:09.980996</v>
      </c>
      <c r="C3338">
        <v>-61</v>
      </c>
    </row>
    <row r="3339" spans="1:3" x14ac:dyDescent="0.25">
      <c r="A3339">
        <v>39</v>
      </c>
      <c r="B3339" t="str">
        <f>"3:38:11.253449"</f>
        <v>3:38:11.253449</v>
      </c>
      <c r="C3339">
        <v>-61</v>
      </c>
    </row>
    <row r="3340" spans="1:3" x14ac:dyDescent="0.25">
      <c r="A3340">
        <v>38</v>
      </c>
      <c r="B3340" t="str">
        <f>"3:38:12.473625"</f>
        <v>3:38:12.473625</v>
      </c>
      <c r="C3340">
        <v>-63</v>
      </c>
    </row>
    <row r="3341" spans="1:3" x14ac:dyDescent="0.25">
      <c r="A3341">
        <v>39</v>
      </c>
      <c r="B3341" t="str">
        <f>"3:38:12.474322"</f>
        <v>3:38:12.474322</v>
      </c>
      <c r="C3341">
        <v>-61</v>
      </c>
    </row>
    <row r="3342" spans="1:3" x14ac:dyDescent="0.25">
      <c r="A3342">
        <v>39</v>
      </c>
      <c r="B3342" t="str">
        <f>"3:38:13.726398"</f>
        <v>3:38:13.726398</v>
      </c>
      <c r="C3342">
        <v>-61</v>
      </c>
    </row>
    <row r="3343" spans="1:3" x14ac:dyDescent="0.25">
      <c r="A3343">
        <v>37</v>
      </c>
      <c r="B3343" t="str">
        <f>"3:38:14.997813"</f>
        <v>3:38:14.997813</v>
      </c>
      <c r="C3343">
        <v>-74</v>
      </c>
    </row>
    <row r="3344" spans="1:3" x14ac:dyDescent="0.25">
      <c r="A3344">
        <v>38</v>
      </c>
      <c r="B3344" t="str">
        <f>"3:38:14.998509"</f>
        <v>3:38:14.998509</v>
      </c>
      <c r="C3344">
        <v>-63</v>
      </c>
    </row>
    <row r="3345" spans="1:3" x14ac:dyDescent="0.25">
      <c r="A3345">
        <v>39</v>
      </c>
      <c r="B3345" t="str">
        <f>"3:38:14.999206"</f>
        <v>3:38:14.999206</v>
      </c>
      <c r="C3345">
        <v>-61</v>
      </c>
    </row>
    <row r="3346" spans="1:3" x14ac:dyDescent="0.25">
      <c r="A3346">
        <v>37</v>
      </c>
      <c r="B3346" t="str">
        <f>"3:38:16.200384"</f>
        <v>3:38:16.200384</v>
      </c>
      <c r="C3346">
        <v>-74</v>
      </c>
    </row>
    <row r="3347" spans="1:3" x14ac:dyDescent="0.25">
      <c r="A3347">
        <v>38</v>
      </c>
      <c r="B3347" t="str">
        <f>"3:38:16.201080"</f>
        <v>3:38:16.201080</v>
      </c>
      <c r="C3347">
        <v>-63</v>
      </c>
    </row>
    <row r="3348" spans="1:3" x14ac:dyDescent="0.25">
      <c r="A3348">
        <v>39</v>
      </c>
      <c r="B3348" t="str">
        <f>"3:38:16.201777"</f>
        <v>3:38:16.201777</v>
      </c>
      <c r="C3348">
        <v>-61</v>
      </c>
    </row>
    <row r="3349" spans="1:3" x14ac:dyDescent="0.25">
      <c r="A3349">
        <v>38</v>
      </c>
      <c r="B3349" t="str">
        <f>"3:38:17.475894"</f>
        <v>3:38:17.475894</v>
      </c>
      <c r="C3349">
        <v>-63</v>
      </c>
    </row>
    <row r="3350" spans="1:3" x14ac:dyDescent="0.25">
      <c r="A3350">
        <v>39</v>
      </c>
      <c r="B3350" t="str">
        <f>"3:38:17.476591"</f>
        <v>3:38:17.476591</v>
      </c>
      <c r="C3350">
        <v>-61</v>
      </c>
    </row>
    <row r="3351" spans="1:3" x14ac:dyDescent="0.25">
      <c r="A3351">
        <v>38</v>
      </c>
      <c r="B3351" t="str">
        <f>"3:38:18.692927"</f>
        <v>3:38:18.692927</v>
      </c>
      <c r="C3351">
        <v>-63</v>
      </c>
    </row>
    <row r="3352" spans="1:3" x14ac:dyDescent="0.25">
      <c r="A3352">
        <v>39</v>
      </c>
      <c r="B3352" t="str">
        <f>"3:38:18.693624"</f>
        <v>3:38:18.693624</v>
      </c>
      <c r="C3352">
        <v>-61</v>
      </c>
    </row>
    <row r="3353" spans="1:3" x14ac:dyDescent="0.25">
      <c r="A3353">
        <v>37</v>
      </c>
      <c r="B3353" t="str">
        <f>"3:38:19.942740"</f>
        <v>3:38:19.942740</v>
      </c>
      <c r="C3353">
        <v>-74</v>
      </c>
    </row>
    <row r="3354" spans="1:3" x14ac:dyDescent="0.25">
      <c r="A3354">
        <v>38</v>
      </c>
      <c r="B3354" t="str">
        <f>"3:38:19.943437"</f>
        <v>3:38:19.943437</v>
      </c>
      <c r="C3354">
        <v>-63</v>
      </c>
    </row>
    <row r="3355" spans="1:3" x14ac:dyDescent="0.25">
      <c r="A3355">
        <v>39</v>
      </c>
      <c r="B3355" t="str">
        <f>"3:38:19.944134"</f>
        <v>3:38:19.944134</v>
      </c>
      <c r="C3355">
        <v>-61</v>
      </c>
    </row>
    <row r="3356" spans="1:3" x14ac:dyDescent="0.25">
      <c r="A3356">
        <v>37</v>
      </c>
      <c r="B3356" t="str">
        <f>"3:38:21.178206"</f>
        <v>3:38:21.178206</v>
      </c>
      <c r="C3356">
        <v>-74</v>
      </c>
    </row>
    <row r="3357" spans="1:3" x14ac:dyDescent="0.25">
      <c r="A3357">
        <v>38</v>
      </c>
      <c r="B3357" t="str">
        <f>"3:38:21.178903"</f>
        <v>3:38:21.178903</v>
      </c>
      <c r="C3357">
        <v>-63</v>
      </c>
    </row>
    <row r="3358" spans="1:3" x14ac:dyDescent="0.25">
      <c r="A3358">
        <v>39</v>
      </c>
      <c r="B3358" t="str">
        <f>"3:38:21.179600"</f>
        <v>3:38:21.179600</v>
      </c>
      <c r="C3358">
        <v>-61</v>
      </c>
    </row>
    <row r="3359" spans="1:3" x14ac:dyDescent="0.25">
      <c r="A3359">
        <v>37</v>
      </c>
      <c r="B3359" t="str">
        <f>"3:38:22.435982"</f>
        <v>3:38:22.435982</v>
      </c>
      <c r="C3359">
        <v>-75</v>
      </c>
    </row>
    <row r="3360" spans="1:3" x14ac:dyDescent="0.25">
      <c r="A3360">
        <v>38</v>
      </c>
      <c r="B3360" t="str">
        <f>"3:38:22.436679"</f>
        <v>3:38:22.436679</v>
      </c>
      <c r="C3360">
        <v>-63</v>
      </c>
    </row>
    <row r="3361" spans="1:3" x14ac:dyDescent="0.25">
      <c r="A3361">
        <v>39</v>
      </c>
      <c r="B3361" t="str">
        <f>"3:38:22.437376"</f>
        <v>3:38:22.437376</v>
      </c>
      <c r="C3361">
        <v>-61</v>
      </c>
    </row>
    <row r="3362" spans="1:3" x14ac:dyDescent="0.25">
      <c r="A3362">
        <v>37</v>
      </c>
      <c r="B3362" t="str">
        <f>"3:38:23.673586"</f>
        <v>3:38:23.673586</v>
      </c>
      <c r="C3362">
        <v>-75</v>
      </c>
    </row>
    <row r="3363" spans="1:3" x14ac:dyDescent="0.25">
      <c r="A3363">
        <v>38</v>
      </c>
      <c r="B3363" t="str">
        <f>"3:38:23.674283"</f>
        <v>3:38:23.674283</v>
      </c>
      <c r="C3363">
        <v>-63</v>
      </c>
    </row>
    <row r="3364" spans="1:3" x14ac:dyDescent="0.25">
      <c r="A3364">
        <v>39</v>
      </c>
      <c r="B3364" t="str">
        <f>"3:38:23.674980"</f>
        <v>3:38:23.674980</v>
      </c>
      <c r="C3364">
        <v>-61</v>
      </c>
    </row>
    <row r="3365" spans="1:3" x14ac:dyDescent="0.25">
      <c r="A3365">
        <v>37</v>
      </c>
      <c r="B3365" t="str">
        <f>"3:38:24.923366"</f>
        <v>3:38:24.923366</v>
      </c>
      <c r="C3365">
        <v>-74</v>
      </c>
    </row>
    <row r="3366" spans="1:3" x14ac:dyDescent="0.25">
      <c r="A3366">
        <v>38</v>
      </c>
      <c r="B3366" t="str">
        <f>"3:38:24.924063"</f>
        <v>3:38:24.924063</v>
      </c>
      <c r="C3366">
        <v>-63</v>
      </c>
    </row>
    <row r="3367" spans="1:3" x14ac:dyDescent="0.25">
      <c r="A3367">
        <v>39</v>
      </c>
      <c r="B3367" t="str">
        <f>"3:38:24.924760"</f>
        <v>3:38:24.924760</v>
      </c>
      <c r="C3367">
        <v>-61</v>
      </c>
    </row>
    <row r="3368" spans="1:3" x14ac:dyDescent="0.25">
      <c r="A3368">
        <v>37</v>
      </c>
      <c r="B3368" t="str">
        <f>"3:38:27.410212"</f>
        <v>3:38:27.410212</v>
      </c>
      <c r="C3368">
        <v>-75</v>
      </c>
    </row>
    <row r="3369" spans="1:3" x14ac:dyDescent="0.25">
      <c r="A3369">
        <v>38</v>
      </c>
      <c r="B3369" t="str">
        <f>"3:38:27.410909"</f>
        <v>3:38:27.410909</v>
      </c>
      <c r="C3369">
        <v>-63</v>
      </c>
    </row>
    <row r="3370" spans="1:3" x14ac:dyDescent="0.25">
      <c r="A3370">
        <v>39</v>
      </c>
      <c r="B3370" t="str">
        <f>"3:38:27.411606"</f>
        <v>3:38:27.411606</v>
      </c>
      <c r="C3370">
        <v>-61</v>
      </c>
    </row>
    <row r="3371" spans="1:3" x14ac:dyDescent="0.25">
      <c r="A3371">
        <v>38</v>
      </c>
      <c r="B3371" t="str">
        <f>"3:38:28.662335"</f>
        <v>3:38:28.662335</v>
      </c>
      <c r="C3371">
        <v>-61</v>
      </c>
    </row>
    <row r="3372" spans="1:3" x14ac:dyDescent="0.25">
      <c r="A3372">
        <v>39</v>
      </c>
      <c r="B3372" t="str">
        <f>"3:38:28.663032"</f>
        <v>3:38:28.663032</v>
      </c>
      <c r="C3372">
        <v>-60</v>
      </c>
    </row>
    <row r="3373" spans="1:3" x14ac:dyDescent="0.25">
      <c r="A3373">
        <v>37</v>
      </c>
      <c r="B3373" t="str">
        <f>"3:38:29.906224"</f>
        <v>3:38:29.906224</v>
      </c>
      <c r="C3373">
        <v>-74</v>
      </c>
    </row>
    <row r="3374" spans="1:3" x14ac:dyDescent="0.25">
      <c r="A3374">
        <v>38</v>
      </c>
      <c r="B3374" t="str">
        <f>"3:38:29.906921"</f>
        <v>3:38:29.906921</v>
      </c>
      <c r="C3374">
        <v>-63</v>
      </c>
    </row>
    <row r="3375" spans="1:3" x14ac:dyDescent="0.25">
      <c r="A3375">
        <v>39</v>
      </c>
      <c r="B3375" t="str">
        <f>"3:38:29.907618"</f>
        <v>3:38:29.907618</v>
      </c>
      <c r="C3375">
        <v>-61</v>
      </c>
    </row>
    <row r="3376" spans="1:3" x14ac:dyDescent="0.25">
      <c r="A3376">
        <v>37</v>
      </c>
      <c r="B3376" t="str">
        <f>"3:38:31.155214"</f>
        <v>3:38:31.155214</v>
      </c>
      <c r="C3376">
        <v>-74</v>
      </c>
    </row>
    <row r="3377" spans="1:3" x14ac:dyDescent="0.25">
      <c r="A3377">
        <v>38</v>
      </c>
      <c r="B3377" t="str">
        <f>"3:38:31.155911"</f>
        <v>3:38:31.155911</v>
      </c>
      <c r="C3377">
        <v>-63</v>
      </c>
    </row>
    <row r="3378" spans="1:3" x14ac:dyDescent="0.25">
      <c r="A3378">
        <v>39</v>
      </c>
      <c r="B3378" t="str">
        <f>"3:38:31.156608"</f>
        <v>3:38:31.156608</v>
      </c>
      <c r="C3378">
        <v>-61</v>
      </c>
    </row>
    <row r="3379" spans="1:3" x14ac:dyDescent="0.25">
      <c r="A3379">
        <v>37</v>
      </c>
      <c r="B3379" t="str">
        <f>"3:38:32.393140"</f>
        <v>3:38:32.393140</v>
      </c>
      <c r="C3379">
        <v>-74</v>
      </c>
    </row>
    <row r="3380" spans="1:3" x14ac:dyDescent="0.25">
      <c r="A3380">
        <v>38</v>
      </c>
      <c r="B3380" t="str">
        <f>"3:38:32.393837"</f>
        <v>3:38:32.393837</v>
      </c>
      <c r="C3380">
        <v>-63</v>
      </c>
    </row>
    <row r="3381" spans="1:3" x14ac:dyDescent="0.25">
      <c r="A3381">
        <v>39</v>
      </c>
      <c r="B3381" t="str">
        <f>"3:38:32.394534"</f>
        <v>3:38:32.394534</v>
      </c>
      <c r="C3381">
        <v>-61</v>
      </c>
    </row>
    <row r="3382" spans="1:3" x14ac:dyDescent="0.25">
      <c r="A3382">
        <v>37</v>
      </c>
      <c r="B3382" t="str">
        <f>"3:38:33.647516"</f>
        <v>3:38:33.647516</v>
      </c>
      <c r="C3382">
        <v>-74</v>
      </c>
    </row>
    <row r="3383" spans="1:3" x14ac:dyDescent="0.25">
      <c r="A3383">
        <v>38</v>
      </c>
      <c r="B3383" t="str">
        <f>"3:38:33.648213"</f>
        <v>3:38:33.648213</v>
      </c>
      <c r="C3383">
        <v>-63</v>
      </c>
    </row>
    <row r="3384" spans="1:3" x14ac:dyDescent="0.25">
      <c r="A3384">
        <v>39</v>
      </c>
      <c r="B3384" t="str">
        <f>"3:38:33.648910"</f>
        <v>3:38:33.648910</v>
      </c>
      <c r="C3384">
        <v>-61</v>
      </c>
    </row>
    <row r="3385" spans="1:3" x14ac:dyDescent="0.25">
      <c r="A3385">
        <v>38</v>
      </c>
      <c r="B3385" t="str">
        <f>"3:38:34.918587"</f>
        <v>3:38:34.918587</v>
      </c>
      <c r="C3385">
        <v>-62</v>
      </c>
    </row>
    <row r="3386" spans="1:3" x14ac:dyDescent="0.25">
      <c r="A3386">
        <v>39</v>
      </c>
      <c r="B3386" t="str">
        <f>"3:38:34.919284"</f>
        <v>3:38:34.919284</v>
      </c>
      <c r="C3386">
        <v>-61</v>
      </c>
    </row>
    <row r="3387" spans="1:3" x14ac:dyDescent="0.25">
      <c r="A3387">
        <v>37</v>
      </c>
      <c r="B3387" t="str">
        <f>"3:38:36.140542"</f>
        <v>3:38:36.140542</v>
      </c>
      <c r="C3387">
        <v>-74</v>
      </c>
    </row>
    <row r="3388" spans="1:3" x14ac:dyDescent="0.25">
      <c r="A3388">
        <v>38</v>
      </c>
      <c r="B3388" t="str">
        <f>"3:38:36.141239"</f>
        <v>3:38:36.141239</v>
      </c>
      <c r="C3388">
        <v>-63</v>
      </c>
    </row>
    <row r="3389" spans="1:3" x14ac:dyDescent="0.25">
      <c r="A3389">
        <v>39</v>
      </c>
      <c r="B3389" t="str">
        <f>"3:38:36.141936"</f>
        <v>3:38:36.141936</v>
      </c>
      <c r="C3389">
        <v>-61</v>
      </c>
    </row>
    <row r="3390" spans="1:3" x14ac:dyDescent="0.25">
      <c r="A3390">
        <v>37</v>
      </c>
      <c r="B3390" t="str">
        <f>"3:38:37.386528"</f>
        <v>3:38:37.386528</v>
      </c>
      <c r="C3390">
        <v>-74</v>
      </c>
    </row>
    <row r="3391" spans="1:3" x14ac:dyDescent="0.25">
      <c r="A3391">
        <v>38</v>
      </c>
      <c r="B3391" t="str">
        <f>"3:38:37.387225"</f>
        <v>3:38:37.387225</v>
      </c>
      <c r="C3391">
        <v>-63</v>
      </c>
    </row>
    <row r="3392" spans="1:3" x14ac:dyDescent="0.25">
      <c r="A3392">
        <v>39</v>
      </c>
      <c r="B3392" t="str">
        <f>"3:38:37.387922"</f>
        <v>3:38:37.387922</v>
      </c>
      <c r="C3392">
        <v>-61</v>
      </c>
    </row>
    <row r="3393" spans="1:3" x14ac:dyDescent="0.25">
      <c r="A3393">
        <v>37</v>
      </c>
      <c r="B3393" t="str">
        <f>"3:38:38.632668"</f>
        <v>3:38:38.632668</v>
      </c>
      <c r="C3393">
        <v>-74</v>
      </c>
    </row>
    <row r="3394" spans="1:3" x14ac:dyDescent="0.25">
      <c r="A3394">
        <v>38</v>
      </c>
      <c r="B3394" t="str">
        <f>"3:38:38.633365"</f>
        <v>3:38:38.633365</v>
      </c>
      <c r="C3394">
        <v>-63</v>
      </c>
    </row>
    <row r="3395" spans="1:3" x14ac:dyDescent="0.25">
      <c r="A3395">
        <v>39</v>
      </c>
      <c r="B3395" t="str">
        <f>"3:38:38.634062"</f>
        <v>3:38:38.634062</v>
      </c>
      <c r="C3395">
        <v>-61</v>
      </c>
    </row>
    <row r="3396" spans="1:3" x14ac:dyDescent="0.25">
      <c r="A3396">
        <v>37</v>
      </c>
      <c r="B3396" t="str">
        <f>"3:38:39.878975"</f>
        <v>3:38:39.878975</v>
      </c>
      <c r="C3396">
        <v>-74</v>
      </c>
    </row>
    <row r="3397" spans="1:3" x14ac:dyDescent="0.25">
      <c r="A3397">
        <v>38</v>
      </c>
      <c r="B3397" t="str">
        <f>"3:38:39.879672"</f>
        <v>3:38:39.879672</v>
      </c>
      <c r="C3397">
        <v>-63</v>
      </c>
    </row>
    <row r="3398" spans="1:3" x14ac:dyDescent="0.25">
      <c r="A3398">
        <v>39</v>
      </c>
      <c r="B3398" t="str">
        <f>"3:38:39.880369"</f>
        <v>3:38:39.880369</v>
      </c>
      <c r="C3398">
        <v>-61</v>
      </c>
    </row>
    <row r="3399" spans="1:3" x14ac:dyDescent="0.25">
      <c r="A3399">
        <v>37</v>
      </c>
      <c r="B3399" t="str">
        <f>"3:38:42.377994"</f>
        <v>3:38:42.377994</v>
      </c>
      <c r="C3399">
        <v>-74</v>
      </c>
    </row>
    <row r="3400" spans="1:3" x14ac:dyDescent="0.25">
      <c r="A3400">
        <v>38</v>
      </c>
      <c r="B3400" t="str">
        <f>"3:38:42.378691"</f>
        <v>3:38:42.378691</v>
      </c>
      <c r="C3400">
        <v>-63</v>
      </c>
    </row>
    <row r="3401" spans="1:3" x14ac:dyDescent="0.25">
      <c r="A3401">
        <v>39</v>
      </c>
      <c r="B3401" t="str">
        <f>"3:38:42.379388"</f>
        <v>3:38:42.379388</v>
      </c>
      <c r="C3401">
        <v>-61</v>
      </c>
    </row>
    <row r="3402" spans="1:3" x14ac:dyDescent="0.25">
      <c r="A3402">
        <v>37</v>
      </c>
      <c r="B3402" t="str">
        <f>"3:38:43.623451"</f>
        <v>3:38:43.623451</v>
      </c>
      <c r="C3402">
        <v>-74</v>
      </c>
    </row>
    <row r="3403" spans="1:3" x14ac:dyDescent="0.25">
      <c r="A3403">
        <v>38</v>
      </c>
      <c r="B3403" t="str">
        <f>"3:38:43.624148"</f>
        <v>3:38:43.624148</v>
      </c>
      <c r="C3403">
        <v>-66</v>
      </c>
    </row>
    <row r="3404" spans="1:3" x14ac:dyDescent="0.25">
      <c r="A3404">
        <v>39</v>
      </c>
      <c r="B3404" t="str">
        <f>"3:38:43.624845"</f>
        <v>3:38:43.624845</v>
      </c>
      <c r="C3404">
        <v>-61</v>
      </c>
    </row>
    <row r="3405" spans="1:3" x14ac:dyDescent="0.25">
      <c r="A3405">
        <v>37</v>
      </c>
      <c r="B3405" t="str">
        <f>"3:38:44.864524"</f>
        <v>3:38:44.864524</v>
      </c>
      <c r="C3405">
        <v>-74</v>
      </c>
    </row>
    <row r="3406" spans="1:3" x14ac:dyDescent="0.25">
      <c r="A3406">
        <v>38</v>
      </c>
      <c r="B3406" t="str">
        <f>"3:38:44.865221"</f>
        <v>3:38:44.865221</v>
      </c>
      <c r="C3406">
        <v>-63</v>
      </c>
    </row>
    <row r="3407" spans="1:3" x14ac:dyDescent="0.25">
      <c r="A3407">
        <v>39</v>
      </c>
      <c r="B3407" t="str">
        <f>"3:38:44.865918"</f>
        <v>3:38:44.865918</v>
      </c>
      <c r="C3407">
        <v>-61</v>
      </c>
    </row>
    <row r="3408" spans="1:3" x14ac:dyDescent="0.25">
      <c r="A3408">
        <v>37</v>
      </c>
      <c r="B3408" t="str">
        <f>"3:38:46.106000"</f>
        <v>3:38:46.106000</v>
      </c>
      <c r="C3408">
        <v>-74</v>
      </c>
    </row>
    <row r="3409" spans="1:3" x14ac:dyDescent="0.25">
      <c r="A3409">
        <v>38</v>
      </c>
      <c r="B3409" t="str">
        <f>"3:38:46.106697"</f>
        <v>3:38:46.106697</v>
      </c>
      <c r="C3409">
        <v>-63</v>
      </c>
    </row>
    <row r="3410" spans="1:3" x14ac:dyDescent="0.25">
      <c r="A3410">
        <v>39</v>
      </c>
      <c r="B3410" t="str">
        <f>"3:38:46.107394"</f>
        <v>3:38:46.107394</v>
      </c>
      <c r="C3410">
        <v>-61</v>
      </c>
    </row>
    <row r="3411" spans="1:3" x14ac:dyDescent="0.25">
      <c r="A3411">
        <v>37</v>
      </c>
      <c r="B3411" t="str">
        <f>"3:38:47.363802"</f>
        <v>3:38:47.363802</v>
      </c>
      <c r="C3411">
        <v>-75</v>
      </c>
    </row>
    <row r="3412" spans="1:3" x14ac:dyDescent="0.25">
      <c r="A3412">
        <v>38</v>
      </c>
      <c r="B3412" t="str">
        <f>"3:38:47.364499"</f>
        <v>3:38:47.364499</v>
      </c>
      <c r="C3412">
        <v>-63</v>
      </c>
    </row>
    <row r="3413" spans="1:3" x14ac:dyDescent="0.25">
      <c r="A3413">
        <v>39</v>
      </c>
      <c r="B3413" t="str">
        <f>"3:38:47.365196"</f>
        <v>3:38:47.365196</v>
      </c>
      <c r="C3413">
        <v>-61</v>
      </c>
    </row>
    <row r="3414" spans="1:3" x14ac:dyDescent="0.25">
      <c r="A3414">
        <v>37</v>
      </c>
      <c r="B3414" t="str">
        <f>"3:38:48.603126"</f>
        <v>3:38:48.603126</v>
      </c>
      <c r="C3414">
        <v>-76</v>
      </c>
    </row>
    <row r="3415" spans="1:3" x14ac:dyDescent="0.25">
      <c r="A3415">
        <v>38</v>
      </c>
      <c r="B3415" t="str">
        <f>"3:38:48.603823"</f>
        <v>3:38:48.603823</v>
      </c>
      <c r="C3415">
        <v>-63</v>
      </c>
    </row>
    <row r="3416" spans="1:3" x14ac:dyDescent="0.25">
      <c r="A3416">
        <v>39</v>
      </c>
      <c r="B3416" t="str">
        <f>"3:38:48.604520"</f>
        <v>3:38:48.604520</v>
      </c>
      <c r="C3416">
        <v>-61</v>
      </c>
    </row>
    <row r="3417" spans="1:3" x14ac:dyDescent="0.25">
      <c r="A3417">
        <v>37</v>
      </c>
      <c r="B3417" t="str">
        <f>"3:38:49.850002"</f>
        <v>3:38:49.850002</v>
      </c>
      <c r="C3417">
        <v>-74</v>
      </c>
    </row>
    <row r="3418" spans="1:3" x14ac:dyDescent="0.25">
      <c r="A3418">
        <v>38</v>
      </c>
      <c r="B3418" t="str">
        <f>"3:38:49.850699"</f>
        <v>3:38:49.850699</v>
      </c>
      <c r="C3418">
        <v>-63</v>
      </c>
    </row>
    <row r="3419" spans="1:3" x14ac:dyDescent="0.25">
      <c r="A3419">
        <v>39</v>
      </c>
      <c r="B3419" t="str">
        <f>"3:38:49.851396"</f>
        <v>3:38:49.851396</v>
      </c>
      <c r="C3419">
        <v>-61</v>
      </c>
    </row>
    <row r="3420" spans="1:3" x14ac:dyDescent="0.25">
      <c r="A3420">
        <v>37</v>
      </c>
      <c r="B3420" t="str">
        <f>"3:38:51.129790"</f>
        <v>3:38:51.129790</v>
      </c>
      <c r="C3420">
        <v>-73</v>
      </c>
    </row>
    <row r="3421" spans="1:3" x14ac:dyDescent="0.25">
      <c r="A3421">
        <v>38</v>
      </c>
      <c r="B3421" t="str">
        <f>"3:38:51.130487"</f>
        <v>3:38:51.130487</v>
      </c>
      <c r="C3421">
        <v>-63</v>
      </c>
    </row>
    <row r="3422" spans="1:3" x14ac:dyDescent="0.25">
      <c r="A3422">
        <v>39</v>
      </c>
      <c r="B3422" t="str">
        <f>"3:38:51.131184"</f>
        <v>3:38:51.131184</v>
      </c>
      <c r="C3422">
        <v>-61</v>
      </c>
    </row>
    <row r="3423" spans="1:3" x14ac:dyDescent="0.25">
      <c r="A3423">
        <v>37</v>
      </c>
      <c r="B3423" t="str">
        <f>"3:38:52.336978"</f>
        <v>3:38:52.336978</v>
      </c>
      <c r="C3423">
        <v>-74</v>
      </c>
    </row>
    <row r="3424" spans="1:3" x14ac:dyDescent="0.25">
      <c r="A3424">
        <v>38</v>
      </c>
      <c r="B3424" t="str">
        <f>"3:38:52.337675"</f>
        <v>3:38:52.337675</v>
      </c>
      <c r="C3424">
        <v>-63</v>
      </c>
    </row>
    <row r="3425" spans="1:3" x14ac:dyDescent="0.25">
      <c r="A3425">
        <v>39</v>
      </c>
      <c r="B3425" t="str">
        <f>"3:38:52.338372"</f>
        <v>3:38:52.338372</v>
      </c>
      <c r="C3425">
        <v>-61</v>
      </c>
    </row>
    <row r="3426" spans="1:3" x14ac:dyDescent="0.25">
      <c r="A3426">
        <v>37</v>
      </c>
      <c r="B3426" t="str">
        <f>"3:38:53.581304"</f>
        <v>3:38:53.581304</v>
      </c>
      <c r="C3426">
        <v>-74</v>
      </c>
    </row>
    <row r="3427" spans="1:3" x14ac:dyDescent="0.25">
      <c r="A3427">
        <v>38</v>
      </c>
      <c r="B3427" t="str">
        <f>"3:38:53.582001"</f>
        <v>3:38:53.582001</v>
      </c>
      <c r="C3427">
        <v>-63</v>
      </c>
    </row>
    <row r="3428" spans="1:3" x14ac:dyDescent="0.25">
      <c r="A3428">
        <v>39</v>
      </c>
      <c r="B3428" t="str">
        <f>"3:38:53.582698"</f>
        <v>3:38:53.582698</v>
      </c>
      <c r="C3428">
        <v>-61</v>
      </c>
    </row>
    <row r="3429" spans="1:3" x14ac:dyDescent="0.25">
      <c r="A3429">
        <v>37</v>
      </c>
      <c r="B3429" t="str">
        <f>"3:38:54.836780"</f>
        <v>3:38:54.836780</v>
      </c>
      <c r="C3429">
        <v>-74</v>
      </c>
    </row>
    <row r="3430" spans="1:3" x14ac:dyDescent="0.25">
      <c r="A3430">
        <v>38</v>
      </c>
      <c r="B3430" t="str">
        <f>"3:38:54.837477"</f>
        <v>3:38:54.837477</v>
      </c>
      <c r="C3430">
        <v>-63</v>
      </c>
    </row>
    <row r="3431" spans="1:3" x14ac:dyDescent="0.25">
      <c r="A3431">
        <v>39</v>
      </c>
      <c r="B3431" t="str">
        <f>"3:38:54.838174"</f>
        <v>3:38:54.838174</v>
      </c>
      <c r="C3431">
        <v>-61</v>
      </c>
    </row>
    <row r="3432" spans="1:3" x14ac:dyDescent="0.25">
      <c r="A3432">
        <v>37</v>
      </c>
      <c r="B3432" t="str">
        <f>"3:38:56.075859"</f>
        <v>3:38:56.075859</v>
      </c>
      <c r="C3432">
        <v>-74</v>
      </c>
    </row>
    <row r="3433" spans="1:3" x14ac:dyDescent="0.25">
      <c r="A3433">
        <v>38</v>
      </c>
      <c r="B3433" t="str">
        <f>"3:38:56.076556"</f>
        <v>3:38:56.076556</v>
      </c>
      <c r="C3433">
        <v>-63</v>
      </c>
    </row>
    <row r="3434" spans="1:3" x14ac:dyDescent="0.25">
      <c r="A3434">
        <v>39</v>
      </c>
      <c r="B3434" t="str">
        <f>"3:38:56.077254"</f>
        <v>3:38:56.077254</v>
      </c>
      <c r="C3434">
        <v>-61</v>
      </c>
    </row>
    <row r="3435" spans="1:3" x14ac:dyDescent="0.25">
      <c r="A3435">
        <v>37</v>
      </c>
      <c r="B3435" t="str">
        <f>"3:38:57.325787"</f>
        <v>3:38:57.325787</v>
      </c>
      <c r="C3435">
        <v>-74</v>
      </c>
    </row>
    <row r="3436" spans="1:3" x14ac:dyDescent="0.25">
      <c r="A3436">
        <v>38</v>
      </c>
      <c r="B3436" t="str">
        <f>"3:38:57.326484"</f>
        <v>3:38:57.326484</v>
      </c>
      <c r="C3436">
        <v>-63</v>
      </c>
    </row>
    <row r="3437" spans="1:3" x14ac:dyDescent="0.25">
      <c r="A3437">
        <v>39</v>
      </c>
      <c r="B3437" t="str">
        <f>"3:38:57.327181"</f>
        <v>3:38:57.327181</v>
      </c>
      <c r="C3437">
        <v>-61</v>
      </c>
    </row>
    <row r="3438" spans="1:3" x14ac:dyDescent="0.25">
      <c r="A3438">
        <v>37</v>
      </c>
      <c r="B3438" t="str">
        <f>"3:38:58.578253"</f>
        <v>3:38:58.578253</v>
      </c>
      <c r="C3438">
        <v>-74</v>
      </c>
    </row>
    <row r="3439" spans="1:3" x14ac:dyDescent="0.25">
      <c r="A3439">
        <v>38</v>
      </c>
      <c r="B3439" t="str">
        <f>"3:38:58.578950"</f>
        <v>3:38:58.578950</v>
      </c>
      <c r="C3439">
        <v>-63</v>
      </c>
    </row>
    <row r="3440" spans="1:3" x14ac:dyDescent="0.25">
      <c r="A3440">
        <v>39</v>
      </c>
      <c r="B3440" t="str">
        <f>"3:38:58.579647"</f>
        <v>3:38:58.579647</v>
      </c>
      <c r="C3440">
        <v>-61</v>
      </c>
    </row>
    <row r="3441" spans="1:3" x14ac:dyDescent="0.25">
      <c r="A3441">
        <v>37</v>
      </c>
      <c r="B3441" t="str">
        <f>"3:38:59.819881"</f>
        <v>3:38:59.819881</v>
      </c>
      <c r="C3441">
        <v>-74</v>
      </c>
    </row>
    <row r="3442" spans="1:3" x14ac:dyDescent="0.25">
      <c r="A3442">
        <v>38</v>
      </c>
      <c r="B3442" t="str">
        <f>"3:38:59.820578"</f>
        <v>3:38:59.820578</v>
      </c>
      <c r="C3442">
        <v>-63</v>
      </c>
    </row>
    <row r="3443" spans="1:3" x14ac:dyDescent="0.25">
      <c r="A3443">
        <v>39</v>
      </c>
      <c r="B3443" t="str">
        <f>"3:38:59.821275"</f>
        <v>3:38:59.821275</v>
      </c>
      <c r="C3443">
        <v>-61</v>
      </c>
    </row>
    <row r="3444" spans="1:3" x14ac:dyDescent="0.25">
      <c r="A3444">
        <v>37</v>
      </c>
      <c r="B3444" t="str">
        <f>"3:39:01.087881"</f>
        <v>3:39:01.087881</v>
      </c>
      <c r="C3444">
        <v>-74</v>
      </c>
    </row>
    <row r="3445" spans="1:3" x14ac:dyDescent="0.25">
      <c r="A3445">
        <v>38</v>
      </c>
      <c r="B3445" t="str">
        <f>"3:39:01.088578"</f>
        <v>3:39:01.088578</v>
      </c>
      <c r="C3445">
        <v>-63</v>
      </c>
    </row>
    <row r="3446" spans="1:3" x14ac:dyDescent="0.25">
      <c r="A3446">
        <v>39</v>
      </c>
      <c r="B3446" t="str">
        <f>"3:39:01.089275"</f>
        <v>3:39:01.089275</v>
      </c>
      <c r="C3446">
        <v>-61</v>
      </c>
    </row>
    <row r="3447" spans="1:3" x14ac:dyDescent="0.25">
      <c r="A3447">
        <v>37</v>
      </c>
      <c r="B3447" t="str">
        <f>"3:39:02.319057"</f>
        <v>3:39:02.319057</v>
      </c>
      <c r="C3447">
        <v>-74</v>
      </c>
    </row>
    <row r="3448" spans="1:3" x14ac:dyDescent="0.25">
      <c r="A3448">
        <v>38</v>
      </c>
      <c r="B3448" t="str">
        <f>"3:39:02.319754"</f>
        <v>3:39:02.319754</v>
      </c>
      <c r="C3448">
        <v>-63</v>
      </c>
    </row>
    <row r="3449" spans="1:3" x14ac:dyDescent="0.25">
      <c r="A3449">
        <v>39</v>
      </c>
      <c r="B3449" t="str">
        <f>"3:39:02.320451"</f>
        <v>3:39:02.320451</v>
      </c>
      <c r="C3449">
        <v>-61</v>
      </c>
    </row>
    <row r="3450" spans="1:3" x14ac:dyDescent="0.25">
      <c r="A3450">
        <v>37</v>
      </c>
      <c r="B3450" t="str">
        <f>"3:39:03.572837"</f>
        <v>3:39:03.572837</v>
      </c>
      <c r="C3450">
        <v>-74</v>
      </c>
    </row>
    <row r="3451" spans="1:3" x14ac:dyDescent="0.25">
      <c r="A3451">
        <v>38</v>
      </c>
      <c r="B3451" t="str">
        <f>"3:39:03.573534"</f>
        <v>3:39:03.573534</v>
      </c>
      <c r="C3451">
        <v>-63</v>
      </c>
    </row>
    <row r="3452" spans="1:3" x14ac:dyDescent="0.25">
      <c r="A3452">
        <v>39</v>
      </c>
      <c r="B3452" t="str">
        <f>"3:39:03.574231"</f>
        <v>3:39:03.574231</v>
      </c>
      <c r="C3452">
        <v>-61</v>
      </c>
    </row>
    <row r="3453" spans="1:3" x14ac:dyDescent="0.25">
      <c r="A3453">
        <v>37</v>
      </c>
      <c r="B3453" t="str">
        <f>"3:39:04.844483"</f>
        <v>3:39:04.844483</v>
      </c>
      <c r="C3453">
        <v>-75</v>
      </c>
    </row>
    <row r="3454" spans="1:3" x14ac:dyDescent="0.25">
      <c r="A3454">
        <v>38</v>
      </c>
      <c r="B3454" t="str">
        <f>"3:39:04.845180"</f>
        <v>3:39:04.845180</v>
      </c>
      <c r="C3454">
        <v>-63</v>
      </c>
    </row>
    <row r="3455" spans="1:3" x14ac:dyDescent="0.25">
      <c r="A3455">
        <v>39</v>
      </c>
      <c r="B3455" t="str">
        <f>"3:39:04.845877"</f>
        <v>3:39:04.845877</v>
      </c>
      <c r="C3455">
        <v>-61</v>
      </c>
    </row>
    <row r="3456" spans="1:3" x14ac:dyDescent="0.25">
      <c r="A3456">
        <v>37</v>
      </c>
      <c r="B3456" t="str">
        <f>"3:39:07.293015"</f>
        <v>3:39:07.293015</v>
      </c>
      <c r="C3456">
        <v>-74</v>
      </c>
    </row>
    <row r="3457" spans="1:3" x14ac:dyDescent="0.25">
      <c r="A3457">
        <v>38</v>
      </c>
      <c r="B3457" t="str">
        <f>"3:39:07.293712"</f>
        <v>3:39:07.293712</v>
      </c>
      <c r="C3457">
        <v>-63</v>
      </c>
    </row>
    <row r="3458" spans="1:3" x14ac:dyDescent="0.25">
      <c r="A3458">
        <v>39</v>
      </c>
      <c r="B3458" t="str">
        <f>"3:39:07.294409"</f>
        <v>3:39:07.294409</v>
      </c>
      <c r="C3458">
        <v>-61</v>
      </c>
    </row>
    <row r="3459" spans="1:3" x14ac:dyDescent="0.25">
      <c r="A3459">
        <v>37</v>
      </c>
      <c r="B3459" t="str">
        <f>"3:39:08.532009"</f>
        <v>3:39:08.532009</v>
      </c>
      <c r="C3459">
        <v>-74</v>
      </c>
    </row>
    <row r="3460" spans="1:3" x14ac:dyDescent="0.25">
      <c r="A3460">
        <v>38</v>
      </c>
      <c r="B3460" t="str">
        <f>"3:39:08.532706"</f>
        <v>3:39:08.532706</v>
      </c>
      <c r="C3460">
        <v>-64</v>
      </c>
    </row>
    <row r="3461" spans="1:3" x14ac:dyDescent="0.25">
      <c r="A3461">
        <v>39</v>
      </c>
      <c r="B3461" t="str">
        <f>"3:39:08.533403"</f>
        <v>3:39:08.533403</v>
      </c>
      <c r="C3461">
        <v>-61</v>
      </c>
    </row>
    <row r="3462" spans="1:3" x14ac:dyDescent="0.25">
      <c r="A3462">
        <v>37</v>
      </c>
      <c r="B3462" t="str">
        <f>"3:39:09.780085"</f>
        <v>3:39:09.780085</v>
      </c>
      <c r="C3462">
        <v>-75</v>
      </c>
    </row>
    <row r="3463" spans="1:3" x14ac:dyDescent="0.25">
      <c r="A3463">
        <v>38</v>
      </c>
      <c r="B3463" t="str">
        <f>"3:39:09.780782"</f>
        <v>3:39:09.780782</v>
      </c>
      <c r="C3463">
        <v>-63</v>
      </c>
    </row>
    <row r="3464" spans="1:3" x14ac:dyDescent="0.25">
      <c r="A3464">
        <v>39</v>
      </c>
      <c r="B3464" t="str">
        <f>"3:39:09.781479"</f>
        <v>3:39:09.781479</v>
      </c>
      <c r="C3464">
        <v>-61</v>
      </c>
    </row>
    <row r="3465" spans="1:3" x14ac:dyDescent="0.25">
      <c r="A3465">
        <v>37</v>
      </c>
      <c r="B3465" t="str">
        <f>"3:39:11.031055"</f>
        <v>3:39:11.031055</v>
      </c>
      <c r="C3465">
        <v>-74</v>
      </c>
    </row>
    <row r="3466" spans="1:3" x14ac:dyDescent="0.25">
      <c r="A3466">
        <v>38</v>
      </c>
      <c r="B3466" t="str">
        <f>"3:39:11.031752"</f>
        <v>3:39:11.031752</v>
      </c>
      <c r="C3466">
        <v>-63</v>
      </c>
    </row>
    <row r="3467" spans="1:3" x14ac:dyDescent="0.25">
      <c r="A3467">
        <v>39</v>
      </c>
      <c r="B3467" t="str">
        <f>"3:39:11.032449"</f>
        <v>3:39:11.032449</v>
      </c>
      <c r="C3467">
        <v>-61</v>
      </c>
    </row>
    <row r="3468" spans="1:3" x14ac:dyDescent="0.25">
      <c r="A3468">
        <v>37</v>
      </c>
      <c r="B3468" t="str">
        <f>"3:39:12.313711"</f>
        <v>3:39:12.313711</v>
      </c>
      <c r="C3468">
        <v>-74</v>
      </c>
    </row>
    <row r="3469" spans="1:3" x14ac:dyDescent="0.25">
      <c r="A3469">
        <v>38</v>
      </c>
      <c r="B3469" t="str">
        <f>"3:39:12.314408"</f>
        <v>3:39:12.314408</v>
      </c>
      <c r="C3469">
        <v>-63</v>
      </c>
    </row>
    <row r="3470" spans="1:3" x14ac:dyDescent="0.25">
      <c r="A3470">
        <v>39</v>
      </c>
      <c r="B3470" t="str">
        <f>"3:39:12.315105"</f>
        <v>3:39:12.315105</v>
      </c>
      <c r="C3470">
        <v>-61</v>
      </c>
    </row>
    <row r="3471" spans="1:3" x14ac:dyDescent="0.25">
      <c r="A3471">
        <v>37</v>
      </c>
      <c r="B3471" t="str">
        <f>"3:39:13.527302"</f>
        <v>3:39:13.527302</v>
      </c>
      <c r="C3471">
        <v>-75</v>
      </c>
    </row>
    <row r="3472" spans="1:3" x14ac:dyDescent="0.25">
      <c r="A3472">
        <v>38</v>
      </c>
      <c r="B3472" t="str">
        <f>"3:39:13.527999"</f>
        <v>3:39:13.527999</v>
      </c>
      <c r="C3472">
        <v>-63</v>
      </c>
    </row>
    <row r="3473" spans="1:3" x14ac:dyDescent="0.25">
      <c r="A3473">
        <v>39</v>
      </c>
      <c r="B3473" t="str">
        <f>"3:39:13.528696"</f>
        <v>3:39:13.528696</v>
      </c>
      <c r="C3473">
        <v>-61</v>
      </c>
    </row>
    <row r="3474" spans="1:3" x14ac:dyDescent="0.25">
      <c r="A3474">
        <v>37</v>
      </c>
      <c r="B3474" t="str">
        <f>"3:39:14.777082"</f>
        <v>3:39:14.777082</v>
      </c>
      <c r="C3474">
        <v>-74</v>
      </c>
    </row>
    <row r="3475" spans="1:3" x14ac:dyDescent="0.25">
      <c r="A3475">
        <v>38</v>
      </c>
      <c r="B3475" t="str">
        <f>"3:39:14.777778"</f>
        <v>3:39:14.777778</v>
      </c>
      <c r="C3475">
        <v>-63</v>
      </c>
    </row>
    <row r="3476" spans="1:3" x14ac:dyDescent="0.25">
      <c r="A3476">
        <v>39</v>
      </c>
      <c r="B3476" t="str">
        <f>"3:39:14.778475"</f>
        <v>3:39:14.778475</v>
      </c>
      <c r="C3476">
        <v>-61</v>
      </c>
    </row>
    <row r="3477" spans="1:3" x14ac:dyDescent="0.25">
      <c r="A3477">
        <v>37</v>
      </c>
      <c r="B3477" t="str">
        <f>"3:39:16.023915"</f>
        <v>3:39:16.023915</v>
      </c>
      <c r="C3477">
        <v>-74</v>
      </c>
    </row>
    <row r="3478" spans="1:3" x14ac:dyDescent="0.25">
      <c r="A3478">
        <v>38</v>
      </c>
      <c r="B3478" t="str">
        <f>"3:39:16.024612"</f>
        <v>3:39:16.024612</v>
      </c>
      <c r="C3478">
        <v>-63</v>
      </c>
    </row>
    <row r="3479" spans="1:3" x14ac:dyDescent="0.25">
      <c r="A3479">
        <v>39</v>
      </c>
      <c r="B3479" t="str">
        <f>"3:39:16.025309"</f>
        <v>3:39:16.025309</v>
      </c>
      <c r="C3479">
        <v>-61</v>
      </c>
    </row>
    <row r="3480" spans="1:3" x14ac:dyDescent="0.25">
      <c r="A3480">
        <v>37</v>
      </c>
      <c r="B3480" t="str">
        <f>"3:39:17.279329"</f>
        <v>3:39:17.279329</v>
      </c>
      <c r="C3480">
        <v>-75</v>
      </c>
    </row>
    <row r="3481" spans="1:3" x14ac:dyDescent="0.25">
      <c r="A3481">
        <v>38</v>
      </c>
      <c r="B3481" t="str">
        <f>"3:39:17.280026"</f>
        <v>3:39:17.280026</v>
      </c>
      <c r="C3481">
        <v>-63</v>
      </c>
    </row>
    <row r="3482" spans="1:3" x14ac:dyDescent="0.25">
      <c r="A3482">
        <v>39</v>
      </c>
      <c r="B3482" t="str">
        <f>"3:39:17.280723"</f>
        <v>3:39:17.280723</v>
      </c>
      <c r="C3482">
        <v>-61</v>
      </c>
    </row>
    <row r="3483" spans="1:3" x14ac:dyDescent="0.25">
      <c r="A3483">
        <v>37</v>
      </c>
      <c r="B3483" t="str">
        <f>"3:39:18.513641"</f>
        <v>3:39:18.513641</v>
      </c>
      <c r="C3483">
        <v>-74</v>
      </c>
    </row>
    <row r="3484" spans="1:3" x14ac:dyDescent="0.25">
      <c r="A3484">
        <v>38</v>
      </c>
      <c r="B3484" t="str">
        <f>"3:39:18.514338"</f>
        <v>3:39:18.514338</v>
      </c>
      <c r="C3484">
        <v>-63</v>
      </c>
    </row>
    <row r="3485" spans="1:3" x14ac:dyDescent="0.25">
      <c r="A3485">
        <v>39</v>
      </c>
      <c r="B3485" t="str">
        <f>"3:39:18.515035"</f>
        <v>3:39:18.515035</v>
      </c>
      <c r="C3485">
        <v>-61</v>
      </c>
    </row>
    <row r="3486" spans="1:3" x14ac:dyDescent="0.25">
      <c r="A3486">
        <v>37</v>
      </c>
      <c r="B3486" t="str">
        <f>"3:39:19.747088"</f>
        <v>3:39:19.747088</v>
      </c>
      <c r="C3486">
        <v>-74</v>
      </c>
    </row>
    <row r="3487" spans="1:3" x14ac:dyDescent="0.25">
      <c r="A3487">
        <v>38</v>
      </c>
      <c r="B3487" t="str">
        <f>"3:39:19.747785"</f>
        <v>3:39:19.747785</v>
      </c>
      <c r="C3487">
        <v>-63</v>
      </c>
    </row>
    <row r="3488" spans="1:3" x14ac:dyDescent="0.25">
      <c r="A3488">
        <v>39</v>
      </c>
      <c r="B3488" t="str">
        <f>"3:39:19.748482"</f>
        <v>3:39:19.748482</v>
      </c>
      <c r="C3488">
        <v>-61</v>
      </c>
    </row>
    <row r="3489" spans="1:3" x14ac:dyDescent="0.25">
      <c r="A3489">
        <v>37</v>
      </c>
      <c r="B3489" t="str">
        <f>"3:39:20.993717"</f>
        <v>3:39:20.993717</v>
      </c>
      <c r="C3489">
        <v>-75</v>
      </c>
    </row>
    <row r="3490" spans="1:3" x14ac:dyDescent="0.25">
      <c r="A3490">
        <v>38</v>
      </c>
      <c r="B3490" t="str">
        <f>"3:39:20.994414"</f>
        <v>3:39:20.994414</v>
      </c>
      <c r="C3490">
        <v>-63</v>
      </c>
    </row>
    <row r="3491" spans="1:3" x14ac:dyDescent="0.25">
      <c r="A3491">
        <v>39</v>
      </c>
      <c r="B3491" t="str">
        <f>"3:39:20.995111"</f>
        <v>3:39:20.995111</v>
      </c>
      <c r="C3491">
        <v>-61</v>
      </c>
    </row>
    <row r="3492" spans="1:3" x14ac:dyDescent="0.25">
      <c r="A3492">
        <v>37</v>
      </c>
      <c r="B3492" t="str">
        <f>"3:39:22.249643"</f>
        <v>3:39:22.249643</v>
      </c>
      <c r="C3492">
        <v>-74</v>
      </c>
    </row>
    <row r="3493" spans="1:3" x14ac:dyDescent="0.25">
      <c r="A3493">
        <v>38</v>
      </c>
      <c r="B3493" t="str">
        <f>"3:39:22.250340"</f>
        <v>3:39:22.250340</v>
      </c>
      <c r="C3493">
        <v>-63</v>
      </c>
    </row>
    <row r="3494" spans="1:3" x14ac:dyDescent="0.25">
      <c r="A3494">
        <v>39</v>
      </c>
      <c r="B3494" t="str">
        <f>"3:39:22.251037"</f>
        <v>3:39:22.251037</v>
      </c>
      <c r="C3494">
        <v>-61</v>
      </c>
    </row>
    <row r="3495" spans="1:3" x14ac:dyDescent="0.25">
      <c r="A3495">
        <v>37</v>
      </c>
      <c r="B3495" t="str">
        <f>"3:39:23.503430"</f>
        <v>3:39:23.503430</v>
      </c>
      <c r="C3495">
        <v>-74</v>
      </c>
    </row>
    <row r="3496" spans="1:3" x14ac:dyDescent="0.25">
      <c r="A3496">
        <v>38</v>
      </c>
      <c r="B3496" t="str">
        <f>"3:39:23.504127"</f>
        <v>3:39:23.504127</v>
      </c>
      <c r="C3496">
        <v>-63</v>
      </c>
    </row>
    <row r="3497" spans="1:3" x14ac:dyDescent="0.25">
      <c r="A3497">
        <v>39</v>
      </c>
      <c r="B3497" t="str">
        <f>"3:39:23.504824"</f>
        <v>3:39:23.504824</v>
      </c>
      <c r="C3497">
        <v>-61</v>
      </c>
    </row>
    <row r="3498" spans="1:3" x14ac:dyDescent="0.25">
      <c r="A3498">
        <v>37</v>
      </c>
      <c r="B3498" t="str">
        <f>"3:39:24.755469"</f>
        <v>3:39:24.755469</v>
      </c>
      <c r="C3498">
        <v>-74</v>
      </c>
    </row>
    <row r="3499" spans="1:3" x14ac:dyDescent="0.25">
      <c r="A3499">
        <v>38</v>
      </c>
      <c r="B3499" t="str">
        <f>"3:39:24.756166"</f>
        <v>3:39:24.756166</v>
      </c>
      <c r="C3499">
        <v>-63</v>
      </c>
    </row>
    <row r="3500" spans="1:3" x14ac:dyDescent="0.25">
      <c r="A3500">
        <v>39</v>
      </c>
      <c r="B3500" t="str">
        <f>"3:39:24.756863"</f>
        <v>3:39:24.756863</v>
      </c>
      <c r="C3500">
        <v>-61</v>
      </c>
    </row>
    <row r="3501" spans="1:3" x14ac:dyDescent="0.25">
      <c r="A3501">
        <v>37</v>
      </c>
      <c r="B3501" t="str">
        <f>"3:39:25.983969"</f>
        <v>3:39:25.983969</v>
      </c>
      <c r="C3501">
        <v>-73</v>
      </c>
    </row>
    <row r="3502" spans="1:3" x14ac:dyDescent="0.25">
      <c r="A3502">
        <v>38</v>
      </c>
      <c r="B3502" t="str">
        <f>"3:39:25.984666"</f>
        <v>3:39:25.984666</v>
      </c>
      <c r="C3502">
        <v>-63</v>
      </c>
    </row>
    <row r="3503" spans="1:3" x14ac:dyDescent="0.25">
      <c r="A3503">
        <v>39</v>
      </c>
      <c r="B3503" t="str">
        <f>"3:39:25.985363"</f>
        <v>3:39:25.985363</v>
      </c>
      <c r="C3503">
        <v>-61</v>
      </c>
    </row>
    <row r="3504" spans="1:3" x14ac:dyDescent="0.25">
      <c r="A3504">
        <v>37</v>
      </c>
      <c r="B3504" t="str">
        <f>"3:39:27.221241"</f>
        <v>3:39:27.221241</v>
      </c>
      <c r="C3504">
        <v>-74</v>
      </c>
    </row>
    <row r="3505" spans="1:3" x14ac:dyDescent="0.25">
      <c r="A3505">
        <v>38</v>
      </c>
      <c r="B3505" t="str">
        <f>"3:39:27.221938"</f>
        <v>3:39:27.221938</v>
      </c>
      <c r="C3505">
        <v>-63</v>
      </c>
    </row>
    <row r="3506" spans="1:3" x14ac:dyDescent="0.25">
      <c r="A3506">
        <v>39</v>
      </c>
      <c r="B3506" t="str">
        <f>"3:39:27.222635"</f>
        <v>3:39:27.222635</v>
      </c>
      <c r="C3506">
        <v>-61</v>
      </c>
    </row>
    <row r="3507" spans="1:3" x14ac:dyDescent="0.25">
      <c r="A3507">
        <v>37</v>
      </c>
      <c r="B3507" t="str">
        <f>"3:39:28.463195"</f>
        <v>3:39:28.463195</v>
      </c>
      <c r="C3507">
        <v>-74</v>
      </c>
    </row>
    <row r="3508" spans="1:3" x14ac:dyDescent="0.25">
      <c r="A3508">
        <v>38</v>
      </c>
      <c r="B3508" t="str">
        <f>"3:39:28.463891"</f>
        <v>3:39:28.463891</v>
      </c>
      <c r="C3508">
        <v>-63</v>
      </c>
    </row>
    <row r="3509" spans="1:3" x14ac:dyDescent="0.25">
      <c r="A3509">
        <v>39</v>
      </c>
      <c r="B3509" t="str">
        <f>"3:39:28.464589"</f>
        <v>3:39:28.464589</v>
      </c>
      <c r="C3509">
        <v>-61</v>
      </c>
    </row>
    <row r="3510" spans="1:3" x14ac:dyDescent="0.25">
      <c r="A3510">
        <v>37</v>
      </c>
      <c r="B3510" t="str">
        <f>"3:39:29.748554"</f>
        <v>3:39:29.748554</v>
      </c>
      <c r="C3510">
        <v>-74</v>
      </c>
    </row>
    <row r="3511" spans="1:3" x14ac:dyDescent="0.25">
      <c r="A3511">
        <v>38</v>
      </c>
      <c r="B3511" t="str">
        <f>"3:39:29.749251"</f>
        <v>3:39:29.749251</v>
      </c>
      <c r="C3511">
        <v>-63</v>
      </c>
    </row>
    <row r="3512" spans="1:3" x14ac:dyDescent="0.25">
      <c r="A3512">
        <v>39</v>
      </c>
      <c r="B3512" t="str">
        <f>"3:39:29.749948"</f>
        <v>3:39:29.749948</v>
      </c>
      <c r="C3512">
        <v>-61</v>
      </c>
    </row>
    <row r="3513" spans="1:3" x14ac:dyDescent="0.25">
      <c r="A3513">
        <v>37</v>
      </c>
      <c r="B3513" t="str">
        <f>"3:39:30.959670"</f>
        <v>3:39:30.959670</v>
      </c>
      <c r="C3513">
        <v>-74</v>
      </c>
    </row>
    <row r="3514" spans="1:3" x14ac:dyDescent="0.25">
      <c r="A3514">
        <v>38</v>
      </c>
      <c r="B3514" t="str">
        <f>"3:39:30.960367"</f>
        <v>3:39:30.960367</v>
      </c>
      <c r="C3514">
        <v>-63</v>
      </c>
    </row>
    <row r="3515" spans="1:3" x14ac:dyDescent="0.25">
      <c r="A3515">
        <v>39</v>
      </c>
      <c r="B3515" t="str">
        <f>"3:39:30.961064"</f>
        <v>3:39:30.961064</v>
      </c>
      <c r="C3515">
        <v>-61</v>
      </c>
    </row>
    <row r="3516" spans="1:3" x14ac:dyDescent="0.25">
      <c r="A3516">
        <v>37</v>
      </c>
      <c r="B3516" t="str">
        <f>"3:39:32.226436"</f>
        <v>3:39:32.226436</v>
      </c>
      <c r="C3516">
        <v>-74</v>
      </c>
    </row>
    <row r="3517" spans="1:3" x14ac:dyDescent="0.25">
      <c r="A3517">
        <v>39</v>
      </c>
      <c r="B3517" t="str">
        <f>"3:39:32.227830"</f>
        <v>3:39:32.227830</v>
      </c>
      <c r="C3517">
        <v>-61</v>
      </c>
    </row>
    <row r="3518" spans="1:3" x14ac:dyDescent="0.25">
      <c r="A3518">
        <v>38</v>
      </c>
      <c r="B3518" t="str">
        <f>"3:39:33.457543"</f>
        <v>3:39:33.457543</v>
      </c>
      <c r="C3518">
        <v>-63</v>
      </c>
    </row>
    <row r="3519" spans="1:3" x14ac:dyDescent="0.25">
      <c r="A3519">
        <v>39</v>
      </c>
      <c r="B3519" t="str">
        <f>"3:39:33.458240"</f>
        <v>3:39:33.458240</v>
      </c>
      <c r="C3519">
        <v>-61</v>
      </c>
    </row>
    <row r="3520" spans="1:3" x14ac:dyDescent="0.25">
      <c r="A3520">
        <v>38</v>
      </c>
      <c r="B3520" t="str">
        <f>"3:39:34.708101"</f>
        <v>3:39:34.708101</v>
      </c>
      <c r="C3520">
        <v>-63</v>
      </c>
    </row>
    <row r="3521" spans="1:3" x14ac:dyDescent="0.25">
      <c r="A3521">
        <v>39</v>
      </c>
      <c r="B3521" t="str">
        <f>"3:39:34.708798"</f>
        <v>3:39:34.708798</v>
      </c>
      <c r="C3521">
        <v>-60</v>
      </c>
    </row>
    <row r="3522" spans="1:3" x14ac:dyDescent="0.25">
      <c r="A3522">
        <v>37</v>
      </c>
      <c r="B3522" t="str">
        <f>"3:39:35.941672"</f>
        <v>3:39:35.941672</v>
      </c>
      <c r="C3522">
        <v>-74</v>
      </c>
    </row>
    <row r="3523" spans="1:3" x14ac:dyDescent="0.25">
      <c r="A3523">
        <v>38</v>
      </c>
      <c r="B3523" t="str">
        <f>"3:39:35.942369"</f>
        <v>3:39:35.942369</v>
      </c>
      <c r="C3523">
        <v>-63</v>
      </c>
    </row>
    <row r="3524" spans="1:3" x14ac:dyDescent="0.25">
      <c r="A3524">
        <v>39</v>
      </c>
      <c r="B3524" t="str">
        <f>"3:39:35.943066"</f>
        <v>3:39:35.943066</v>
      </c>
      <c r="C3524">
        <v>-61</v>
      </c>
    </row>
    <row r="3525" spans="1:3" x14ac:dyDescent="0.25">
      <c r="A3525">
        <v>37</v>
      </c>
      <c r="B3525" t="str">
        <f>"3:39:37.191139"</f>
        <v>3:39:37.191139</v>
      </c>
      <c r="C3525">
        <v>-75</v>
      </c>
    </row>
    <row r="3526" spans="1:3" x14ac:dyDescent="0.25">
      <c r="A3526">
        <v>38</v>
      </c>
      <c r="B3526" t="str">
        <f>"3:39:37.191836"</f>
        <v>3:39:37.191836</v>
      </c>
      <c r="C3526">
        <v>-64</v>
      </c>
    </row>
    <row r="3527" spans="1:3" x14ac:dyDescent="0.25">
      <c r="A3527">
        <v>39</v>
      </c>
      <c r="B3527" t="str">
        <f>"3:39:37.192533"</f>
        <v>3:39:37.192533</v>
      </c>
      <c r="C3527">
        <v>-61</v>
      </c>
    </row>
    <row r="3528" spans="1:3" x14ac:dyDescent="0.25">
      <c r="A3528">
        <v>37</v>
      </c>
      <c r="B3528" t="str">
        <f>"3:39:38.425690"</f>
        <v>3:39:38.425690</v>
      </c>
      <c r="C3528">
        <v>-74</v>
      </c>
    </row>
    <row r="3529" spans="1:3" x14ac:dyDescent="0.25">
      <c r="A3529">
        <v>38</v>
      </c>
      <c r="B3529" t="str">
        <f>"3:39:38.426387"</f>
        <v>3:39:38.426387</v>
      </c>
      <c r="C3529">
        <v>-63</v>
      </c>
    </row>
    <row r="3530" spans="1:3" x14ac:dyDescent="0.25">
      <c r="A3530">
        <v>39</v>
      </c>
      <c r="B3530" t="str">
        <f>"3:39:38.427084"</f>
        <v>3:39:38.427084</v>
      </c>
      <c r="C3530">
        <v>-61</v>
      </c>
    </row>
    <row r="3531" spans="1:3" x14ac:dyDescent="0.25">
      <c r="A3531">
        <v>37</v>
      </c>
      <c r="B3531" t="str">
        <f>"3:39:39.671224"</f>
        <v>3:39:39.671224</v>
      </c>
      <c r="C3531">
        <v>-74</v>
      </c>
    </row>
    <row r="3532" spans="1:3" x14ac:dyDescent="0.25">
      <c r="A3532">
        <v>38</v>
      </c>
      <c r="B3532" t="str">
        <f>"3:39:39.671921"</f>
        <v>3:39:39.671921</v>
      </c>
      <c r="C3532">
        <v>-63</v>
      </c>
    </row>
    <row r="3533" spans="1:3" x14ac:dyDescent="0.25">
      <c r="A3533">
        <v>39</v>
      </c>
      <c r="B3533" t="str">
        <f>"3:39:39.672618"</f>
        <v>3:39:39.672618</v>
      </c>
      <c r="C3533">
        <v>-61</v>
      </c>
    </row>
    <row r="3534" spans="1:3" x14ac:dyDescent="0.25">
      <c r="A3534">
        <v>37</v>
      </c>
      <c r="B3534" t="str">
        <f>"3:39:40.917500"</f>
        <v>3:39:40.917500</v>
      </c>
      <c r="C3534">
        <v>-74</v>
      </c>
    </row>
    <row r="3535" spans="1:3" x14ac:dyDescent="0.25">
      <c r="A3535">
        <v>39</v>
      </c>
      <c r="B3535" t="str">
        <f>"3:39:40.918893"</f>
        <v>3:39:40.918893</v>
      </c>
      <c r="C3535">
        <v>-61</v>
      </c>
    </row>
    <row r="3536" spans="1:3" x14ac:dyDescent="0.25">
      <c r="A3536">
        <v>37</v>
      </c>
      <c r="B3536" t="str">
        <f>"3:39:42.155275"</f>
        <v>3:39:42.155275</v>
      </c>
      <c r="C3536">
        <v>-74</v>
      </c>
    </row>
    <row r="3537" spans="1:3" x14ac:dyDescent="0.25">
      <c r="A3537">
        <v>38</v>
      </c>
      <c r="B3537" t="str">
        <f>"3:39:42.155972"</f>
        <v>3:39:42.155972</v>
      </c>
      <c r="C3537">
        <v>-63</v>
      </c>
    </row>
    <row r="3538" spans="1:3" x14ac:dyDescent="0.25">
      <c r="A3538">
        <v>39</v>
      </c>
      <c r="B3538" t="str">
        <f>"3:39:42.156669"</f>
        <v>3:39:42.156669</v>
      </c>
      <c r="C3538">
        <v>-61</v>
      </c>
    </row>
    <row r="3539" spans="1:3" x14ac:dyDescent="0.25">
      <c r="A3539">
        <v>37</v>
      </c>
      <c r="B3539" t="str">
        <f>"3:39:43.412751"</f>
        <v>3:39:43.412751</v>
      </c>
      <c r="C3539">
        <v>-75</v>
      </c>
    </row>
    <row r="3540" spans="1:3" x14ac:dyDescent="0.25">
      <c r="A3540">
        <v>38</v>
      </c>
      <c r="B3540" t="str">
        <f>"3:39:43.413448"</f>
        <v>3:39:43.413448</v>
      </c>
      <c r="C3540">
        <v>-63</v>
      </c>
    </row>
    <row r="3541" spans="1:3" x14ac:dyDescent="0.25">
      <c r="A3541">
        <v>39</v>
      </c>
      <c r="B3541" t="str">
        <f>"3:39:43.414145"</f>
        <v>3:39:43.414145</v>
      </c>
      <c r="C3541">
        <v>-61</v>
      </c>
    </row>
    <row r="3542" spans="1:3" x14ac:dyDescent="0.25">
      <c r="A3542">
        <v>39</v>
      </c>
      <c r="B3542" t="str">
        <f>"3:39:43.414648"</f>
        <v>3:39:43.414648</v>
      </c>
      <c r="C3542">
        <v>-65</v>
      </c>
    </row>
    <row r="3543" spans="1:3" x14ac:dyDescent="0.25">
      <c r="A3543">
        <v>37</v>
      </c>
      <c r="B3543" t="str">
        <f>"3:39:44.651905"</f>
        <v>3:39:44.651905</v>
      </c>
      <c r="C3543">
        <v>-74</v>
      </c>
    </row>
    <row r="3544" spans="1:3" x14ac:dyDescent="0.25">
      <c r="A3544">
        <v>38</v>
      </c>
      <c r="B3544" t="str">
        <f>"3:39:44.652602"</f>
        <v>3:39:44.652602</v>
      </c>
      <c r="C3544">
        <v>-63</v>
      </c>
    </row>
    <row r="3545" spans="1:3" x14ac:dyDescent="0.25">
      <c r="A3545">
        <v>39</v>
      </c>
      <c r="B3545" t="str">
        <f>"3:39:44.653299"</f>
        <v>3:39:44.653299</v>
      </c>
      <c r="C3545">
        <v>-61</v>
      </c>
    </row>
    <row r="3546" spans="1:3" x14ac:dyDescent="0.25">
      <c r="A3546">
        <v>37</v>
      </c>
      <c r="B3546" t="str">
        <f>"3:39:45.922281"</f>
        <v>3:39:45.922281</v>
      </c>
      <c r="C3546">
        <v>-74</v>
      </c>
    </row>
    <row r="3547" spans="1:3" x14ac:dyDescent="0.25">
      <c r="A3547">
        <v>38</v>
      </c>
      <c r="B3547" t="str">
        <f>"3:39:45.922978"</f>
        <v>3:39:45.922978</v>
      </c>
      <c r="C3547">
        <v>-64</v>
      </c>
    </row>
    <row r="3548" spans="1:3" x14ac:dyDescent="0.25">
      <c r="A3548">
        <v>39</v>
      </c>
      <c r="B3548" t="str">
        <f>"3:39:45.923675"</f>
        <v>3:39:45.923675</v>
      </c>
      <c r="C3548">
        <v>-61</v>
      </c>
    </row>
    <row r="3549" spans="1:3" x14ac:dyDescent="0.25">
      <c r="A3549">
        <v>37</v>
      </c>
      <c r="B3549" t="str">
        <f>"3:39:47.136397"</f>
        <v>3:39:47.136397</v>
      </c>
      <c r="C3549">
        <v>-74</v>
      </c>
    </row>
    <row r="3550" spans="1:3" x14ac:dyDescent="0.25">
      <c r="A3550">
        <v>38</v>
      </c>
      <c r="B3550" t="str">
        <f>"3:39:47.137094"</f>
        <v>3:39:47.137094</v>
      </c>
      <c r="C3550">
        <v>-63</v>
      </c>
    </row>
    <row r="3551" spans="1:3" x14ac:dyDescent="0.25">
      <c r="A3551">
        <v>39</v>
      </c>
      <c r="B3551" t="str">
        <f>"3:39:47.137791"</f>
        <v>3:39:47.137791</v>
      </c>
      <c r="C3551">
        <v>-61</v>
      </c>
    </row>
    <row r="3552" spans="1:3" x14ac:dyDescent="0.25">
      <c r="A3552">
        <v>37</v>
      </c>
      <c r="B3552" t="str">
        <f>"3:39:48.393096"</f>
        <v>3:39:48.393096</v>
      </c>
      <c r="C3552">
        <v>-74</v>
      </c>
    </row>
    <row r="3553" spans="1:3" x14ac:dyDescent="0.25">
      <c r="A3553">
        <v>38</v>
      </c>
      <c r="B3553" t="str">
        <f>"3:39:48.393793"</f>
        <v>3:39:48.393793</v>
      </c>
      <c r="C3553">
        <v>-63</v>
      </c>
    </row>
    <row r="3554" spans="1:3" x14ac:dyDescent="0.25">
      <c r="A3554">
        <v>39</v>
      </c>
      <c r="B3554" t="str">
        <f>"3:39:48.394490"</f>
        <v>3:39:48.394490</v>
      </c>
      <c r="C3554">
        <v>-61</v>
      </c>
    </row>
    <row r="3555" spans="1:3" x14ac:dyDescent="0.25">
      <c r="A3555">
        <v>39</v>
      </c>
      <c r="B3555" t="str">
        <f>"3:39:49.636616"</f>
        <v>3:39:49.636616</v>
      </c>
      <c r="C3555">
        <v>-61</v>
      </c>
    </row>
    <row r="3556" spans="1:3" x14ac:dyDescent="0.25">
      <c r="A3556">
        <v>37</v>
      </c>
      <c r="B3556" t="str">
        <f>"3:39:50.873326"</f>
        <v>3:39:50.873326</v>
      </c>
      <c r="C3556">
        <v>-74</v>
      </c>
    </row>
    <row r="3557" spans="1:3" x14ac:dyDescent="0.25">
      <c r="A3557">
        <v>38</v>
      </c>
      <c r="B3557" t="str">
        <f>"3:39:50.874023"</f>
        <v>3:39:50.874023</v>
      </c>
      <c r="C3557">
        <v>-63</v>
      </c>
    </row>
    <row r="3558" spans="1:3" x14ac:dyDescent="0.25">
      <c r="A3558">
        <v>39</v>
      </c>
      <c r="B3558" t="str">
        <f>"3:39:50.874720"</f>
        <v>3:39:50.874720</v>
      </c>
      <c r="C3558">
        <v>-61</v>
      </c>
    </row>
    <row r="3559" spans="1:3" x14ac:dyDescent="0.25">
      <c r="A3559">
        <v>39</v>
      </c>
      <c r="B3559" t="str">
        <f>"3:39:52.124765"</f>
        <v>3:39:52.124765</v>
      </c>
      <c r="C3559">
        <v>-60</v>
      </c>
    </row>
    <row r="3560" spans="1:3" x14ac:dyDescent="0.25">
      <c r="A3560">
        <v>37</v>
      </c>
      <c r="B3560" t="str">
        <f>"3:39:53.358051"</f>
        <v>3:39:53.358051</v>
      </c>
      <c r="C3560">
        <v>-74</v>
      </c>
    </row>
    <row r="3561" spans="1:3" x14ac:dyDescent="0.25">
      <c r="A3561">
        <v>38</v>
      </c>
      <c r="B3561" t="str">
        <f>"3:39:53.358748"</f>
        <v>3:39:53.358748</v>
      </c>
      <c r="C3561">
        <v>-63</v>
      </c>
    </row>
    <row r="3562" spans="1:3" x14ac:dyDescent="0.25">
      <c r="A3562">
        <v>39</v>
      </c>
      <c r="B3562" t="str">
        <f>"3:39:53.359445"</f>
        <v>3:39:53.359445</v>
      </c>
      <c r="C3562">
        <v>-61</v>
      </c>
    </row>
    <row r="3563" spans="1:3" x14ac:dyDescent="0.25">
      <c r="A3563">
        <v>39</v>
      </c>
      <c r="B3563" t="str">
        <f>"3:39:53.359948"</f>
        <v>3:39:53.359948</v>
      </c>
      <c r="C3563">
        <v>-67</v>
      </c>
    </row>
    <row r="3564" spans="1:3" x14ac:dyDescent="0.25">
      <c r="A3564">
        <v>37</v>
      </c>
      <c r="B3564" t="str">
        <f>"3:39:54.604071"</f>
        <v>3:39:54.604071</v>
      </c>
      <c r="C3564">
        <v>-74</v>
      </c>
    </row>
    <row r="3565" spans="1:3" x14ac:dyDescent="0.25">
      <c r="A3565">
        <v>38</v>
      </c>
      <c r="B3565" t="str">
        <f>"3:39:54.604768"</f>
        <v>3:39:54.604768</v>
      </c>
      <c r="C3565">
        <v>-63</v>
      </c>
    </row>
    <row r="3566" spans="1:3" x14ac:dyDescent="0.25">
      <c r="A3566">
        <v>39</v>
      </c>
      <c r="B3566" t="str">
        <f>"3:39:54.605465"</f>
        <v>3:39:54.605465</v>
      </c>
      <c r="C3566">
        <v>-61</v>
      </c>
    </row>
    <row r="3567" spans="1:3" x14ac:dyDescent="0.25">
      <c r="A3567">
        <v>37</v>
      </c>
      <c r="B3567" t="str">
        <f>"3:39:55.887245"</f>
        <v>3:39:55.887245</v>
      </c>
      <c r="C3567">
        <v>-74</v>
      </c>
    </row>
    <row r="3568" spans="1:3" x14ac:dyDescent="0.25">
      <c r="A3568">
        <v>38</v>
      </c>
      <c r="B3568" t="str">
        <f>"3:39:55.887942"</f>
        <v>3:39:55.887942</v>
      </c>
      <c r="C3568">
        <v>-63</v>
      </c>
    </row>
    <row r="3569" spans="1:3" x14ac:dyDescent="0.25">
      <c r="A3569">
        <v>39</v>
      </c>
      <c r="B3569" t="str">
        <f>"3:39:55.888639"</f>
        <v>3:39:55.888639</v>
      </c>
      <c r="C3569">
        <v>-61</v>
      </c>
    </row>
    <row r="3570" spans="1:3" x14ac:dyDescent="0.25">
      <c r="A3570">
        <v>37</v>
      </c>
      <c r="B3570" t="str">
        <f>"3:39:57.097727"</f>
        <v>3:39:57.097727</v>
      </c>
      <c r="C3570">
        <v>-74</v>
      </c>
    </row>
    <row r="3571" spans="1:3" x14ac:dyDescent="0.25">
      <c r="A3571">
        <v>38</v>
      </c>
      <c r="B3571" t="str">
        <f>"3:39:57.098424"</f>
        <v>3:39:57.098424</v>
      </c>
      <c r="C3571">
        <v>-63</v>
      </c>
    </row>
    <row r="3572" spans="1:3" x14ac:dyDescent="0.25">
      <c r="A3572">
        <v>39</v>
      </c>
      <c r="B3572" t="str">
        <f>"3:39:57.099121"</f>
        <v>3:39:57.099121</v>
      </c>
      <c r="C3572">
        <v>-61</v>
      </c>
    </row>
    <row r="3573" spans="1:3" x14ac:dyDescent="0.25">
      <c r="A3573">
        <v>37</v>
      </c>
      <c r="B3573" t="str">
        <f>"3:39:58.345541"</f>
        <v>3:39:58.345541</v>
      </c>
      <c r="C3573">
        <v>-74</v>
      </c>
    </row>
    <row r="3574" spans="1:3" x14ac:dyDescent="0.25">
      <c r="A3574">
        <v>38</v>
      </c>
      <c r="B3574" t="str">
        <f>"3:39:58.346238"</f>
        <v>3:39:58.346238</v>
      </c>
      <c r="C3574">
        <v>-63</v>
      </c>
    </row>
    <row r="3575" spans="1:3" x14ac:dyDescent="0.25">
      <c r="A3575">
        <v>39</v>
      </c>
      <c r="B3575" t="str">
        <f>"3:39:58.346935"</f>
        <v>3:39:58.346935</v>
      </c>
      <c r="C3575">
        <v>-61</v>
      </c>
    </row>
    <row r="3576" spans="1:3" x14ac:dyDescent="0.25">
      <c r="A3576">
        <v>37</v>
      </c>
      <c r="B3576" t="str">
        <f>"3:39:59.590834"</f>
        <v>3:39:59.590834</v>
      </c>
      <c r="C3576">
        <v>-74</v>
      </c>
    </row>
    <row r="3577" spans="1:3" x14ac:dyDescent="0.25">
      <c r="A3577">
        <v>38</v>
      </c>
      <c r="B3577" t="str">
        <f>"3:39:59.591531"</f>
        <v>3:39:59.591531</v>
      </c>
      <c r="C3577">
        <v>-63</v>
      </c>
    </row>
    <row r="3578" spans="1:3" x14ac:dyDescent="0.25">
      <c r="A3578">
        <v>39</v>
      </c>
      <c r="B3578" t="str">
        <f>"3:39:59.592228"</f>
        <v>3:39:59.592228</v>
      </c>
      <c r="C3578">
        <v>-61</v>
      </c>
    </row>
    <row r="3579" spans="1:3" x14ac:dyDescent="0.25">
      <c r="A3579">
        <v>37</v>
      </c>
      <c r="B3579" t="str">
        <f>"3:40:00.827807"</f>
        <v>3:40:00.827807</v>
      </c>
      <c r="C3579">
        <v>-74</v>
      </c>
    </row>
    <row r="3580" spans="1:3" x14ac:dyDescent="0.25">
      <c r="A3580">
        <v>38</v>
      </c>
      <c r="B3580" t="str">
        <f>"3:40:00.828503"</f>
        <v>3:40:00.828503</v>
      </c>
      <c r="C3580">
        <v>-63</v>
      </c>
    </row>
    <row r="3581" spans="1:3" x14ac:dyDescent="0.25">
      <c r="A3581">
        <v>39</v>
      </c>
      <c r="B3581" t="str">
        <f>"3:40:00.829201"</f>
        <v>3:40:00.829201</v>
      </c>
      <c r="C3581">
        <v>-61</v>
      </c>
    </row>
    <row r="3582" spans="1:3" x14ac:dyDescent="0.25">
      <c r="A3582">
        <v>37</v>
      </c>
      <c r="B3582" t="str">
        <f>"3:40:02.079736"</f>
        <v>3:40:02.079736</v>
      </c>
      <c r="C3582">
        <v>-74</v>
      </c>
    </row>
    <row r="3583" spans="1:3" x14ac:dyDescent="0.25">
      <c r="A3583">
        <v>38</v>
      </c>
      <c r="B3583" t="str">
        <f>"3:40:02.080433"</f>
        <v>3:40:02.080433</v>
      </c>
      <c r="C3583">
        <v>-63</v>
      </c>
    </row>
    <row r="3584" spans="1:3" x14ac:dyDescent="0.25">
      <c r="A3584">
        <v>39</v>
      </c>
      <c r="B3584" t="str">
        <f>"3:40:02.081130"</f>
        <v>3:40:02.081130</v>
      </c>
      <c r="C3584">
        <v>-61</v>
      </c>
    </row>
    <row r="3585" spans="1:3" x14ac:dyDescent="0.25">
      <c r="A3585">
        <v>37</v>
      </c>
      <c r="B3585" t="str">
        <f>"3:40:03.322632"</f>
        <v>3:40:03.322632</v>
      </c>
      <c r="C3585">
        <v>-75</v>
      </c>
    </row>
    <row r="3586" spans="1:3" x14ac:dyDescent="0.25">
      <c r="A3586">
        <v>38</v>
      </c>
      <c r="B3586" t="str">
        <f>"3:40:03.323329"</f>
        <v>3:40:03.323329</v>
      </c>
      <c r="C3586">
        <v>-63</v>
      </c>
    </row>
    <row r="3587" spans="1:3" x14ac:dyDescent="0.25">
      <c r="A3587">
        <v>39</v>
      </c>
      <c r="B3587" t="str">
        <f>"3:40:03.324026"</f>
        <v>3:40:03.324026</v>
      </c>
      <c r="C3587">
        <v>-61</v>
      </c>
    </row>
    <row r="3588" spans="1:3" x14ac:dyDescent="0.25">
      <c r="A3588">
        <v>37</v>
      </c>
      <c r="B3588" t="str">
        <f>"3:40:04.575515"</f>
        <v>3:40:04.575515</v>
      </c>
      <c r="C3588">
        <v>-74</v>
      </c>
    </row>
    <row r="3589" spans="1:3" x14ac:dyDescent="0.25">
      <c r="A3589">
        <v>38</v>
      </c>
      <c r="B3589" t="str">
        <f>"3:40:04.576212"</f>
        <v>3:40:04.576212</v>
      </c>
      <c r="C3589">
        <v>-63</v>
      </c>
    </row>
    <row r="3590" spans="1:3" x14ac:dyDescent="0.25">
      <c r="A3590">
        <v>39</v>
      </c>
      <c r="B3590" t="str">
        <f>"3:40:04.576909"</f>
        <v>3:40:04.576909</v>
      </c>
      <c r="C3590">
        <v>-61</v>
      </c>
    </row>
    <row r="3591" spans="1:3" x14ac:dyDescent="0.25">
      <c r="A3591">
        <v>37</v>
      </c>
      <c r="B3591" t="str">
        <f>"3:40:05.807958"</f>
        <v>3:40:05.807958</v>
      </c>
      <c r="C3591">
        <v>-74</v>
      </c>
    </row>
    <row r="3592" spans="1:3" x14ac:dyDescent="0.25">
      <c r="A3592">
        <v>37</v>
      </c>
      <c r="B3592" t="str">
        <f>"3:40:05.808461"</f>
        <v>3:40:05.808461</v>
      </c>
      <c r="C3592">
        <v>-73</v>
      </c>
    </row>
    <row r="3593" spans="1:3" x14ac:dyDescent="0.25">
      <c r="A3593">
        <v>38</v>
      </c>
      <c r="B3593" t="str">
        <f>"3:40:05.808787"</f>
        <v>3:40:05.808787</v>
      </c>
      <c r="C3593">
        <v>-63</v>
      </c>
    </row>
    <row r="3594" spans="1:3" x14ac:dyDescent="0.25">
      <c r="A3594">
        <v>39</v>
      </c>
      <c r="B3594" t="str">
        <f>"3:40:05.809484"</f>
        <v>3:40:05.809484</v>
      </c>
      <c r="C3594">
        <v>-61</v>
      </c>
    </row>
    <row r="3595" spans="1:3" x14ac:dyDescent="0.25">
      <c r="A3595">
        <v>37</v>
      </c>
      <c r="B3595" t="str">
        <f>"3:40:07.073868"</f>
        <v>3:40:07.073868</v>
      </c>
      <c r="C3595">
        <v>-73</v>
      </c>
    </row>
    <row r="3596" spans="1:3" x14ac:dyDescent="0.25">
      <c r="A3596">
        <v>38</v>
      </c>
      <c r="B3596" t="str">
        <f>"3:40:07.074565"</f>
        <v>3:40:07.074565</v>
      </c>
      <c r="C3596">
        <v>-63</v>
      </c>
    </row>
    <row r="3597" spans="1:3" x14ac:dyDescent="0.25">
      <c r="A3597">
        <v>39</v>
      </c>
      <c r="B3597" t="str">
        <f>"3:40:07.075262"</f>
        <v>3:40:07.075262</v>
      </c>
      <c r="C3597">
        <v>-61</v>
      </c>
    </row>
    <row r="3598" spans="1:3" x14ac:dyDescent="0.25">
      <c r="A3598">
        <v>37</v>
      </c>
      <c r="B3598" t="str">
        <f>"3:40:08.318684"</f>
        <v>3:40:08.318684</v>
      </c>
      <c r="C3598">
        <v>-74</v>
      </c>
    </row>
    <row r="3599" spans="1:3" x14ac:dyDescent="0.25">
      <c r="A3599">
        <v>38</v>
      </c>
      <c r="B3599" t="str">
        <f>"3:40:08.319381"</f>
        <v>3:40:08.319381</v>
      </c>
      <c r="C3599">
        <v>-64</v>
      </c>
    </row>
    <row r="3600" spans="1:3" x14ac:dyDescent="0.25">
      <c r="A3600">
        <v>39</v>
      </c>
      <c r="B3600" t="str">
        <f>"3:40:08.320078"</f>
        <v>3:40:08.320078</v>
      </c>
      <c r="C3600">
        <v>-61</v>
      </c>
    </row>
    <row r="3601" spans="1:3" x14ac:dyDescent="0.25">
      <c r="A3601">
        <v>37</v>
      </c>
      <c r="B3601" t="str">
        <f>"3:40:09.569052"</f>
        <v>3:40:09.569052</v>
      </c>
      <c r="C3601">
        <v>-75</v>
      </c>
    </row>
    <row r="3602" spans="1:3" x14ac:dyDescent="0.25">
      <c r="A3602">
        <v>38</v>
      </c>
      <c r="B3602" t="str">
        <f>"3:40:09.569749"</f>
        <v>3:40:09.569749</v>
      </c>
      <c r="C3602">
        <v>-63</v>
      </c>
    </row>
    <row r="3603" spans="1:3" x14ac:dyDescent="0.25">
      <c r="A3603">
        <v>39</v>
      </c>
      <c r="B3603" t="str">
        <f>"3:40:09.570446"</f>
        <v>3:40:09.570446</v>
      </c>
      <c r="C3603">
        <v>-62</v>
      </c>
    </row>
    <row r="3604" spans="1:3" x14ac:dyDescent="0.25">
      <c r="A3604">
        <v>37</v>
      </c>
      <c r="B3604" t="str">
        <f>"3:40:10.803816"</f>
        <v>3:40:10.803816</v>
      </c>
      <c r="C3604">
        <v>-75</v>
      </c>
    </row>
    <row r="3605" spans="1:3" x14ac:dyDescent="0.25">
      <c r="A3605">
        <v>38</v>
      </c>
      <c r="B3605" t="str">
        <f>"3:40:10.804513"</f>
        <v>3:40:10.804513</v>
      </c>
      <c r="C3605">
        <v>-63</v>
      </c>
    </row>
    <row r="3606" spans="1:3" x14ac:dyDescent="0.25">
      <c r="A3606">
        <v>39</v>
      </c>
      <c r="B3606" t="str">
        <f>"3:40:10.805210"</f>
        <v>3:40:10.805210</v>
      </c>
      <c r="C3606">
        <v>-61</v>
      </c>
    </row>
    <row r="3607" spans="1:3" x14ac:dyDescent="0.25">
      <c r="A3607">
        <v>37</v>
      </c>
      <c r="B3607" t="str">
        <f>"3:40:12.043709"</f>
        <v>3:40:12.043709</v>
      </c>
      <c r="C3607">
        <v>-74</v>
      </c>
    </row>
    <row r="3608" spans="1:3" x14ac:dyDescent="0.25">
      <c r="A3608">
        <v>38</v>
      </c>
      <c r="B3608" t="str">
        <f>"3:40:12.044406"</f>
        <v>3:40:12.044406</v>
      </c>
      <c r="C3608">
        <v>-63</v>
      </c>
    </row>
    <row r="3609" spans="1:3" x14ac:dyDescent="0.25">
      <c r="A3609">
        <v>39</v>
      </c>
      <c r="B3609" t="str">
        <f>"3:40:12.045103"</f>
        <v>3:40:12.045103</v>
      </c>
      <c r="C3609">
        <v>-61</v>
      </c>
    </row>
    <row r="3610" spans="1:3" x14ac:dyDescent="0.25">
      <c r="A3610">
        <v>39</v>
      </c>
      <c r="B3610" t="str">
        <f>"3:40:12.045606"</f>
        <v>3:40:12.045606</v>
      </c>
      <c r="C3610">
        <v>-68</v>
      </c>
    </row>
    <row r="3611" spans="1:3" x14ac:dyDescent="0.25">
      <c r="A3611">
        <v>37</v>
      </c>
      <c r="B3611" t="str">
        <f>"3:40:13.288935"</f>
        <v>3:40:13.288935</v>
      </c>
      <c r="C3611">
        <v>-74</v>
      </c>
    </row>
    <row r="3612" spans="1:3" x14ac:dyDescent="0.25">
      <c r="A3612">
        <v>38</v>
      </c>
      <c r="B3612" t="str">
        <f>"3:40:13.289632"</f>
        <v>3:40:13.289632</v>
      </c>
      <c r="C3612">
        <v>-63</v>
      </c>
    </row>
    <row r="3613" spans="1:3" x14ac:dyDescent="0.25">
      <c r="A3613">
        <v>39</v>
      </c>
      <c r="B3613" t="str">
        <f>"3:40:13.290329"</f>
        <v>3:40:13.290329</v>
      </c>
      <c r="C3613">
        <v>-61</v>
      </c>
    </row>
    <row r="3614" spans="1:3" x14ac:dyDescent="0.25">
      <c r="A3614">
        <v>37</v>
      </c>
      <c r="B3614" t="str">
        <f>"3:40:14.530972"</f>
        <v>3:40:14.530972</v>
      </c>
      <c r="C3614">
        <v>-75</v>
      </c>
    </row>
    <row r="3615" spans="1:3" x14ac:dyDescent="0.25">
      <c r="A3615">
        <v>38</v>
      </c>
      <c r="B3615" t="str">
        <f>"3:40:14.531669"</f>
        <v>3:40:14.531669</v>
      </c>
      <c r="C3615">
        <v>-63</v>
      </c>
    </row>
    <row r="3616" spans="1:3" x14ac:dyDescent="0.25">
      <c r="A3616">
        <v>39</v>
      </c>
      <c r="B3616" t="str">
        <f>"3:40:14.532366"</f>
        <v>3:40:14.532366</v>
      </c>
      <c r="C3616">
        <v>-61</v>
      </c>
    </row>
    <row r="3617" spans="1:3" x14ac:dyDescent="0.25">
      <c r="A3617">
        <v>38</v>
      </c>
      <c r="B3617" t="str">
        <f>"3:40:15.773629"</f>
        <v>3:40:15.773629</v>
      </c>
      <c r="C3617">
        <v>-63</v>
      </c>
    </row>
    <row r="3618" spans="1:3" x14ac:dyDescent="0.25">
      <c r="A3618">
        <v>39</v>
      </c>
      <c r="B3618" t="str">
        <f>"3:40:15.774326"</f>
        <v>3:40:15.774326</v>
      </c>
      <c r="C3618">
        <v>-61</v>
      </c>
    </row>
    <row r="3619" spans="1:3" x14ac:dyDescent="0.25">
      <c r="A3619">
        <v>37</v>
      </c>
      <c r="B3619" t="str">
        <f>"3:40:17.019082"</f>
        <v>3:40:17.019082</v>
      </c>
      <c r="C3619">
        <v>-74</v>
      </c>
    </row>
    <row r="3620" spans="1:3" x14ac:dyDescent="0.25">
      <c r="A3620">
        <v>38</v>
      </c>
      <c r="B3620" t="str">
        <f>"3:40:17.019779"</f>
        <v>3:40:17.019779</v>
      </c>
      <c r="C3620">
        <v>-63</v>
      </c>
    </row>
    <row r="3621" spans="1:3" x14ac:dyDescent="0.25">
      <c r="A3621">
        <v>39</v>
      </c>
      <c r="B3621" t="str">
        <f>"3:40:17.020476"</f>
        <v>3:40:17.020476</v>
      </c>
      <c r="C3621">
        <v>-61</v>
      </c>
    </row>
    <row r="3622" spans="1:3" x14ac:dyDescent="0.25">
      <c r="A3622">
        <v>37</v>
      </c>
      <c r="B3622" t="str">
        <f>"3:40:18.279458"</f>
        <v>3:40:18.279458</v>
      </c>
      <c r="C3622">
        <v>-74</v>
      </c>
    </row>
    <row r="3623" spans="1:3" x14ac:dyDescent="0.25">
      <c r="A3623">
        <v>38</v>
      </c>
      <c r="B3623" t="str">
        <f>"3:40:18.280154"</f>
        <v>3:40:18.280154</v>
      </c>
      <c r="C3623">
        <v>-63</v>
      </c>
    </row>
    <row r="3624" spans="1:3" x14ac:dyDescent="0.25">
      <c r="A3624">
        <v>37</v>
      </c>
      <c r="B3624" t="str">
        <f>"3:40:19.521412"</f>
        <v>3:40:19.521412</v>
      </c>
      <c r="C3624">
        <v>-74</v>
      </c>
    </row>
    <row r="3625" spans="1:3" x14ac:dyDescent="0.25">
      <c r="A3625">
        <v>38</v>
      </c>
      <c r="B3625" t="str">
        <f>"3:40:19.522109"</f>
        <v>3:40:19.522109</v>
      </c>
      <c r="C3625">
        <v>-63</v>
      </c>
    </row>
    <row r="3626" spans="1:3" x14ac:dyDescent="0.25">
      <c r="A3626">
        <v>39</v>
      </c>
      <c r="B3626" t="str">
        <f>"3:40:19.522806"</f>
        <v>3:40:19.522806</v>
      </c>
      <c r="C3626">
        <v>-61</v>
      </c>
    </row>
    <row r="3627" spans="1:3" x14ac:dyDescent="0.25">
      <c r="A3627">
        <v>37</v>
      </c>
      <c r="B3627" t="str">
        <f>"3:40:20.771486"</f>
        <v>3:40:20.771486</v>
      </c>
      <c r="C3627">
        <v>-75</v>
      </c>
    </row>
    <row r="3628" spans="1:3" x14ac:dyDescent="0.25">
      <c r="A3628">
        <v>38</v>
      </c>
      <c r="B3628" t="str">
        <f>"3:40:20.772183"</f>
        <v>3:40:20.772183</v>
      </c>
      <c r="C3628">
        <v>-63</v>
      </c>
    </row>
    <row r="3629" spans="1:3" x14ac:dyDescent="0.25">
      <c r="A3629">
        <v>39</v>
      </c>
      <c r="B3629" t="str">
        <f>"3:40:20.772880"</f>
        <v>3:40:20.772880</v>
      </c>
      <c r="C3629">
        <v>-61</v>
      </c>
    </row>
    <row r="3630" spans="1:3" x14ac:dyDescent="0.25">
      <c r="A3630">
        <v>37</v>
      </c>
      <c r="B3630" t="str">
        <f>"3:40:22.046377"</f>
        <v>3:40:22.046377</v>
      </c>
      <c r="C3630">
        <v>-74</v>
      </c>
    </row>
    <row r="3631" spans="1:3" x14ac:dyDescent="0.25">
      <c r="A3631">
        <v>38</v>
      </c>
      <c r="B3631" t="str">
        <f>"3:40:22.047074"</f>
        <v>3:40:22.047074</v>
      </c>
      <c r="C3631">
        <v>-63</v>
      </c>
    </row>
    <row r="3632" spans="1:3" x14ac:dyDescent="0.25">
      <c r="A3632">
        <v>39</v>
      </c>
      <c r="B3632" t="str">
        <f>"3:40:22.047771"</f>
        <v>3:40:22.047771</v>
      </c>
      <c r="C3632">
        <v>-61</v>
      </c>
    </row>
    <row r="3633" spans="1:3" x14ac:dyDescent="0.25">
      <c r="A3633">
        <v>37</v>
      </c>
      <c r="B3633" t="str">
        <f>"3:40:23.271605"</f>
        <v>3:40:23.271605</v>
      </c>
      <c r="C3633">
        <v>-74</v>
      </c>
    </row>
    <row r="3634" spans="1:3" x14ac:dyDescent="0.25">
      <c r="A3634">
        <v>38</v>
      </c>
      <c r="B3634" t="str">
        <f>"3:40:23.272302"</f>
        <v>3:40:23.272302</v>
      </c>
      <c r="C3634">
        <v>-63</v>
      </c>
    </row>
    <row r="3635" spans="1:3" x14ac:dyDescent="0.25">
      <c r="A3635">
        <v>39</v>
      </c>
      <c r="B3635" t="str">
        <f>"3:40:23.272999"</f>
        <v>3:40:23.272999</v>
      </c>
      <c r="C3635">
        <v>-61</v>
      </c>
    </row>
    <row r="3636" spans="1:3" x14ac:dyDescent="0.25">
      <c r="A3636">
        <v>37</v>
      </c>
      <c r="B3636" t="str">
        <f>"3:40:24.506662"</f>
        <v>3:40:24.506662</v>
      </c>
      <c r="C3636">
        <v>-74</v>
      </c>
    </row>
    <row r="3637" spans="1:3" x14ac:dyDescent="0.25">
      <c r="A3637">
        <v>37</v>
      </c>
      <c r="B3637" t="str">
        <f>"3:40:24.507165"</f>
        <v>3:40:24.507165</v>
      </c>
      <c r="C3637">
        <v>-74</v>
      </c>
    </row>
    <row r="3638" spans="1:3" x14ac:dyDescent="0.25">
      <c r="A3638">
        <v>38</v>
      </c>
      <c r="B3638" t="str">
        <f>"3:40:24.507359"</f>
        <v>3:40:24.507359</v>
      </c>
      <c r="C3638">
        <v>-63</v>
      </c>
    </row>
    <row r="3639" spans="1:3" x14ac:dyDescent="0.25">
      <c r="A3639">
        <v>39</v>
      </c>
      <c r="B3639" t="str">
        <f>"3:40:24.508056"</f>
        <v>3:40:24.508056</v>
      </c>
      <c r="C3639">
        <v>-61</v>
      </c>
    </row>
    <row r="3640" spans="1:3" x14ac:dyDescent="0.25">
      <c r="A3640">
        <v>39</v>
      </c>
      <c r="B3640" t="str">
        <f>"3:40:25.758956"</f>
        <v>3:40:25.758956</v>
      </c>
      <c r="C3640">
        <v>-61</v>
      </c>
    </row>
    <row r="3641" spans="1:3" x14ac:dyDescent="0.25">
      <c r="A3641">
        <v>37</v>
      </c>
      <c r="B3641" t="str">
        <f>"3:40:28.249287"</f>
        <v>3:40:28.249287</v>
      </c>
      <c r="C3641">
        <v>-74</v>
      </c>
    </row>
    <row r="3642" spans="1:3" x14ac:dyDescent="0.25">
      <c r="A3642">
        <v>38</v>
      </c>
      <c r="B3642" t="str">
        <f>"3:40:28.249984"</f>
        <v>3:40:28.249984</v>
      </c>
      <c r="C3642">
        <v>-63</v>
      </c>
    </row>
    <row r="3643" spans="1:3" x14ac:dyDescent="0.25">
      <c r="A3643">
        <v>39</v>
      </c>
      <c r="B3643" t="str">
        <f>"3:40:28.250681"</f>
        <v>3:40:28.250681</v>
      </c>
      <c r="C3643">
        <v>-61</v>
      </c>
    </row>
    <row r="3644" spans="1:3" x14ac:dyDescent="0.25">
      <c r="A3644">
        <v>39</v>
      </c>
      <c r="B3644" t="str">
        <f>"3:40:29.513917"</f>
        <v>3:40:29.513917</v>
      </c>
      <c r="C3644">
        <v>-61</v>
      </c>
    </row>
    <row r="3645" spans="1:3" x14ac:dyDescent="0.25">
      <c r="A3645">
        <v>38</v>
      </c>
      <c r="B3645" t="str">
        <f>"3:40:31.992428"</f>
        <v>3:40:31.992428</v>
      </c>
      <c r="C3645">
        <v>-63</v>
      </c>
    </row>
    <row r="3646" spans="1:3" x14ac:dyDescent="0.25">
      <c r="A3646">
        <v>39</v>
      </c>
      <c r="B3646" t="str">
        <f>"3:40:31.993125"</f>
        <v>3:40:31.993125</v>
      </c>
      <c r="C3646">
        <v>-61</v>
      </c>
    </row>
    <row r="3647" spans="1:3" x14ac:dyDescent="0.25">
      <c r="A3647">
        <v>38</v>
      </c>
      <c r="B3647" t="str">
        <f>"3:40:33.229928"</f>
        <v>3:40:33.229928</v>
      </c>
      <c r="C3647">
        <v>-63</v>
      </c>
    </row>
    <row r="3648" spans="1:3" x14ac:dyDescent="0.25">
      <c r="A3648">
        <v>39</v>
      </c>
      <c r="B3648" t="str">
        <f>"3:40:33.230625"</f>
        <v>3:40:33.230625</v>
      </c>
      <c r="C3648">
        <v>-61</v>
      </c>
    </row>
    <row r="3649" spans="1:3" x14ac:dyDescent="0.25">
      <c r="A3649">
        <v>37</v>
      </c>
      <c r="B3649" t="str">
        <f>"3:40:34.468896"</f>
        <v>3:40:34.468896</v>
      </c>
      <c r="C3649">
        <v>-74</v>
      </c>
    </row>
    <row r="3650" spans="1:3" x14ac:dyDescent="0.25">
      <c r="A3650">
        <v>38</v>
      </c>
      <c r="B3650" t="str">
        <f>"3:40:34.469593"</f>
        <v>3:40:34.469593</v>
      </c>
      <c r="C3650">
        <v>-63</v>
      </c>
    </row>
    <row r="3651" spans="1:3" x14ac:dyDescent="0.25">
      <c r="A3651">
        <v>39</v>
      </c>
      <c r="B3651" t="str">
        <f>"3:40:34.470290"</f>
        <v>3:40:34.470290</v>
      </c>
      <c r="C3651">
        <v>-61</v>
      </c>
    </row>
    <row r="3652" spans="1:3" x14ac:dyDescent="0.25">
      <c r="A3652">
        <v>37</v>
      </c>
      <c r="B3652" t="str">
        <f>"3:40:35.738066"</f>
        <v>3:40:35.738066</v>
      </c>
      <c r="C3652">
        <v>-74</v>
      </c>
    </row>
    <row r="3653" spans="1:3" x14ac:dyDescent="0.25">
      <c r="A3653">
        <v>38</v>
      </c>
      <c r="B3653" t="str">
        <f>"3:40:35.738763"</f>
        <v>3:40:35.738763</v>
      </c>
      <c r="C3653">
        <v>-63</v>
      </c>
    </row>
    <row r="3654" spans="1:3" x14ac:dyDescent="0.25">
      <c r="A3654">
        <v>39</v>
      </c>
      <c r="B3654" t="str">
        <f>"3:40:35.739460"</f>
        <v>3:40:35.739460</v>
      </c>
      <c r="C3654">
        <v>-61</v>
      </c>
    </row>
    <row r="3655" spans="1:3" x14ac:dyDescent="0.25">
      <c r="A3655">
        <v>38</v>
      </c>
      <c r="B3655" t="str">
        <f>"3:40:36.968382"</f>
        <v>3:40:36.968382</v>
      </c>
      <c r="C3655">
        <v>-63</v>
      </c>
    </row>
    <row r="3656" spans="1:3" x14ac:dyDescent="0.25">
      <c r="A3656">
        <v>39</v>
      </c>
      <c r="B3656" t="str">
        <f>"3:40:36.969079"</f>
        <v>3:40:36.969079</v>
      </c>
      <c r="C3656">
        <v>-61</v>
      </c>
    </row>
    <row r="3657" spans="1:3" x14ac:dyDescent="0.25">
      <c r="A3657">
        <v>37</v>
      </c>
      <c r="B3657" t="str">
        <f>"3:40:38.202146"</f>
        <v>3:40:38.202146</v>
      </c>
      <c r="C3657">
        <v>-74</v>
      </c>
    </row>
    <row r="3658" spans="1:3" x14ac:dyDescent="0.25">
      <c r="A3658">
        <v>38</v>
      </c>
      <c r="B3658" t="str">
        <f>"3:40:38.202843"</f>
        <v>3:40:38.202843</v>
      </c>
      <c r="C3658">
        <v>-63</v>
      </c>
    </row>
    <row r="3659" spans="1:3" x14ac:dyDescent="0.25">
      <c r="A3659">
        <v>39</v>
      </c>
      <c r="B3659" t="str">
        <f>"3:40:38.203540"</f>
        <v>3:40:38.203540</v>
      </c>
      <c r="C3659">
        <v>-61</v>
      </c>
    </row>
    <row r="3660" spans="1:3" x14ac:dyDescent="0.25">
      <c r="A3660">
        <v>37</v>
      </c>
      <c r="B3660" t="str">
        <f>"3:40:39.447388"</f>
        <v>3:40:39.447388</v>
      </c>
      <c r="C3660">
        <v>-73</v>
      </c>
    </row>
    <row r="3661" spans="1:3" x14ac:dyDescent="0.25">
      <c r="A3661">
        <v>38</v>
      </c>
      <c r="B3661" t="str">
        <f>"3:40:39.448085"</f>
        <v>3:40:39.448085</v>
      </c>
      <c r="C3661">
        <v>-63</v>
      </c>
    </row>
    <row r="3662" spans="1:3" x14ac:dyDescent="0.25">
      <c r="A3662">
        <v>39</v>
      </c>
      <c r="B3662" t="str">
        <f>"3:40:39.448782"</f>
        <v>3:40:39.448782</v>
      </c>
      <c r="C3662">
        <v>-61</v>
      </c>
    </row>
    <row r="3663" spans="1:3" x14ac:dyDescent="0.25">
      <c r="A3663">
        <v>37</v>
      </c>
      <c r="B3663" t="str">
        <f>"3:40:40.701692"</f>
        <v>3:40:40.701692</v>
      </c>
      <c r="C3663">
        <v>-74</v>
      </c>
    </row>
    <row r="3664" spans="1:3" x14ac:dyDescent="0.25">
      <c r="A3664">
        <v>38</v>
      </c>
      <c r="B3664" t="str">
        <f>"3:40:40.702388"</f>
        <v>3:40:40.702388</v>
      </c>
      <c r="C3664">
        <v>-63</v>
      </c>
    </row>
    <row r="3665" spans="1:3" x14ac:dyDescent="0.25">
      <c r="A3665">
        <v>39</v>
      </c>
      <c r="B3665" t="str">
        <f>"3:40:40.703085"</f>
        <v>3:40:40.703085</v>
      </c>
      <c r="C3665">
        <v>-61</v>
      </c>
    </row>
    <row r="3666" spans="1:3" x14ac:dyDescent="0.25">
      <c r="A3666">
        <v>38</v>
      </c>
      <c r="B3666" t="str">
        <f>"3:40:41.957947"</f>
        <v>3:40:41.957947</v>
      </c>
      <c r="C3666">
        <v>-63</v>
      </c>
    </row>
    <row r="3667" spans="1:3" x14ac:dyDescent="0.25">
      <c r="A3667">
        <v>39</v>
      </c>
      <c r="B3667" t="str">
        <f>"3:40:41.958644"</f>
        <v>3:40:41.958644</v>
      </c>
      <c r="C3667">
        <v>-61</v>
      </c>
    </row>
    <row r="3668" spans="1:3" x14ac:dyDescent="0.25">
      <c r="A3668">
        <v>37</v>
      </c>
      <c r="B3668" t="str">
        <f>"3:40:44.444093"</f>
        <v>3:40:44.444093</v>
      </c>
      <c r="C3668">
        <v>-74</v>
      </c>
    </row>
    <row r="3669" spans="1:3" x14ac:dyDescent="0.25">
      <c r="A3669">
        <v>38</v>
      </c>
      <c r="B3669" t="str">
        <f>"3:40:44.444790"</f>
        <v>3:40:44.444790</v>
      </c>
      <c r="C3669">
        <v>-63</v>
      </c>
    </row>
    <row r="3670" spans="1:3" x14ac:dyDescent="0.25">
      <c r="A3670">
        <v>39</v>
      </c>
      <c r="B3670" t="str">
        <f>"3:40:44.445487"</f>
        <v>3:40:44.445487</v>
      </c>
      <c r="C3670">
        <v>-61</v>
      </c>
    </row>
    <row r="3671" spans="1:3" x14ac:dyDescent="0.25">
      <c r="A3671">
        <v>37</v>
      </c>
      <c r="B3671" t="str">
        <f>"3:40:45.682552"</f>
        <v>3:40:45.682552</v>
      </c>
      <c r="C3671">
        <v>-74</v>
      </c>
    </row>
    <row r="3672" spans="1:3" x14ac:dyDescent="0.25">
      <c r="A3672">
        <v>39</v>
      </c>
      <c r="B3672" t="str">
        <f>"3:40:45.683946"</f>
        <v>3:40:45.683946</v>
      </c>
      <c r="C3672">
        <v>-61</v>
      </c>
    </row>
    <row r="3673" spans="1:3" x14ac:dyDescent="0.25">
      <c r="A3673">
        <v>37</v>
      </c>
      <c r="B3673" t="str">
        <f>"3:40:46.923262"</f>
        <v>3:40:46.923262</v>
      </c>
      <c r="C3673">
        <v>-74</v>
      </c>
    </row>
    <row r="3674" spans="1:3" x14ac:dyDescent="0.25">
      <c r="A3674">
        <v>38</v>
      </c>
      <c r="B3674" t="str">
        <f>"3:40:46.923958"</f>
        <v>3:40:46.923958</v>
      </c>
      <c r="C3674">
        <v>-63</v>
      </c>
    </row>
    <row r="3675" spans="1:3" x14ac:dyDescent="0.25">
      <c r="A3675">
        <v>39</v>
      </c>
      <c r="B3675" t="str">
        <f>"3:40:46.924656"</f>
        <v>3:40:46.924656</v>
      </c>
      <c r="C3675">
        <v>-61</v>
      </c>
    </row>
    <row r="3676" spans="1:3" x14ac:dyDescent="0.25">
      <c r="A3676">
        <v>37</v>
      </c>
      <c r="B3676" t="str">
        <f>"3:40:48.182932"</f>
        <v>3:40:48.182932</v>
      </c>
      <c r="C3676">
        <v>-74</v>
      </c>
    </row>
    <row r="3677" spans="1:3" x14ac:dyDescent="0.25">
      <c r="A3677">
        <v>38</v>
      </c>
      <c r="B3677" t="str">
        <f>"3:40:48.183629"</f>
        <v>3:40:48.183629</v>
      </c>
      <c r="C3677">
        <v>-63</v>
      </c>
    </row>
    <row r="3678" spans="1:3" x14ac:dyDescent="0.25">
      <c r="A3678">
        <v>39</v>
      </c>
      <c r="B3678" t="str">
        <f>"3:40:48.184326"</f>
        <v>3:40:48.184326</v>
      </c>
      <c r="C3678">
        <v>-61</v>
      </c>
    </row>
    <row r="3679" spans="1:3" x14ac:dyDescent="0.25">
      <c r="A3679">
        <v>37</v>
      </c>
      <c r="B3679" t="str">
        <f>"3:40:49.419291"</f>
        <v>3:40:49.419291</v>
      </c>
      <c r="C3679">
        <v>-75</v>
      </c>
    </row>
    <row r="3680" spans="1:3" x14ac:dyDescent="0.25">
      <c r="A3680">
        <v>38</v>
      </c>
      <c r="B3680" t="str">
        <f>"3:40:49.419988"</f>
        <v>3:40:49.419988</v>
      </c>
      <c r="C3680">
        <v>-63</v>
      </c>
    </row>
    <row r="3681" spans="1:3" x14ac:dyDescent="0.25">
      <c r="A3681">
        <v>39</v>
      </c>
      <c r="B3681" t="str">
        <f>"3:40:49.420685"</f>
        <v>3:40:49.420685</v>
      </c>
      <c r="C3681">
        <v>-61</v>
      </c>
    </row>
    <row r="3682" spans="1:3" x14ac:dyDescent="0.25">
      <c r="A3682">
        <v>37</v>
      </c>
      <c r="B3682" t="str">
        <f>"3:40:50.668167"</f>
        <v>3:40:50.668167</v>
      </c>
      <c r="C3682">
        <v>-74</v>
      </c>
    </row>
    <row r="3683" spans="1:3" x14ac:dyDescent="0.25">
      <c r="A3683">
        <v>38</v>
      </c>
      <c r="B3683" t="str">
        <f>"3:40:50.668864"</f>
        <v>3:40:50.668864</v>
      </c>
      <c r="C3683">
        <v>-63</v>
      </c>
    </row>
    <row r="3684" spans="1:3" x14ac:dyDescent="0.25">
      <c r="A3684">
        <v>39</v>
      </c>
      <c r="B3684" t="str">
        <f>"3:40:50.669561"</f>
        <v>3:40:50.669561</v>
      </c>
      <c r="C3684">
        <v>-61</v>
      </c>
    </row>
    <row r="3685" spans="1:3" x14ac:dyDescent="0.25">
      <c r="A3685">
        <v>37</v>
      </c>
      <c r="B3685" t="str">
        <f>"3:40:51.924405"</f>
        <v>3:40:51.924405</v>
      </c>
      <c r="C3685">
        <v>-74</v>
      </c>
    </row>
    <row r="3686" spans="1:3" x14ac:dyDescent="0.25">
      <c r="A3686">
        <v>38</v>
      </c>
      <c r="B3686" t="str">
        <f>"3:40:51.925102"</f>
        <v>3:40:51.925102</v>
      </c>
      <c r="C3686">
        <v>-63</v>
      </c>
    </row>
    <row r="3687" spans="1:3" x14ac:dyDescent="0.25">
      <c r="A3687">
        <v>39</v>
      </c>
      <c r="B3687" t="str">
        <f>"3:40:51.925799"</f>
        <v>3:40:51.925799</v>
      </c>
      <c r="C3687">
        <v>-61</v>
      </c>
    </row>
    <row r="3688" spans="1:3" x14ac:dyDescent="0.25">
      <c r="A3688">
        <v>37</v>
      </c>
      <c r="B3688" t="str">
        <f>"3:40:53.153804"</f>
        <v>3:40:53.153804</v>
      </c>
      <c r="C3688">
        <v>-74</v>
      </c>
    </row>
    <row r="3689" spans="1:3" x14ac:dyDescent="0.25">
      <c r="A3689">
        <v>38</v>
      </c>
      <c r="B3689" t="str">
        <f>"3:40:53.154501"</f>
        <v>3:40:53.154501</v>
      </c>
      <c r="C3689">
        <v>-63</v>
      </c>
    </row>
    <row r="3690" spans="1:3" x14ac:dyDescent="0.25">
      <c r="A3690">
        <v>39</v>
      </c>
      <c r="B3690" t="str">
        <f>"3:40:53.155198"</f>
        <v>3:40:53.155198</v>
      </c>
      <c r="C3690">
        <v>-61</v>
      </c>
    </row>
    <row r="3691" spans="1:3" x14ac:dyDescent="0.25">
      <c r="A3691">
        <v>37</v>
      </c>
      <c r="B3691" t="str">
        <f>"3:40:54.386020"</f>
        <v>3:40:54.386020</v>
      </c>
      <c r="C3691">
        <v>-74</v>
      </c>
    </row>
    <row r="3692" spans="1:3" x14ac:dyDescent="0.25">
      <c r="A3692">
        <v>38</v>
      </c>
      <c r="B3692" t="str">
        <f>"3:40:54.386717"</f>
        <v>3:40:54.386717</v>
      </c>
      <c r="C3692">
        <v>-63</v>
      </c>
    </row>
    <row r="3693" spans="1:3" x14ac:dyDescent="0.25">
      <c r="A3693">
        <v>39</v>
      </c>
      <c r="B3693" t="str">
        <f>"3:40:54.387414"</f>
        <v>3:40:54.387414</v>
      </c>
      <c r="C3693">
        <v>-61</v>
      </c>
    </row>
    <row r="3694" spans="1:3" x14ac:dyDescent="0.25">
      <c r="A3694">
        <v>37</v>
      </c>
      <c r="B3694" t="str">
        <f>"3:40:55.641946"</f>
        <v>3:40:55.641946</v>
      </c>
      <c r="C3694">
        <v>-74</v>
      </c>
    </row>
    <row r="3695" spans="1:3" x14ac:dyDescent="0.25">
      <c r="A3695">
        <v>38</v>
      </c>
      <c r="B3695" t="str">
        <f>"3:40:55.642643"</f>
        <v>3:40:55.642643</v>
      </c>
      <c r="C3695">
        <v>-64</v>
      </c>
    </row>
    <row r="3696" spans="1:3" x14ac:dyDescent="0.25">
      <c r="A3696">
        <v>39</v>
      </c>
      <c r="B3696" t="str">
        <f>"3:40:55.643340"</f>
        <v>3:40:55.643340</v>
      </c>
      <c r="C3696">
        <v>-61</v>
      </c>
    </row>
    <row r="3697" spans="1:3" x14ac:dyDescent="0.25">
      <c r="A3697">
        <v>38</v>
      </c>
      <c r="B3697" t="str">
        <f>"3:40:56.887519"</f>
        <v>3:40:56.887519</v>
      </c>
      <c r="C3697">
        <v>-63</v>
      </c>
    </row>
    <row r="3698" spans="1:3" x14ac:dyDescent="0.25">
      <c r="A3698">
        <v>39</v>
      </c>
      <c r="B3698" t="str">
        <f>"3:40:56.888216"</f>
        <v>3:40:56.888216</v>
      </c>
      <c r="C3698">
        <v>-61</v>
      </c>
    </row>
    <row r="3699" spans="1:3" x14ac:dyDescent="0.25">
      <c r="A3699">
        <v>37</v>
      </c>
      <c r="B3699" t="str">
        <f>"3:40:58.128748"</f>
        <v>3:40:58.128748</v>
      </c>
      <c r="C3699">
        <v>-74</v>
      </c>
    </row>
    <row r="3700" spans="1:3" x14ac:dyDescent="0.25">
      <c r="A3700">
        <v>38</v>
      </c>
      <c r="B3700" t="str">
        <f>"3:40:58.129445"</f>
        <v>3:40:58.129445</v>
      </c>
      <c r="C3700">
        <v>-63</v>
      </c>
    </row>
    <row r="3701" spans="1:3" x14ac:dyDescent="0.25">
      <c r="A3701">
        <v>39</v>
      </c>
      <c r="B3701" t="str">
        <f>"3:40:58.130142"</f>
        <v>3:40:58.130142</v>
      </c>
      <c r="C3701">
        <v>-61</v>
      </c>
    </row>
    <row r="3702" spans="1:3" x14ac:dyDescent="0.25">
      <c r="A3702">
        <v>37</v>
      </c>
      <c r="B3702" t="str">
        <f>"3:40:59.379293"</f>
        <v>3:40:59.379293</v>
      </c>
      <c r="C3702">
        <v>-74</v>
      </c>
    </row>
    <row r="3703" spans="1:3" x14ac:dyDescent="0.25">
      <c r="A3703">
        <v>38</v>
      </c>
      <c r="B3703" t="str">
        <f>"3:40:59.379990"</f>
        <v>3:40:59.379990</v>
      </c>
      <c r="C3703">
        <v>-63</v>
      </c>
    </row>
    <row r="3704" spans="1:3" x14ac:dyDescent="0.25">
      <c r="A3704">
        <v>39</v>
      </c>
      <c r="B3704" t="str">
        <f>"3:40:59.380687"</f>
        <v>3:40:59.380687</v>
      </c>
      <c r="C3704">
        <v>-61</v>
      </c>
    </row>
    <row r="3705" spans="1:3" x14ac:dyDescent="0.25">
      <c r="A3705">
        <v>37</v>
      </c>
      <c r="B3705" t="str">
        <f>"3:41:00.626750"</f>
        <v>3:41:00.626750</v>
      </c>
      <c r="C3705">
        <v>-74</v>
      </c>
    </row>
    <row r="3706" spans="1:3" x14ac:dyDescent="0.25">
      <c r="A3706">
        <v>38</v>
      </c>
      <c r="B3706" t="str">
        <f>"3:41:00.627447"</f>
        <v>3:41:00.627447</v>
      </c>
      <c r="C3706">
        <v>-63</v>
      </c>
    </row>
    <row r="3707" spans="1:3" x14ac:dyDescent="0.25">
      <c r="A3707">
        <v>39</v>
      </c>
      <c r="B3707" t="str">
        <f>"3:41:00.628144"</f>
        <v>3:41:00.628144</v>
      </c>
      <c r="C3707">
        <v>-61</v>
      </c>
    </row>
    <row r="3708" spans="1:3" x14ac:dyDescent="0.25">
      <c r="A3708">
        <v>39</v>
      </c>
      <c r="B3708" t="str">
        <f>"3:41:01.865767"</f>
        <v>3:41:01.865767</v>
      </c>
      <c r="C3708">
        <v>-60</v>
      </c>
    </row>
    <row r="3709" spans="1:3" x14ac:dyDescent="0.25">
      <c r="A3709">
        <v>37</v>
      </c>
      <c r="B3709" t="str">
        <f>"3:41:03.144365"</f>
        <v>3:41:03.144365</v>
      </c>
      <c r="C3709">
        <v>-73</v>
      </c>
    </row>
    <row r="3710" spans="1:3" x14ac:dyDescent="0.25">
      <c r="A3710">
        <v>38</v>
      </c>
      <c r="B3710" t="str">
        <f>"3:41:03.145062"</f>
        <v>3:41:03.145062</v>
      </c>
      <c r="C3710">
        <v>-63</v>
      </c>
    </row>
    <row r="3711" spans="1:3" x14ac:dyDescent="0.25">
      <c r="A3711">
        <v>39</v>
      </c>
      <c r="B3711" t="str">
        <f>"3:41:03.145759"</f>
        <v>3:41:03.145759</v>
      </c>
      <c r="C3711">
        <v>-62</v>
      </c>
    </row>
    <row r="3712" spans="1:3" x14ac:dyDescent="0.25">
      <c r="A3712">
        <v>38</v>
      </c>
      <c r="B3712" t="str">
        <f>"3:41:04.356842"</f>
        <v>3:41:04.356842</v>
      </c>
      <c r="C3712">
        <v>-63</v>
      </c>
    </row>
    <row r="3713" spans="1:3" x14ac:dyDescent="0.25">
      <c r="A3713">
        <v>39</v>
      </c>
      <c r="B3713" t="str">
        <f>"3:41:04.357539"</f>
        <v>3:41:04.357539</v>
      </c>
      <c r="C3713">
        <v>-61</v>
      </c>
    </row>
    <row r="3714" spans="1:3" x14ac:dyDescent="0.25">
      <c r="A3714">
        <v>37</v>
      </c>
      <c r="B3714" t="str">
        <f>"3:41:05.596735"</f>
        <v>3:41:05.596735</v>
      </c>
      <c r="C3714">
        <v>-74</v>
      </c>
    </row>
    <row r="3715" spans="1:3" x14ac:dyDescent="0.25">
      <c r="A3715">
        <v>38</v>
      </c>
      <c r="B3715" t="str">
        <f>"3:41:05.597431"</f>
        <v>3:41:05.597431</v>
      </c>
      <c r="C3715">
        <v>-62</v>
      </c>
    </row>
    <row r="3716" spans="1:3" x14ac:dyDescent="0.25">
      <c r="A3716">
        <v>39</v>
      </c>
      <c r="B3716" t="str">
        <f>"3:41:05.598129"</f>
        <v>3:41:05.598129</v>
      </c>
      <c r="C3716">
        <v>-61</v>
      </c>
    </row>
    <row r="3717" spans="1:3" x14ac:dyDescent="0.25">
      <c r="A3717">
        <v>37</v>
      </c>
      <c r="B3717" t="str">
        <f>"3:41:06.835500"</f>
        <v>3:41:06.835500</v>
      </c>
      <c r="C3717">
        <v>-74</v>
      </c>
    </row>
    <row r="3718" spans="1:3" x14ac:dyDescent="0.25">
      <c r="A3718">
        <v>38</v>
      </c>
      <c r="B3718" t="str">
        <f>"3:41:06.836197"</f>
        <v>3:41:06.836197</v>
      </c>
      <c r="C3718">
        <v>-63</v>
      </c>
    </row>
    <row r="3719" spans="1:3" x14ac:dyDescent="0.25">
      <c r="A3719">
        <v>39</v>
      </c>
      <c r="B3719" t="str">
        <f>"3:41:06.836894"</f>
        <v>3:41:06.836894</v>
      </c>
      <c r="C3719">
        <v>-61</v>
      </c>
    </row>
    <row r="3720" spans="1:3" x14ac:dyDescent="0.25">
      <c r="A3720">
        <v>37</v>
      </c>
      <c r="B3720" t="str">
        <f>"3:41:08.080225"</f>
        <v>3:41:08.080225</v>
      </c>
      <c r="C3720">
        <v>-73</v>
      </c>
    </row>
    <row r="3721" spans="1:3" x14ac:dyDescent="0.25">
      <c r="A3721">
        <v>38</v>
      </c>
      <c r="B3721" t="str">
        <f>"3:41:08.080922"</f>
        <v>3:41:08.080922</v>
      </c>
      <c r="C3721">
        <v>-63</v>
      </c>
    </row>
    <row r="3722" spans="1:3" x14ac:dyDescent="0.25">
      <c r="A3722">
        <v>39</v>
      </c>
      <c r="B3722" t="str">
        <f>"3:41:08.081619"</f>
        <v>3:41:08.081619</v>
      </c>
      <c r="C3722">
        <v>-61</v>
      </c>
    </row>
    <row r="3723" spans="1:3" x14ac:dyDescent="0.25">
      <c r="A3723">
        <v>37</v>
      </c>
      <c r="B3723" t="str">
        <f>"3:41:09.322170"</f>
        <v>3:41:09.322170</v>
      </c>
      <c r="C3723">
        <v>-74</v>
      </c>
    </row>
    <row r="3724" spans="1:3" x14ac:dyDescent="0.25">
      <c r="A3724">
        <v>38</v>
      </c>
      <c r="B3724" t="str">
        <f>"3:41:09.322867"</f>
        <v>3:41:09.322867</v>
      </c>
      <c r="C3724">
        <v>-63</v>
      </c>
    </row>
    <row r="3725" spans="1:3" x14ac:dyDescent="0.25">
      <c r="A3725">
        <v>39</v>
      </c>
      <c r="B3725" t="str">
        <f>"3:41:09.323564"</f>
        <v>3:41:09.323564</v>
      </c>
      <c r="C3725">
        <v>-61</v>
      </c>
    </row>
    <row r="3726" spans="1:3" x14ac:dyDescent="0.25">
      <c r="A3726">
        <v>37</v>
      </c>
      <c r="B3726" t="str">
        <f>"3:41:10.566102"</f>
        <v>3:41:10.566102</v>
      </c>
      <c r="C3726">
        <v>-74</v>
      </c>
    </row>
    <row r="3727" spans="1:3" x14ac:dyDescent="0.25">
      <c r="A3727">
        <v>38</v>
      </c>
      <c r="B3727" t="str">
        <f>"3:41:10.566799"</f>
        <v>3:41:10.566799</v>
      </c>
      <c r="C3727">
        <v>-63</v>
      </c>
    </row>
    <row r="3728" spans="1:3" x14ac:dyDescent="0.25">
      <c r="A3728">
        <v>39</v>
      </c>
      <c r="B3728" t="str">
        <f>"3:41:10.567496"</f>
        <v>3:41:10.567496</v>
      </c>
      <c r="C3728">
        <v>-61</v>
      </c>
    </row>
    <row r="3729" spans="1:3" x14ac:dyDescent="0.25">
      <c r="A3729">
        <v>37</v>
      </c>
      <c r="B3729" t="str">
        <f>"3:41:11.810227"</f>
        <v>3:41:11.810227</v>
      </c>
      <c r="C3729">
        <v>-74</v>
      </c>
    </row>
    <row r="3730" spans="1:3" x14ac:dyDescent="0.25">
      <c r="A3730">
        <v>38</v>
      </c>
      <c r="B3730" t="str">
        <f>"3:41:11.810924"</f>
        <v>3:41:11.810924</v>
      </c>
      <c r="C3730">
        <v>-63</v>
      </c>
    </row>
    <row r="3731" spans="1:3" x14ac:dyDescent="0.25">
      <c r="A3731">
        <v>39</v>
      </c>
      <c r="B3731" t="str">
        <f>"3:41:11.811621"</f>
        <v>3:41:11.811621</v>
      </c>
      <c r="C3731">
        <v>-61</v>
      </c>
    </row>
    <row r="3732" spans="1:3" x14ac:dyDescent="0.25">
      <c r="A3732">
        <v>37</v>
      </c>
      <c r="B3732" t="str">
        <f>"3:41:13.069107"</f>
        <v>3:41:13.069107</v>
      </c>
      <c r="C3732">
        <v>-74</v>
      </c>
    </row>
    <row r="3733" spans="1:3" x14ac:dyDescent="0.25">
      <c r="A3733">
        <v>38</v>
      </c>
      <c r="B3733" t="str">
        <f>"3:41:13.069804"</f>
        <v>3:41:13.069804</v>
      </c>
      <c r="C3733">
        <v>-63</v>
      </c>
    </row>
    <row r="3734" spans="1:3" x14ac:dyDescent="0.25">
      <c r="A3734">
        <v>39</v>
      </c>
      <c r="B3734" t="str">
        <f>"3:41:13.070501"</f>
        <v>3:41:13.070501</v>
      </c>
      <c r="C3734">
        <v>-61</v>
      </c>
    </row>
    <row r="3735" spans="1:3" x14ac:dyDescent="0.25">
      <c r="A3735">
        <v>38</v>
      </c>
      <c r="B3735" t="str">
        <f>"3:41:14.311700"</f>
        <v>3:41:14.311700</v>
      </c>
      <c r="C3735">
        <v>-63</v>
      </c>
    </row>
    <row r="3736" spans="1:3" x14ac:dyDescent="0.25">
      <c r="A3736">
        <v>39</v>
      </c>
      <c r="B3736" t="str">
        <f>"3:41:14.312397"</f>
        <v>3:41:14.312397</v>
      </c>
      <c r="C3736">
        <v>-61</v>
      </c>
    </row>
    <row r="3737" spans="1:3" x14ac:dyDescent="0.25">
      <c r="A3737">
        <v>37</v>
      </c>
      <c r="B3737" t="str">
        <f>"3:41:16.801157"</f>
        <v>3:41:16.801157</v>
      </c>
      <c r="C3737">
        <v>-73</v>
      </c>
    </row>
    <row r="3738" spans="1:3" x14ac:dyDescent="0.25">
      <c r="A3738">
        <v>38</v>
      </c>
      <c r="B3738" t="str">
        <f>"3:41:16.801854"</f>
        <v>3:41:16.801854</v>
      </c>
      <c r="C3738">
        <v>-63</v>
      </c>
    </row>
    <row r="3739" spans="1:3" x14ac:dyDescent="0.25">
      <c r="A3739">
        <v>39</v>
      </c>
      <c r="B3739" t="str">
        <f>"3:41:16.802551"</f>
        <v>3:41:16.802551</v>
      </c>
      <c r="C3739">
        <v>-61</v>
      </c>
    </row>
    <row r="3740" spans="1:3" x14ac:dyDescent="0.25">
      <c r="A3740">
        <v>37</v>
      </c>
      <c r="B3740" t="str">
        <f>"3:41:18.047634"</f>
        <v>3:41:18.047634</v>
      </c>
      <c r="C3740">
        <v>-74</v>
      </c>
    </row>
    <row r="3741" spans="1:3" x14ac:dyDescent="0.25">
      <c r="A3741">
        <v>38</v>
      </c>
      <c r="B3741" t="str">
        <f>"3:41:18.048331"</f>
        <v>3:41:18.048331</v>
      </c>
      <c r="C3741">
        <v>-63</v>
      </c>
    </row>
    <row r="3742" spans="1:3" x14ac:dyDescent="0.25">
      <c r="A3742">
        <v>39</v>
      </c>
      <c r="B3742" t="str">
        <f>"3:41:18.049028"</f>
        <v>3:41:18.049028</v>
      </c>
      <c r="C3742">
        <v>-61</v>
      </c>
    </row>
    <row r="3743" spans="1:3" x14ac:dyDescent="0.25">
      <c r="A3743">
        <v>37</v>
      </c>
      <c r="B3743" t="str">
        <f>"3:41:19.303132"</f>
        <v>3:41:19.303132</v>
      </c>
      <c r="C3743">
        <v>-74</v>
      </c>
    </row>
    <row r="3744" spans="1:3" x14ac:dyDescent="0.25">
      <c r="A3744">
        <v>38</v>
      </c>
      <c r="B3744" t="str">
        <f>"3:41:19.303829"</f>
        <v>3:41:19.303829</v>
      </c>
      <c r="C3744">
        <v>-63</v>
      </c>
    </row>
    <row r="3745" spans="1:3" x14ac:dyDescent="0.25">
      <c r="A3745">
        <v>39</v>
      </c>
      <c r="B3745" t="str">
        <f>"3:41:19.304526"</f>
        <v>3:41:19.304526</v>
      </c>
      <c r="C3745">
        <v>-61</v>
      </c>
    </row>
    <row r="3746" spans="1:3" x14ac:dyDescent="0.25">
      <c r="A3746">
        <v>39</v>
      </c>
      <c r="B3746" t="str">
        <f>"3:41:20.578553"</f>
        <v>3:41:20.578553</v>
      </c>
      <c r="C3746">
        <v>-61</v>
      </c>
    </row>
    <row r="3747" spans="1:3" x14ac:dyDescent="0.25">
      <c r="A3747">
        <v>37</v>
      </c>
      <c r="B3747" t="str">
        <f>"3:41:21.784628"</f>
        <v>3:41:21.784628</v>
      </c>
      <c r="C3747">
        <v>-74</v>
      </c>
    </row>
    <row r="3748" spans="1:3" x14ac:dyDescent="0.25">
      <c r="A3748">
        <v>38</v>
      </c>
      <c r="B3748" t="str">
        <f>"3:41:21.785325"</f>
        <v>3:41:21.785325</v>
      </c>
      <c r="C3748">
        <v>-64</v>
      </c>
    </row>
    <row r="3749" spans="1:3" x14ac:dyDescent="0.25">
      <c r="A3749">
        <v>39</v>
      </c>
      <c r="B3749" t="str">
        <f>"3:41:21.786022"</f>
        <v>3:41:21.786022</v>
      </c>
      <c r="C3749">
        <v>-60</v>
      </c>
    </row>
    <row r="3750" spans="1:3" x14ac:dyDescent="0.25">
      <c r="A3750">
        <v>38</v>
      </c>
      <c r="B3750" t="str">
        <f>"3:41:23.068920"</f>
        <v>3:41:23.068920</v>
      </c>
      <c r="C3750">
        <v>-64</v>
      </c>
    </row>
    <row r="3751" spans="1:3" x14ac:dyDescent="0.25">
      <c r="A3751">
        <v>39</v>
      </c>
      <c r="B3751" t="str">
        <f>"3:41:23.069617"</f>
        <v>3:41:23.069617</v>
      </c>
      <c r="C3751">
        <v>-61</v>
      </c>
    </row>
    <row r="3752" spans="1:3" x14ac:dyDescent="0.25">
      <c r="A3752">
        <v>37</v>
      </c>
      <c r="B3752" t="str">
        <f>"3:41:24.276609"</f>
        <v>3:41:24.276609</v>
      </c>
      <c r="C3752">
        <v>-74</v>
      </c>
    </row>
    <row r="3753" spans="1:3" x14ac:dyDescent="0.25">
      <c r="A3753">
        <v>38</v>
      </c>
      <c r="B3753" t="str">
        <f>"3:41:24.277306"</f>
        <v>3:41:24.277306</v>
      </c>
      <c r="C3753">
        <v>-63</v>
      </c>
    </row>
    <row r="3754" spans="1:3" x14ac:dyDescent="0.25">
      <c r="A3754">
        <v>39</v>
      </c>
      <c r="B3754" t="str">
        <f>"3:41:24.278003"</f>
        <v>3:41:24.278003</v>
      </c>
      <c r="C3754">
        <v>-61</v>
      </c>
    </row>
    <row r="3755" spans="1:3" x14ac:dyDescent="0.25">
      <c r="A3755">
        <v>37</v>
      </c>
      <c r="B3755" t="str">
        <f>"3:41:25.512443"</f>
        <v>3:41:25.512443</v>
      </c>
      <c r="C3755">
        <v>-74</v>
      </c>
    </row>
    <row r="3756" spans="1:3" x14ac:dyDescent="0.25">
      <c r="A3756">
        <v>38</v>
      </c>
      <c r="B3756" t="str">
        <f>"3:41:25.513140"</f>
        <v>3:41:25.513140</v>
      </c>
      <c r="C3756">
        <v>-63</v>
      </c>
    </row>
    <row r="3757" spans="1:3" x14ac:dyDescent="0.25">
      <c r="A3757">
        <v>39</v>
      </c>
      <c r="B3757" t="str">
        <f>"3:41:25.513837"</f>
        <v>3:41:25.513837</v>
      </c>
      <c r="C3757">
        <v>-61</v>
      </c>
    </row>
    <row r="3758" spans="1:3" x14ac:dyDescent="0.25">
      <c r="A3758">
        <v>38</v>
      </c>
      <c r="B3758" t="str">
        <f>"3:41:26.763282"</f>
        <v>3:41:26.763282</v>
      </c>
      <c r="C3758">
        <v>-63</v>
      </c>
    </row>
    <row r="3759" spans="1:3" x14ac:dyDescent="0.25">
      <c r="A3759">
        <v>39</v>
      </c>
      <c r="B3759" t="str">
        <f>"3:41:26.763979"</f>
        <v>3:41:26.763979</v>
      </c>
      <c r="C3759">
        <v>-61</v>
      </c>
    </row>
    <row r="3760" spans="1:3" x14ac:dyDescent="0.25">
      <c r="A3760">
        <v>37</v>
      </c>
      <c r="B3760" t="str">
        <f>"3:41:28.004124"</f>
        <v>3:41:28.004124</v>
      </c>
      <c r="C3760">
        <v>-73</v>
      </c>
    </row>
    <row r="3761" spans="1:3" x14ac:dyDescent="0.25">
      <c r="A3761">
        <v>38</v>
      </c>
      <c r="B3761" t="str">
        <f>"3:41:28.004821"</f>
        <v>3:41:28.004821</v>
      </c>
      <c r="C3761">
        <v>-63</v>
      </c>
    </row>
    <row r="3762" spans="1:3" x14ac:dyDescent="0.25">
      <c r="A3762">
        <v>39</v>
      </c>
      <c r="B3762" t="str">
        <f>"3:41:28.005518"</f>
        <v>3:41:28.005518</v>
      </c>
      <c r="C3762">
        <v>-61</v>
      </c>
    </row>
    <row r="3763" spans="1:3" x14ac:dyDescent="0.25">
      <c r="A3763">
        <v>37</v>
      </c>
      <c r="B3763" t="str">
        <f>"3:41:29.281126"</f>
        <v>3:41:29.281126</v>
      </c>
      <c r="C3763">
        <v>-75</v>
      </c>
    </row>
    <row r="3764" spans="1:3" x14ac:dyDescent="0.25">
      <c r="A3764">
        <v>38</v>
      </c>
      <c r="B3764" t="str">
        <f>"3:41:29.281823"</f>
        <v>3:41:29.281823</v>
      </c>
      <c r="C3764">
        <v>-63</v>
      </c>
    </row>
    <row r="3765" spans="1:3" x14ac:dyDescent="0.25">
      <c r="A3765">
        <v>39</v>
      </c>
      <c r="B3765" t="str">
        <f>"3:41:29.282520"</f>
        <v>3:41:29.282520</v>
      </c>
      <c r="C3765">
        <v>-61</v>
      </c>
    </row>
    <row r="3766" spans="1:3" x14ac:dyDescent="0.25">
      <c r="A3766">
        <v>38</v>
      </c>
      <c r="B3766" t="str">
        <f>"3:41:30.518443"</f>
        <v>3:41:30.518443</v>
      </c>
      <c r="C3766">
        <v>-63</v>
      </c>
    </row>
    <row r="3767" spans="1:3" x14ac:dyDescent="0.25">
      <c r="A3767">
        <v>39</v>
      </c>
      <c r="B3767" t="str">
        <f>"3:41:30.519140"</f>
        <v>3:41:30.519140</v>
      </c>
      <c r="C3767">
        <v>-61</v>
      </c>
    </row>
    <row r="3768" spans="1:3" x14ac:dyDescent="0.25">
      <c r="A3768">
        <v>37</v>
      </c>
      <c r="B3768" t="str">
        <f>"3:41:31.756265"</f>
        <v>3:41:31.756265</v>
      </c>
      <c r="C3768">
        <v>-74</v>
      </c>
    </row>
    <row r="3769" spans="1:3" x14ac:dyDescent="0.25">
      <c r="A3769">
        <v>38</v>
      </c>
      <c r="B3769" t="str">
        <f>"3:41:31.756962"</f>
        <v>3:41:31.756962</v>
      </c>
      <c r="C3769">
        <v>-63</v>
      </c>
    </row>
    <row r="3770" spans="1:3" x14ac:dyDescent="0.25">
      <c r="A3770">
        <v>39</v>
      </c>
      <c r="B3770" t="str">
        <f>"3:41:31.757659"</f>
        <v>3:41:31.757659</v>
      </c>
      <c r="C3770">
        <v>-61</v>
      </c>
    </row>
    <row r="3771" spans="1:3" x14ac:dyDescent="0.25">
      <c r="A3771">
        <v>37</v>
      </c>
      <c r="B3771" t="str">
        <f>"3:41:32.996947"</f>
        <v>3:41:32.996947</v>
      </c>
      <c r="C3771">
        <v>-74</v>
      </c>
    </row>
    <row r="3772" spans="1:3" x14ac:dyDescent="0.25">
      <c r="A3772">
        <v>38</v>
      </c>
      <c r="B3772" t="str">
        <f>"3:41:32.997644"</f>
        <v>3:41:32.997644</v>
      </c>
      <c r="C3772">
        <v>-63</v>
      </c>
    </row>
    <row r="3773" spans="1:3" x14ac:dyDescent="0.25">
      <c r="A3773">
        <v>39</v>
      </c>
      <c r="B3773" t="str">
        <f>"3:41:32.998341"</f>
        <v>3:41:32.998341</v>
      </c>
      <c r="C3773">
        <v>-61</v>
      </c>
    </row>
    <row r="3774" spans="1:3" x14ac:dyDescent="0.25">
      <c r="A3774">
        <v>37</v>
      </c>
      <c r="B3774" t="str">
        <f>"3:41:34.249146"</f>
        <v>3:41:34.249146</v>
      </c>
      <c r="C3774">
        <v>-74</v>
      </c>
    </row>
    <row r="3775" spans="1:3" x14ac:dyDescent="0.25">
      <c r="A3775">
        <v>38</v>
      </c>
      <c r="B3775" t="str">
        <f>"3:41:34.249843"</f>
        <v>3:41:34.249843</v>
      </c>
      <c r="C3775">
        <v>-63</v>
      </c>
    </row>
    <row r="3776" spans="1:3" x14ac:dyDescent="0.25">
      <c r="A3776">
        <v>39</v>
      </c>
      <c r="B3776" t="str">
        <f>"3:41:34.250540"</f>
        <v>3:41:34.250540</v>
      </c>
      <c r="C3776">
        <v>-61</v>
      </c>
    </row>
    <row r="3777" spans="1:3" x14ac:dyDescent="0.25">
      <c r="A3777">
        <v>37</v>
      </c>
      <c r="B3777" t="str">
        <f>"3:41:35.501044"</f>
        <v>3:41:35.501044</v>
      </c>
      <c r="C3777">
        <v>-73</v>
      </c>
    </row>
    <row r="3778" spans="1:3" x14ac:dyDescent="0.25">
      <c r="A3778">
        <v>38</v>
      </c>
      <c r="B3778" t="str">
        <f>"3:41:35.501741"</f>
        <v>3:41:35.501741</v>
      </c>
      <c r="C3778">
        <v>-63</v>
      </c>
    </row>
    <row r="3779" spans="1:3" x14ac:dyDescent="0.25">
      <c r="A3779">
        <v>39</v>
      </c>
      <c r="B3779" t="str">
        <f>"3:41:35.502438"</f>
        <v>3:41:35.502438</v>
      </c>
      <c r="C3779">
        <v>-61</v>
      </c>
    </row>
    <row r="3780" spans="1:3" x14ac:dyDescent="0.25">
      <c r="A3780">
        <v>38</v>
      </c>
      <c r="B3780" t="str">
        <f>"3:41:36.752995"</f>
        <v>3:41:36.752995</v>
      </c>
      <c r="C3780">
        <v>-63</v>
      </c>
    </row>
    <row r="3781" spans="1:3" x14ac:dyDescent="0.25">
      <c r="A3781">
        <v>39</v>
      </c>
      <c r="B3781" t="str">
        <f>"3:41:36.753692"</f>
        <v>3:41:36.753692</v>
      </c>
      <c r="C3781">
        <v>-61</v>
      </c>
    </row>
    <row r="3782" spans="1:3" x14ac:dyDescent="0.25">
      <c r="A3782">
        <v>37</v>
      </c>
      <c r="B3782" t="str">
        <f>"3:41:37.992547"</f>
        <v>3:41:37.992547</v>
      </c>
      <c r="C3782">
        <v>-74</v>
      </c>
    </row>
    <row r="3783" spans="1:3" x14ac:dyDescent="0.25">
      <c r="A3783">
        <v>38</v>
      </c>
      <c r="B3783" t="str">
        <f>"3:41:37.993244"</f>
        <v>3:41:37.993244</v>
      </c>
      <c r="C3783">
        <v>-63</v>
      </c>
    </row>
    <row r="3784" spans="1:3" x14ac:dyDescent="0.25">
      <c r="A3784">
        <v>39</v>
      </c>
      <c r="B3784" t="str">
        <f>"3:41:37.993941"</f>
        <v>3:41:37.993941</v>
      </c>
      <c r="C3784">
        <v>-61</v>
      </c>
    </row>
    <row r="3785" spans="1:3" x14ac:dyDescent="0.25">
      <c r="A3785">
        <v>37</v>
      </c>
      <c r="B3785" t="str">
        <f>"3:41:39.238595"</f>
        <v>3:41:39.238595</v>
      </c>
      <c r="C3785">
        <v>-74</v>
      </c>
    </row>
    <row r="3786" spans="1:3" x14ac:dyDescent="0.25">
      <c r="A3786">
        <v>38</v>
      </c>
      <c r="B3786" t="str">
        <f>"3:41:39.239292"</f>
        <v>3:41:39.239292</v>
      </c>
      <c r="C3786">
        <v>-63</v>
      </c>
    </row>
    <row r="3787" spans="1:3" x14ac:dyDescent="0.25">
      <c r="A3787">
        <v>39</v>
      </c>
      <c r="B3787" t="str">
        <f>"3:41:39.239989"</f>
        <v>3:41:39.239989</v>
      </c>
      <c r="C3787">
        <v>-61</v>
      </c>
    </row>
    <row r="3788" spans="1:3" x14ac:dyDescent="0.25">
      <c r="A3788">
        <v>37</v>
      </c>
      <c r="B3788" t="str">
        <f>"3:41:40.482071"</f>
        <v>3:41:40.482071</v>
      </c>
      <c r="C3788">
        <v>-74</v>
      </c>
    </row>
    <row r="3789" spans="1:3" x14ac:dyDescent="0.25">
      <c r="A3789">
        <v>38</v>
      </c>
      <c r="B3789" t="str">
        <f>"3:41:40.482768"</f>
        <v>3:41:40.482768</v>
      </c>
      <c r="C3789">
        <v>-63</v>
      </c>
    </row>
    <row r="3790" spans="1:3" x14ac:dyDescent="0.25">
      <c r="A3790">
        <v>39</v>
      </c>
      <c r="B3790" t="str">
        <f>"3:41:40.483465"</f>
        <v>3:41:40.483465</v>
      </c>
      <c r="C3790">
        <v>-61</v>
      </c>
    </row>
    <row r="3791" spans="1:3" x14ac:dyDescent="0.25">
      <c r="A3791">
        <v>38</v>
      </c>
      <c r="B3791" t="str">
        <f>"3:41:41.727594"</f>
        <v>3:41:41.727594</v>
      </c>
      <c r="C3791">
        <v>-63</v>
      </c>
    </row>
    <row r="3792" spans="1:3" x14ac:dyDescent="0.25">
      <c r="A3792">
        <v>39</v>
      </c>
      <c r="B3792" t="str">
        <f>"3:41:41.728291"</f>
        <v>3:41:41.728291</v>
      </c>
      <c r="C3792">
        <v>-61</v>
      </c>
    </row>
    <row r="3793" spans="1:3" x14ac:dyDescent="0.25">
      <c r="A3793">
        <v>37</v>
      </c>
      <c r="B3793" t="str">
        <f>"3:41:42.974377"</f>
        <v>3:41:42.974377</v>
      </c>
      <c r="C3793">
        <v>-74</v>
      </c>
    </row>
    <row r="3794" spans="1:3" x14ac:dyDescent="0.25">
      <c r="A3794">
        <v>38</v>
      </c>
      <c r="B3794" t="str">
        <f>"3:41:42.975074"</f>
        <v>3:41:42.975074</v>
      </c>
      <c r="C3794">
        <v>-63</v>
      </c>
    </row>
    <row r="3795" spans="1:3" x14ac:dyDescent="0.25">
      <c r="A3795">
        <v>39</v>
      </c>
      <c r="B3795" t="str">
        <f>"3:41:42.975771"</f>
        <v>3:41:42.975771</v>
      </c>
      <c r="C3795">
        <v>-61</v>
      </c>
    </row>
    <row r="3796" spans="1:3" x14ac:dyDescent="0.25">
      <c r="A3796">
        <v>37</v>
      </c>
      <c r="B3796" t="str">
        <f>"3:41:44.219125"</f>
        <v>3:41:44.219125</v>
      </c>
      <c r="C3796">
        <v>-74</v>
      </c>
    </row>
    <row r="3797" spans="1:3" x14ac:dyDescent="0.25">
      <c r="A3797">
        <v>38</v>
      </c>
      <c r="B3797" t="str">
        <f>"3:41:44.219821"</f>
        <v>3:41:44.219821</v>
      </c>
      <c r="C3797">
        <v>-63</v>
      </c>
    </row>
    <row r="3798" spans="1:3" x14ac:dyDescent="0.25">
      <c r="A3798">
        <v>39</v>
      </c>
      <c r="B3798" t="str">
        <f>"3:41:44.220518"</f>
        <v>3:41:44.220518</v>
      </c>
      <c r="C3798">
        <v>-61</v>
      </c>
    </row>
    <row r="3799" spans="1:3" x14ac:dyDescent="0.25">
      <c r="A3799">
        <v>37</v>
      </c>
      <c r="B3799" t="str">
        <f>"3:41:45.468298"</f>
        <v>3:41:45.468298</v>
      </c>
      <c r="C3799">
        <v>-74</v>
      </c>
    </row>
    <row r="3800" spans="1:3" x14ac:dyDescent="0.25">
      <c r="A3800">
        <v>38</v>
      </c>
      <c r="B3800" t="str">
        <f>"3:41:45.468995"</f>
        <v>3:41:45.468995</v>
      </c>
      <c r="C3800">
        <v>-63</v>
      </c>
    </row>
    <row r="3801" spans="1:3" x14ac:dyDescent="0.25">
      <c r="A3801">
        <v>39</v>
      </c>
      <c r="B3801" t="str">
        <f>"3:41:45.469692"</f>
        <v>3:41:45.469692</v>
      </c>
      <c r="C3801">
        <v>-61</v>
      </c>
    </row>
    <row r="3802" spans="1:3" x14ac:dyDescent="0.25">
      <c r="A3802">
        <v>37</v>
      </c>
      <c r="B3802" t="str">
        <f>"3:41:46.709524"</f>
        <v>3:41:46.709524</v>
      </c>
      <c r="C3802">
        <v>-74</v>
      </c>
    </row>
    <row r="3803" spans="1:3" x14ac:dyDescent="0.25">
      <c r="A3803">
        <v>38</v>
      </c>
      <c r="B3803" t="str">
        <f>"3:41:46.710221"</f>
        <v>3:41:46.710221</v>
      </c>
      <c r="C3803">
        <v>-63</v>
      </c>
    </row>
    <row r="3804" spans="1:3" x14ac:dyDescent="0.25">
      <c r="A3804">
        <v>39</v>
      </c>
      <c r="B3804" t="str">
        <f>"3:41:46.710918"</f>
        <v>3:41:46.710918</v>
      </c>
      <c r="C3804">
        <v>-61</v>
      </c>
    </row>
    <row r="3805" spans="1:3" x14ac:dyDescent="0.25">
      <c r="A3805">
        <v>37</v>
      </c>
      <c r="B3805" t="str">
        <f>"3:41:47.955250"</f>
        <v>3:41:47.955250</v>
      </c>
      <c r="C3805">
        <v>-74</v>
      </c>
    </row>
    <row r="3806" spans="1:3" x14ac:dyDescent="0.25">
      <c r="A3806">
        <v>38</v>
      </c>
      <c r="B3806" t="str">
        <f>"3:41:47.955947"</f>
        <v>3:41:47.955947</v>
      </c>
      <c r="C3806">
        <v>-63</v>
      </c>
    </row>
    <row r="3807" spans="1:3" x14ac:dyDescent="0.25">
      <c r="A3807">
        <v>39</v>
      </c>
      <c r="B3807" t="str">
        <f>"3:41:47.956644"</f>
        <v>3:41:47.956644</v>
      </c>
      <c r="C3807">
        <v>-61</v>
      </c>
    </row>
    <row r="3808" spans="1:3" x14ac:dyDescent="0.25">
      <c r="A3808">
        <v>37</v>
      </c>
      <c r="B3808" t="str">
        <f>"3:41:49.215857"</f>
        <v>3:41:49.215857</v>
      </c>
      <c r="C3808">
        <v>-74</v>
      </c>
    </row>
    <row r="3809" spans="1:3" x14ac:dyDescent="0.25">
      <c r="A3809">
        <v>38</v>
      </c>
      <c r="B3809" t="str">
        <f>"3:41:49.216553"</f>
        <v>3:41:49.216553</v>
      </c>
      <c r="C3809">
        <v>-63</v>
      </c>
    </row>
    <row r="3810" spans="1:3" x14ac:dyDescent="0.25">
      <c r="A3810">
        <v>39</v>
      </c>
      <c r="B3810" t="str">
        <f>"3:41:49.217250"</f>
        <v>3:41:49.217250</v>
      </c>
      <c r="C3810">
        <v>-61</v>
      </c>
    </row>
    <row r="3811" spans="1:3" x14ac:dyDescent="0.25">
      <c r="A3811">
        <v>38</v>
      </c>
      <c r="B3811" t="str">
        <f>"3:41:50.452998"</f>
        <v>3:41:50.452998</v>
      </c>
      <c r="C3811">
        <v>-62</v>
      </c>
    </row>
    <row r="3812" spans="1:3" x14ac:dyDescent="0.25">
      <c r="A3812">
        <v>39</v>
      </c>
      <c r="B3812" t="str">
        <f>"3:41:50.453695"</f>
        <v>3:41:50.453695</v>
      </c>
      <c r="C3812">
        <v>-61</v>
      </c>
    </row>
    <row r="3813" spans="1:3" x14ac:dyDescent="0.25">
      <c r="A3813">
        <v>37</v>
      </c>
      <c r="B3813" t="str">
        <f>"3:41:51.682975"</f>
        <v>3:41:51.682975</v>
      </c>
      <c r="C3813">
        <v>-74</v>
      </c>
    </row>
    <row r="3814" spans="1:3" x14ac:dyDescent="0.25">
      <c r="A3814">
        <v>38</v>
      </c>
      <c r="B3814" t="str">
        <f>"3:41:51.683672"</f>
        <v>3:41:51.683672</v>
      </c>
      <c r="C3814">
        <v>-63</v>
      </c>
    </row>
    <row r="3815" spans="1:3" x14ac:dyDescent="0.25">
      <c r="A3815">
        <v>39</v>
      </c>
      <c r="B3815" t="str">
        <f>"3:41:51.684369"</f>
        <v>3:41:51.684369</v>
      </c>
      <c r="C3815">
        <v>-61</v>
      </c>
    </row>
    <row r="3816" spans="1:3" x14ac:dyDescent="0.25">
      <c r="A3816">
        <v>39</v>
      </c>
      <c r="B3816" t="str">
        <f>"3:41:52.934541"</f>
        <v>3:41:52.934541</v>
      </c>
      <c r="C3816">
        <v>-62</v>
      </c>
    </row>
    <row r="3817" spans="1:3" x14ac:dyDescent="0.25">
      <c r="A3817">
        <v>37</v>
      </c>
      <c r="B3817" t="str">
        <f>"3:41:54.173711"</f>
        <v>3:41:54.173711</v>
      </c>
      <c r="C3817">
        <v>-74</v>
      </c>
    </row>
    <row r="3818" spans="1:3" x14ac:dyDescent="0.25">
      <c r="A3818">
        <v>38</v>
      </c>
      <c r="B3818" t="str">
        <f>"3:41:54.174408"</f>
        <v>3:41:54.174408</v>
      </c>
      <c r="C3818">
        <v>-63</v>
      </c>
    </row>
    <row r="3819" spans="1:3" x14ac:dyDescent="0.25">
      <c r="A3819">
        <v>39</v>
      </c>
      <c r="B3819" t="str">
        <f>"3:41:54.175105"</f>
        <v>3:41:54.175105</v>
      </c>
      <c r="C3819">
        <v>-61</v>
      </c>
    </row>
    <row r="3820" spans="1:3" x14ac:dyDescent="0.25">
      <c r="A3820">
        <v>37</v>
      </c>
      <c r="B3820" t="str">
        <f>"3:41:55.417276"</f>
        <v>3:41:55.417276</v>
      </c>
      <c r="C3820">
        <v>-74</v>
      </c>
    </row>
    <row r="3821" spans="1:3" x14ac:dyDescent="0.25">
      <c r="A3821">
        <v>38</v>
      </c>
      <c r="B3821" t="str">
        <f>"3:41:55.417973"</f>
        <v>3:41:55.417973</v>
      </c>
      <c r="C3821">
        <v>-63</v>
      </c>
    </row>
    <row r="3822" spans="1:3" x14ac:dyDescent="0.25">
      <c r="A3822">
        <v>39</v>
      </c>
      <c r="B3822" t="str">
        <f>"3:41:55.418670"</f>
        <v>3:41:55.418670</v>
      </c>
      <c r="C3822">
        <v>-61</v>
      </c>
    </row>
    <row r="3823" spans="1:3" x14ac:dyDescent="0.25">
      <c r="A3823">
        <v>37</v>
      </c>
      <c r="B3823" t="str">
        <f>"3:41:56.713944"</f>
        <v>3:41:56.713944</v>
      </c>
      <c r="C3823">
        <v>-74</v>
      </c>
    </row>
    <row r="3824" spans="1:3" x14ac:dyDescent="0.25">
      <c r="A3824">
        <v>38</v>
      </c>
      <c r="B3824" t="str">
        <f>"3:41:56.714641"</f>
        <v>3:41:56.714641</v>
      </c>
      <c r="C3824">
        <v>-63</v>
      </c>
    </row>
    <row r="3825" spans="1:3" x14ac:dyDescent="0.25">
      <c r="A3825">
        <v>39</v>
      </c>
      <c r="B3825" t="str">
        <f>"3:41:56.715338"</f>
        <v>3:41:56.715338</v>
      </c>
      <c r="C3825">
        <v>-61</v>
      </c>
    </row>
    <row r="3826" spans="1:3" x14ac:dyDescent="0.25">
      <c r="A3826">
        <v>37</v>
      </c>
      <c r="B3826" t="str">
        <f>"3:41:57.943777"</f>
        <v>3:41:57.943777</v>
      </c>
      <c r="C3826">
        <v>-74</v>
      </c>
    </row>
    <row r="3827" spans="1:3" x14ac:dyDescent="0.25">
      <c r="A3827">
        <v>38</v>
      </c>
      <c r="B3827" t="str">
        <f>"3:41:57.944474"</f>
        <v>3:41:57.944474</v>
      </c>
      <c r="C3827">
        <v>-63</v>
      </c>
    </row>
    <row r="3828" spans="1:3" x14ac:dyDescent="0.25">
      <c r="A3828">
        <v>39</v>
      </c>
      <c r="B3828" t="str">
        <f>"3:41:57.945171"</f>
        <v>3:41:57.945171</v>
      </c>
      <c r="C3828">
        <v>-61</v>
      </c>
    </row>
    <row r="3829" spans="1:3" x14ac:dyDescent="0.25">
      <c r="A3829">
        <v>37</v>
      </c>
      <c r="B3829" t="str">
        <f>"3:41:59.189487"</f>
        <v>3:41:59.189487</v>
      </c>
      <c r="C3829">
        <v>-74</v>
      </c>
    </row>
    <row r="3830" spans="1:3" x14ac:dyDescent="0.25">
      <c r="A3830">
        <v>38</v>
      </c>
      <c r="B3830" t="str">
        <f>"3:41:59.190184"</f>
        <v>3:41:59.190184</v>
      </c>
      <c r="C3830">
        <v>-63</v>
      </c>
    </row>
    <row r="3831" spans="1:3" x14ac:dyDescent="0.25">
      <c r="A3831">
        <v>39</v>
      </c>
      <c r="B3831" t="str">
        <f>"3:41:59.190881"</f>
        <v>3:41:59.190881</v>
      </c>
      <c r="C3831">
        <v>-61</v>
      </c>
    </row>
    <row r="3832" spans="1:3" x14ac:dyDescent="0.25">
      <c r="A3832">
        <v>37</v>
      </c>
      <c r="B3832" t="str">
        <f>"3:42:00.420423"</f>
        <v>3:42:00.420423</v>
      </c>
      <c r="C3832">
        <v>-74</v>
      </c>
    </row>
    <row r="3833" spans="1:3" x14ac:dyDescent="0.25">
      <c r="A3833">
        <v>38</v>
      </c>
      <c r="B3833" t="str">
        <f>"3:42:00.421120"</f>
        <v>3:42:00.421120</v>
      </c>
      <c r="C3833">
        <v>-63</v>
      </c>
    </row>
    <row r="3834" spans="1:3" x14ac:dyDescent="0.25">
      <c r="A3834">
        <v>39</v>
      </c>
      <c r="B3834" t="str">
        <f>"3:42:00.421817"</f>
        <v>3:42:00.421817</v>
      </c>
      <c r="C3834">
        <v>-61</v>
      </c>
    </row>
    <row r="3835" spans="1:3" x14ac:dyDescent="0.25">
      <c r="A3835">
        <v>37</v>
      </c>
      <c r="B3835" t="str">
        <f>"3:42:01.659421"</f>
        <v>3:42:01.659421</v>
      </c>
      <c r="C3835">
        <v>-73</v>
      </c>
    </row>
    <row r="3836" spans="1:3" x14ac:dyDescent="0.25">
      <c r="A3836">
        <v>38</v>
      </c>
      <c r="B3836" t="str">
        <f>"3:42:01.660118"</f>
        <v>3:42:01.660118</v>
      </c>
      <c r="C3836">
        <v>-64</v>
      </c>
    </row>
    <row r="3837" spans="1:3" x14ac:dyDescent="0.25">
      <c r="A3837">
        <v>39</v>
      </c>
      <c r="B3837" t="str">
        <f>"3:42:01.660815"</f>
        <v>3:42:01.660815</v>
      </c>
      <c r="C3837">
        <v>-61</v>
      </c>
    </row>
    <row r="3838" spans="1:3" x14ac:dyDescent="0.25">
      <c r="A3838">
        <v>38</v>
      </c>
      <c r="B3838" t="str">
        <f>"3:42:02.905144"</f>
        <v>3:42:02.905144</v>
      </c>
      <c r="C3838">
        <v>-63</v>
      </c>
    </row>
    <row r="3839" spans="1:3" x14ac:dyDescent="0.25">
      <c r="A3839">
        <v>39</v>
      </c>
      <c r="B3839" t="str">
        <f>"3:42:02.905841"</f>
        <v>3:42:02.905841</v>
      </c>
      <c r="C3839">
        <v>-61</v>
      </c>
    </row>
    <row r="3840" spans="1:3" x14ac:dyDescent="0.25">
      <c r="A3840">
        <v>38</v>
      </c>
      <c r="B3840" t="str">
        <f>"3:42:04.169664"</f>
        <v>3:42:04.169664</v>
      </c>
      <c r="C3840">
        <v>-63</v>
      </c>
    </row>
    <row r="3841" spans="1:3" x14ac:dyDescent="0.25">
      <c r="A3841">
        <v>39</v>
      </c>
      <c r="B3841" t="str">
        <f>"3:42:04.170361"</f>
        <v>3:42:04.170361</v>
      </c>
      <c r="C3841">
        <v>-61</v>
      </c>
    </row>
    <row r="3842" spans="1:3" x14ac:dyDescent="0.25">
      <c r="A3842">
        <v>37</v>
      </c>
      <c r="B3842" t="str">
        <f>"3:42:05.400322"</f>
        <v>3:42:05.400322</v>
      </c>
      <c r="C3842">
        <v>-71</v>
      </c>
    </row>
    <row r="3843" spans="1:3" x14ac:dyDescent="0.25">
      <c r="A3843">
        <v>38</v>
      </c>
      <c r="B3843" t="str">
        <f>"3:42:05.401019"</f>
        <v>3:42:05.401019</v>
      </c>
      <c r="C3843">
        <v>-63</v>
      </c>
    </row>
    <row r="3844" spans="1:3" x14ac:dyDescent="0.25">
      <c r="A3844">
        <v>39</v>
      </c>
      <c r="B3844" t="str">
        <f>"3:42:05.401716"</f>
        <v>3:42:05.401716</v>
      </c>
      <c r="C3844">
        <v>-61</v>
      </c>
    </row>
    <row r="3845" spans="1:3" x14ac:dyDescent="0.25">
      <c r="A3845">
        <v>37</v>
      </c>
      <c r="B3845" t="str">
        <f>"3:42:06.664744"</f>
        <v>3:42:06.664744</v>
      </c>
      <c r="C3845">
        <v>-74</v>
      </c>
    </row>
    <row r="3846" spans="1:3" x14ac:dyDescent="0.25">
      <c r="A3846">
        <v>38</v>
      </c>
      <c r="B3846" t="str">
        <f>"3:42:06.665441"</f>
        <v>3:42:06.665441</v>
      </c>
      <c r="C3846">
        <v>-64</v>
      </c>
    </row>
    <row r="3847" spans="1:3" x14ac:dyDescent="0.25">
      <c r="A3847">
        <v>39</v>
      </c>
      <c r="B3847" t="str">
        <f>"3:42:06.666138"</f>
        <v>3:42:06.666138</v>
      </c>
      <c r="C3847">
        <v>-61</v>
      </c>
    </row>
    <row r="3848" spans="1:3" x14ac:dyDescent="0.25">
      <c r="A3848">
        <v>38</v>
      </c>
      <c r="B3848" t="str">
        <f>"3:42:07.895795"</f>
        <v>3:42:07.895795</v>
      </c>
      <c r="C3848">
        <v>-63</v>
      </c>
    </row>
    <row r="3849" spans="1:3" x14ac:dyDescent="0.25">
      <c r="A3849">
        <v>39</v>
      </c>
      <c r="B3849" t="str">
        <f>"3:42:07.896492"</f>
        <v>3:42:07.896492</v>
      </c>
      <c r="C3849">
        <v>-61</v>
      </c>
    </row>
    <row r="3850" spans="1:3" x14ac:dyDescent="0.25">
      <c r="A3850">
        <v>37</v>
      </c>
      <c r="B3850" t="str">
        <f>"3:42:09.127510"</f>
        <v>3:42:09.127510</v>
      </c>
      <c r="C3850">
        <v>-74</v>
      </c>
    </row>
    <row r="3851" spans="1:3" x14ac:dyDescent="0.25">
      <c r="A3851">
        <v>38</v>
      </c>
      <c r="B3851" t="str">
        <f>"3:42:09.128207"</f>
        <v>3:42:09.128207</v>
      </c>
      <c r="C3851">
        <v>-63</v>
      </c>
    </row>
    <row r="3852" spans="1:3" x14ac:dyDescent="0.25">
      <c r="A3852">
        <v>39</v>
      </c>
      <c r="B3852" t="str">
        <f>"3:42:09.128904"</f>
        <v>3:42:09.128904</v>
      </c>
      <c r="C3852">
        <v>-61</v>
      </c>
    </row>
    <row r="3853" spans="1:3" x14ac:dyDescent="0.25">
      <c r="A3853">
        <v>38</v>
      </c>
      <c r="B3853" t="str">
        <f>"3:42:10.385290"</f>
        <v>3:42:10.385290</v>
      </c>
      <c r="C3853">
        <v>-63</v>
      </c>
    </row>
    <row r="3854" spans="1:3" x14ac:dyDescent="0.25">
      <c r="A3854">
        <v>39</v>
      </c>
      <c r="B3854" t="str">
        <f>"3:42:10.385987"</f>
        <v>3:42:10.385987</v>
      </c>
      <c r="C3854">
        <v>-61</v>
      </c>
    </row>
    <row r="3855" spans="1:3" x14ac:dyDescent="0.25">
      <c r="A3855">
        <v>37</v>
      </c>
      <c r="B3855" t="str">
        <f>"3:42:11.619723"</f>
        <v>3:42:11.619723</v>
      </c>
      <c r="C3855">
        <v>-73</v>
      </c>
    </row>
    <row r="3856" spans="1:3" x14ac:dyDescent="0.25">
      <c r="A3856">
        <v>38</v>
      </c>
      <c r="B3856" t="str">
        <f>"3:42:11.620420"</f>
        <v>3:42:11.620420</v>
      </c>
      <c r="C3856">
        <v>-63</v>
      </c>
    </row>
    <row r="3857" spans="1:3" x14ac:dyDescent="0.25">
      <c r="A3857">
        <v>39</v>
      </c>
      <c r="B3857" t="str">
        <f>"3:42:11.621117"</f>
        <v>3:42:11.621117</v>
      </c>
      <c r="C3857">
        <v>-61</v>
      </c>
    </row>
    <row r="3858" spans="1:3" x14ac:dyDescent="0.25">
      <c r="A3858">
        <v>37</v>
      </c>
      <c r="B3858" t="str">
        <f>"3:42:12.887874"</f>
        <v>3:42:12.887874</v>
      </c>
      <c r="C3858">
        <v>-74</v>
      </c>
    </row>
    <row r="3859" spans="1:3" x14ac:dyDescent="0.25">
      <c r="A3859">
        <v>38</v>
      </c>
      <c r="B3859" t="str">
        <f>"3:42:12.888571"</f>
        <v>3:42:12.888571</v>
      </c>
      <c r="C3859">
        <v>-63</v>
      </c>
    </row>
    <row r="3860" spans="1:3" x14ac:dyDescent="0.25">
      <c r="A3860">
        <v>39</v>
      </c>
      <c r="B3860" t="str">
        <f>"3:42:12.889268"</f>
        <v>3:42:12.889268</v>
      </c>
      <c r="C3860">
        <v>-61</v>
      </c>
    </row>
    <row r="3861" spans="1:3" x14ac:dyDescent="0.25">
      <c r="A3861">
        <v>37</v>
      </c>
      <c r="B3861" t="str">
        <f>"3:42:14.107148"</f>
        <v>3:42:14.107148</v>
      </c>
      <c r="C3861">
        <v>-74</v>
      </c>
    </row>
    <row r="3862" spans="1:3" x14ac:dyDescent="0.25">
      <c r="A3862">
        <v>38</v>
      </c>
      <c r="B3862" t="str">
        <f>"3:42:14.107845"</f>
        <v>3:42:14.107845</v>
      </c>
      <c r="C3862">
        <v>-63</v>
      </c>
    </row>
    <row r="3863" spans="1:3" x14ac:dyDescent="0.25">
      <c r="A3863">
        <v>39</v>
      </c>
      <c r="B3863" t="str">
        <f>"3:42:14.108542"</f>
        <v>3:42:14.108542</v>
      </c>
      <c r="C3863">
        <v>-61</v>
      </c>
    </row>
    <row r="3864" spans="1:3" x14ac:dyDescent="0.25">
      <c r="A3864">
        <v>37</v>
      </c>
      <c r="B3864" t="str">
        <f>"3:42:15.357824"</f>
        <v>3:42:15.357824</v>
      </c>
      <c r="C3864">
        <v>-74</v>
      </c>
    </row>
    <row r="3865" spans="1:3" x14ac:dyDescent="0.25">
      <c r="A3865">
        <v>38</v>
      </c>
      <c r="B3865" t="str">
        <f>"3:42:15.358521"</f>
        <v>3:42:15.358521</v>
      </c>
      <c r="C3865">
        <v>-63</v>
      </c>
    </row>
    <row r="3866" spans="1:3" x14ac:dyDescent="0.25">
      <c r="A3866">
        <v>39</v>
      </c>
      <c r="B3866" t="str">
        <f>"3:42:15.359218"</f>
        <v>3:42:15.359218</v>
      </c>
      <c r="C3866">
        <v>-61</v>
      </c>
    </row>
    <row r="3867" spans="1:3" x14ac:dyDescent="0.25">
      <c r="A3867">
        <v>39</v>
      </c>
      <c r="B3867" t="str">
        <f>"3:42:16.595294"</f>
        <v>3:42:16.595294</v>
      </c>
      <c r="C3867">
        <v>-61</v>
      </c>
    </row>
    <row r="3868" spans="1:3" x14ac:dyDescent="0.25">
      <c r="A3868">
        <v>37</v>
      </c>
      <c r="B3868" t="str">
        <f>"3:42:17.850525"</f>
        <v>3:42:17.850525</v>
      </c>
      <c r="C3868">
        <v>-74</v>
      </c>
    </row>
    <row r="3869" spans="1:3" x14ac:dyDescent="0.25">
      <c r="A3869">
        <v>38</v>
      </c>
      <c r="B3869" t="str">
        <f>"3:42:17.851222"</f>
        <v>3:42:17.851222</v>
      </c>
      <c r="C3869">
        <v>-63</v>
      </c>
    </row>
    <row r="3870" spans="1:3" x14ac:dyDescent="0.25">
      <c r="A3870">
        <v>39</v>
      </c>
      <c r="B3870" t="str">
        <f>"3:42:17.851919"</f>
        <v>3:42:17.851919</v>
      </c>
      <c r="C3870">
        <v>-61</v>
      </c>
    </row>
    <row r="3871" spans="1:3" x14ac:dyDescent="0.25">
      <c r="A3871">
        <v>37</v>
      </c>
      <c r="B3871" t="str">
        <f>"3:42:19.090851"</f>
        <v>3:42:19.090851</v>
      </c>
      <c r="C3871">
        <v>-74</v>
      </c>
    </row>
    <row r="3872" spans="1:3" x14ac:dyDescent="0.25">
      <c r="A3872">
        <v>38</v>
      </c>
      <c r="B3872" t="str">
        <f>"3:42:19.091548"</f>
        <v>3:42:19.091548</v>
      </c>
      <c r="C3872">
        <v>-63</v>
      </c>
    </row>
    <row r="3873" spans="1:3" x14ac:dyDescent="0.25">
      <c r="A3873">
        <v>39</v>
      </c>
      <c r="B3873" t="str">
        <f>"3:42:19.092245"</f>
        <v>3:42:19.092245</v>
      </c>
      <c r="C3873">
        <v>-61</v>
      </c>
    </row>
    <row r="3874" spans="1:3" x14ac:dyDescent="0.25">
      <c r="A3874">
        <v>37</v>
      </c>
      <c r="B3874" t="str">
        <f>"3:42:20.342155"</f>
        <v>3:42:20.342155</v>
      </c>
      <c r="C3874">
        <v>-74</v>
      </c>
    </row>
    <row r="3875" spans="1:3" x14ac:dyDescent="0.25">
      <c r="A3875">
        <v>38</v>
      </c>
      <c r="B3875" t="str">
        <f>"3:42:20.342852"</f>
        <v>3:42:20.342852</v>
      </c>
      <c r="C3875">
        <v>-63</v>
      </c>
    </row>
    <row r="3876" spans="1:3" x14ac:dyDescent="0.25">
      <c r="A3876">
        <v>39</v>
      </c>
      <c r="B3876" t="str">
        <f>"3:42:20.343549"</f>
        <v>3:42:20.343549</v>
      </c>
      <c r="C3876">
        <v>-61</v>
      </c>
    </row>
    <row r="3877" spans="1:3" x14ac:dyDescent="0.25">
      <c r="A3877">
        <v>37</v>
      </c>
      <c r="B3877" t="str">
        <f>"3:42:21.592802"</f>
        <v>3:42:21.592802</v>
      </c>
      <c r="C3877">
        <v>-74</v>
      </c>
    </row>
    <row r="3878" spans="1:3" x14ac:dyDescent="0.25">
      <c r="A3878">
        <v>38</v>
      </c>
      <c r="B3878" t="str">
        <f>"3:42:21.593499"</f>
        <v>3:42:21.593499</v>
      </c>
      <c r="C3878">
        <v>-63</v>
      </c>
    </row>
    <row r="3879" spans="1:3" x14ac:dyDescent="0.25">
      <c r="A3879">
        <v>39</v>
      </c>
      <c r="B3879" t="str">
        <f>"3:42:21.594196"</f>
        <v>3:42:21.594196</v>
      </c>
      <c r="C3879">
        <v>-61</v>
      </c>
    </row>
    <row r="3880" spans="1:3" x14ac:dyDescent="0.25">
      <c r="A3880">
        <v>39</v>
      </c>
      <c r="B3880" t="str">
        <f>"3:42:22.847736"</f>
        <v>3:42:22.847736</v>
      </c>
      <c r="C3880">
        <v>-62</v>
      </c>
    </row>
    <row r="3881" spans="1:3" x14ac:dyDescent="0.25">
      <c r="A3881">
        <v>37</v>
      </c>
      <c r="B3881" t="str">
        <f>"3:42:24.088178"</f>
        <v>3:42:24.088178</v>
      </c>
      <c r="C3881">
        <v>-74</v>
      </c>
    </row>
    <row r="3882" spans="1:3" x14ac:dyDescent="0.25">
      <c r="A3882">
        <v>38</v>
      </c>
      <c r="B3882" t="str">
        <f>"3:42:24.088875"</f>
        <v>3:42:24.088875</v>
      </c>
      <c r="C3882">
        <v>-63</v>
      </c>
    </row>
    <row r="3883" spans="1:3" x14ac:dyDescent="0.25">
      <c r="A3883">
        <v>39</v>
      </c>
      <c r="B3883" t="str">
        <f>"3:42:24.089572"</f>
        <v>3:42:24.089572</v>
      </c>
      <c r="C3883">
        <v>-61</v>
      </c>
    </row>
    <row r="3884" spans="1:3" x14ac:dyDescent="0.25">
      <c r="A3884">
        <v>38</v>
      </c>
      <c r="B3884" t="str">
        <f>"3:42:25.330901"</f>
        <v>3:42:25.330901</v>
      </c>
      <c r="C3884">
        <v>-63</v>
      </c>
    </row>
    <row r="3885" spans="1:3" x14ac:dyDescent="0.25">
      <c r="A3885">
        <v>39</v>
      </c>
      <c r="B3885" t="str">
        <f>"3:42:25.331598"</f>
        <v>3:42:25.331598</v>
      </c>
      <c r="C3885">
        <v>-61</v>
      </c>
    </row>
    <row r="3886" spans="1:3" x14ac:dyDescent="0.25">
      <c r="A3886">
        <v>37</v>
      </c>
      <c r="B3886" t="str">
        <f>"3:42:26.576895"</f>
        <v>3:42:26.576895</v>
      </c>
      <c r="C3886">
        <v>-74</v>
      </c>
    </row>
    <row r="3887" spans="1:3" x14ac:dyDescent="0.25">
      <c r="A3887">
        <v>38</v>
      </c>
      <c r="B3887" t="str">
        <f>"3:42:26.577592"</f>
        <v>3:42:26.577592</v>
      </c>
      <c r="C3887">
        <v>-63</v>
      </c>
    </row>
    <row r="3888" spans="1:3" x14ac:dyDescent="0.25">
      <c r="A3888">
        <v>39</v>
      </c>
      <c r="B3888" t="str">
        <f>"3:42:26.578289"</f>
        <v>3:42:26.578289</v>
      </c>
      <c r="C3888">
        <v>-61</v>
      </c>
    </row>
    <row r="3889" spans="1:3" x14ac:dyDescent="0.25">
      <c r="A3889">
        <v>37</v>
      </c>
      <c r="B3889" t="str">
        <f>"3:42:27.862437"</f>
        <v>3:42:27.862437</v>
      </c>
      <c r="C3889">
        <v>-74</v>
      </c>
    </row>
    <row r="3890" spans="1:3" x14ac:dyDescent="0.25">
      <c r="A3890">
        <v>38</v>
      </c>
      <c r="B3890" t="str">
        <f>"3:42:27.863134"</f>
        <v>3:42:27.863134</v>
      </c>
      <c r="C3890">
        <v>-63</v>
      </c>
    </row>
    <row r="3891" spans="1:3" x14ac:dyDescent="0.25">
      <c r="A3891">
        <v>39</v>
      </c>
      <c r="B3891" t="str">
        <f>"3:42:27.863831"</f>
        <v>3:42:27.863831</v>
      </c>
      <c r="C3891">
        <v>-61</v>
      </c>
    </row>
    <row r="3892" spans="1:3" x14ac:dyDescent="0.25">
      <c r="A3892">
        <v>37</v>
      </c>
      <c r="B3892" t="str">
        <f>"3:42:29.074379"</f>
        <v>3:42:29.074379</v>
      </c>
      <c r="C3892">
        <v>-74</v>
      </c>
    </row>
    <row r="3893" spans="1:3" x14ac:dyDescent="0.25">
      <c r="A3893">
        <v>38</v>
      </c>
      <c r="B3893" t="str">
        <f>"3:42:29.075076"</f>
        <v>3:42:29.075076</v>
      </c>
      <c r="C3893">
        <v>-63</v>
      </c>
    </row>
    <row r="3894" spans="1:3" x14ac:dyDescent="0.25">
      <c r="A3894">
        <v>39</v>
      </c>
      <c r="B3894" t="str">
        <f>"3:42:29.075773"</f>
        <v>3:42:29.075773</v>
      </c>
      <c r="C3894">
        <v>-61</v>
      </c>
    </row>
    <row r="3895" spans="1:3" x14ac:dyDescent="0.25">
      <c r="A3895">
        <v>37</v>
      </c>
      <c r="B3895" t="str">
        <f>"3:42:30.327169"</f>
        <v>3:42:30.327169</v>
      </c>
      <c r="C3895">
        <v>-74</v>
      </c>
    </row>
    <row r="3896" spans="1:3" x14ac:dyDescent="0.25">
      <c r="A3896">
        <v>38</v>
      </c>
      <c r="B3896" t="str">
        <f>"3:42:30.327866"</f>
        <v>3:42:30.327866</v>
      </c>
      <c r="C3896">
        <v>-63</v>
      </c>
    </row>
    <row r="3897" spans="1:3" x14ac:dyDescent="0.25">
      <c r="A3897">
        <v>39</v>
      </c>
      <c r="B3897" t="str">
        <f>"3:42:30.328563"</f>
        <v>3:42:30.328563</v>
      </c>
      <c r="C3897">
        <v>-61</v>
      </c>
    </row>
    <row r="3898" spans="1:3" x14ac:dyDescent="0.25">
      <c r="A3898">
        <v>37</v>
      </c>
      <c r="B3898" t="str">
        <f>"3:42:31.559139"</f>
        <v>3:42:31.559139</v>
      </c>
      <c r="C3898">
        <v>-73</v>
      </c>
    </row>
    <row r="3899" spans="1:3" x14ac:dyDescent="0.25">
      <c r="A3899">
        <v>38</v>
      </c>
      <c r="B3899" t="str">
        <f>"3:42:31.559836"</f>
        <v>3:42:31.559836</v>
      </c>
      <c r="C3899">
        <v>-63</v>
      </c>
    </row>
    <row r="3900" spans="1:3" x14ac:dyDescent="0.25">
      <c r="A3900">
        <v>39</v>
      </c>
      <c r="B3900" t="str">
        <f>"3:42:31.560533"</f>
        <v>3:42:31.560533</v>
      </c>
      <c r="C3900">
        <v>-61</v>
      </c>
    </row>
    <row r="3901" spans="1:3" x14ac:dyDescent="0.25">
      <c r="A3901">
        <v>37</v>
      </c>
      <c r="B3901" t="str">
        <f>"3:42:32.824751"</f>
        <v>3:42:32.824751</v>
      </c>
      <c r="C3901">
        <v>-74</v>
      </c>
    </row>
    <row r="3902" spans="1:3" x14ac:dyDescent="0.25">
      <c r="A3902">
        <v>38</v>
      </c>
      <c r="B3902" t="str">
        <f>"3:42:32.825448"</f>
        <v>3:42:32.825448</v>
      </c>
      <c r="C3902">
        <v>-63</v>
      </c>
    </row>
    <row r="3903" spans="1:3" x14ac:dyDescent="0.25">
      <c r="A3903">
        <v>39</v>
      </c>
      <c r="B3903" t="str">
        <f>"3:42:32.826145"</f>
        <v>3:42:32.826145</v>
      </c>
      <c r="C3903">
        <v>-61</v>
      </c>
    </row>
    <row r="3904" spans="1:3" x14ac:dyDescent="0.25">
      <c r="A3904">
        <v>37</v>
      </c>
      <c r="B3904" t="str">
        <f>"3:42:34.042782"</f>
        <v>3:42:34.042782</v>
      </c>
      <c r="C3904">
        <v>-74</v>
      </c>
    </row>
    <row r="3905" spans="1:3" x14ac:dyDescent="0.25">
      <c r="A3905">
        <v>38</v>
      </c>
      <c r="B3905" t="str">
        <f>"3:42:34.043478"</f>
        <v>3:42:34.043478</v>
      </c>
      <c r="C3905">
        <v>-63</v>
      </c>
    </row>
    <row r="3906" spans="1:3" x14ac:dyDescent="0.25">
      <c r="A3906">
        <v>39</v>
      </c>
      <c r="B3906" t="str">
        <f>"3:42:34.044176"</f>
        <v>3:42:34.044176</v>
      </c>
      <c r="C3906">
        <v>-61</v>
      </c>
    </row>
    <row r="3907" spans="1:3" x14ac:dyDescent="0.25">
      <c r="A3907">
        <v>37</v>
      </c>
      <c r="B3907" t="str">
        <f>"3:42:35.318860"</f>
        <v>3:42:35.318860</v>
      </c>
      <c r="C3907">
        <v>-74</v>
      </c>
    </row>
    <row r="3908" spans="1:3" x14ac:dyDescent="0.25">
      <c r="A3908">
        <v>38</v>
      </c>
      <c r="B3908" t="str">
        <f>"3:42:35.319557"</f>
        <v>3:42:35.319557</v>
      </c>
      <c r="C3908">
        <v>-63</v>
      </c>
    </row>
    <row r="3909" spans="1:3" x14ac:dyDescent="0.25">
      <c r="A3909">
        <v>39</v>
      </c>
      <c r="B3909" t="str">
        <f>"3:42:35.320254"</f>
        <v>3:42:35.320254</v>
      </c>
      <c r="C3909">
        <v>-61</v>
      </c>
    </row>
    <row r="3910" spans="1:3" x14ac:dyDescent="0.25">
      <c r="A3910">
        <v>37</v>
      </c>
      <c r="B3910" t="str">
        <f>"3:42:36.536157"</f>
        <v>3:42:36.536157</v>
      </c>
      <c r="C3910">
        <v>-74</v>
      </c>
    </row>
    <row r="3911" spans="1:3" x14ac:dyDescent="0.25">
      <c r="A3911">
        <v>38</v>
      </c>
      <c r="B3911" t="str">
        <f>"3:42:36.536854"</f>
        <v>3:42:36.536854</v>
      </c>
      <c r="C3911">
        <v>-63</v>
      </c>
    </row>
    <row r="3912" spans="1:3" x14ac:dyDescent="0.25">
      <c r="A3912">
        <v>39</v>
      </c>
      <c r="B3912" t="str">
        <f>"3:42:36.537551"</f>
        <v>3:42:36.537551</v>
      </c>
      <c r="C3912">
        <v>-61</v>
      </c>
    </row>
    <row r="3913" spans="1:3" x14ac:dyDescent="0.25">
      <c r="A3913">
        <v>37</v>
      </c>
      <c r="B3913" t="str">
        <f>"3:42:37.793198"</f>
        <v>3:42:37.793198</v>
      </c>
      <c r="C3913">
        <v>-73</v>
      </c>
    </row>
    <row r="3914" spans="1:3" x14ac:dyDescent="0.25">
      <c r="A3914">
        <v>38</v>
      </c>
      <c r="B3914" t="str">
        <f>"3:42:37.793895"</f>
        <v>3:42:37.793895</v>
      </c>
      <c r="C3914">
        <v>-63</v>
      </c>
    </row>
    <row r="3915" spans="1:3" x14ac:dyDescent="0.25">
      <c r="A3915">
        <v>39</v>
      </c>
      <c r="B3915" t="str">
        <f>"3:42:37.794592"</f>
        <v>3:42:37.794592</v>
      </c>
      <c r="C3915">
        <v>-61</v>
      </c>
    </row>
    <row r="3916" spans="1:3" x14ac:dyDescent="0.25">
      <c r="A3916">
        <v>37</v>
      </c>
      <c r="B3916" t="str">
        <f>"3:42:39.044231"</f>
        <v>3:42:39.044231</v>
      </c>
      <c r="C3916">
        <v>-74</v>
      </c>
    </row>
    <row r="3917" spans="1:3" x14ac:dyDescent="0.25">
      <c r="A3917">
        <v>38</v>
      </c>
      <c r="B3917" t="str">
        <f>"3:42:39.044928"</f>
        <v>3:42:39.044928</v>
      </c>
      <c r="C3917">
        <v>-63</v>
      </c>
    </row>
    <row r="3918" spans="1:3" x14ac:dyDescent="0.25">
      <c r="A3918">
        <v>39</v>
      </c>
      <c r="B3918" t="str">
        <f>"3:42:39.045625"</f>
        <v>3:42:39.045625</v>
      </c>
      <c r="C3918">
        <v>-61</v>
      </c>
    </row>
    <row r="3919" spans="1:3" x14ac:dyDescent="0.25">
      <c r="A3919">
        <v>37</v>
      </c>
      <c r="B3919" t="str">
        <f>"3:42:40.272049"</f>
        <v>3:42:40.272049</v>
      </c>
      <c r="C3919">
        <v>-73</v>
      </c>
    </row>
    <row r="3920" spans="1:3" x14ac:dyDescent="0.25">
      <c r="A3920">
        <v>38</v>
      </c>
      <c r="B3920" t="str">
        <f>"3:42:40.272746"</f>
        <v>3:42:40.272746</v>
      </c>
      <c r="C3920">
        <v>-63</v>
      </c>
    </row>
    <row r="3921" spans="1:3" x14ac:dyDescent="0.25">
      <c r="A3921">
        <v>39</v>
      </c>
      <c r="B3921" t="str">
        <f>"3:42:40.273443"</f>
        <v>3:42:40.273443</v>
      </c>
      <c r="C3921">
        <v>-61</v>
      </c>
    </row>
    <row r="3922" spans="1:3" x14ac:dyDescent="0.25">
      <c r="A3922">
        <v>37</v>
      </c>
      <c r="B3922" t="str">
        <f>"3:42:41.517882"</f>
        <v>3:42:41.517882</v>
      </c>
      <c r="C3922">
        <v>-73</v>
      </c>
    </row>
    <row r="3923" spans="1:3" x14ac:dyDescent="0.25">
      <c r="A3923">
        <v>38</v>
      </c>
      <c r="B3923" t="str">
        <f>"3:42:41.518579"</f>
        <v>3:42:41.518579</v>
      </c>
      <c r="C3923">
        <v>-63</v>
      </c>
    </row>
    <row r="3924" spans="1:3" x14ac:dyDescent="0.25">
      <c r="A3924">
        <v>39</v>
      </c>
      <c r="B3924" t="str">
        <f>"3:42:41.519276"</f>
        <v>3:42:41.519276</v>
      </c>
      <c r="C3924">
        <v>-61</v>
      </c>
    </row>
    <row r="3925" spans="1:3" x14ac:dyDescent="0.25">
      <c r="A3925">
        <v>39</v>
      </c>
      <c r="B3925" t="str">
        <f>"3:42:42.758401"</f>
        <v>3:42:42.758401</v>
      </c>
      <c r="C3925">
        <v>-61</v>
      </c>
    </row>
    <row r="3926" spans="1:3" x14ac:dyDescent="0.25">
      <c r="A3926">
        <v>37</v>
      </c>
      <c r="B3926" t="str">
        <f>"3:42:44.002999"</f>
        <v>3:42:44.002999</v>
      </c>
      <c r="C3926">
        <v>-74</v>
      </c>
    </row>
    <row r="3927" spans="1:3" x14ac:dyDescent="0.25">
      <c r="A3927">
        <v>38</v>
      </c>
      <c r="B3927" t="str">
        <f>"3:42:44.003696"</f>
        <v>3:42:44.003696</v>
      </c>
      <c r="C3927">
        <v>-63</v>
      </c>
    </row>
    <row r="3928" spans="1:3" x14ac:dyDescent="0.25">
      <c r="A3928">
        <v>39</v>
      </c>
      <c r="B3928" t="str">
        <f>"3:42:44.004393"</f>
        <v>3:42:44.004393</v>
      </c>
      <c r="C3928">
        <v>-61</v>
      </c>
    </row>
    <row r="3929" spans="1:3" x14ac:dyDescent="0.25">
      <c r="A3929">
        <v>37</v>
      </c>
      <c r="B3929" t="str">
        <f>"3:42:45.243159"</f>
        <v>3:42:45.243159</v>
      </c>
      <c r="C3929">
        <v>-73</v>
      </c>
    </row>
    <row r="3930" spans="1:3" x14ac:dyDescent="0.25">
      <c r="A3930">
        <v>38</v>
      </c>
      <c r="B3930" t="str">
        <f>"3:42:45.243856"</f>
        <v>3:42:45.243856</v>
      </c>
      <c r="C3930">
        <v>-63</v>
      </c>
    </row>
    <row r="3931" spans="1:3" x14ac:dyDescent="0.25">
      <c r="A3931">
        <v>39</v>
      </c>
      <c r="B3931" t="str">
        <f>"3:42:45.244553"</f>
        <v>3:42:45.244553</v>
      </c>
      <c r="C3931">
        <v>-61</v>
      </c>
    </row>
    <row r="3932" spans="1:3" x14ac:dyDescent="0.25">
      <c r="A3932">
        <v>37</v>
      </c>
      <c r="B3932" t="str">
        <f>"3:42:46.490984"</f>
        <v>3:42:46.490984</v>
      </c>
      <c r="C3932">
        <v>-74</v>
      </c>
    </row>
    <row r="3933" spans="1:3" x14ac:dyDescent="0.25">
      <c r="A3933">
        <v>38</v>
      </c>
      <c r="B3933" t="str">
        <f>"3:42:46.491681"</f>
        <v>3:42:46.491681</v>
      </c>
      <c r="C3933">
        <v>-63</v>
      </c>
    </row>
    <row r="3934" spans="1:3" x14ac:dyDescent="0.25">
      <c r="A3934">
        <v>39</v>
      </c>
      <c r="B3934" t="str">
        <f>"3:42:46.492378"</f>
        <v>3:42:46.492378</v>
      </c>
      <c r="C3934">
        <v>-61</v>
      </c>
    </row>
    <row r="3935" spans="1:3" x14ac:dyDescent="0.25">
      <c r="A3935">
        <v>37</v>
      </c>
      <c r="B3935" t="str">
        <f>"3:42:47.754395"</f>
        <v>3:42:47.754395</v>
      </c>
      <c r="C3935">
        <v>-74</v>
      </c>
    </row>
    <row r="3936" spans="1:3" x14ac:dyDescent="0.25">
      <c r="A3936">
        <v>38</v>
      </c>
      <c r="B3936" t="str">
        <f>"3:42:47.755092"</f>
        <v>3:42:47.755092</v>
      </c>
      <c r="C3936">
        <v>-63</v>
      </c>
    </row>
    <row r="3937" spans="1:3" x14ac:dyDescent="0.25">
      <c r="A3937">
        <v>39</v>
      </c>
      <c r="B3937" t="str">
        <f>"3:42:47.755789"</f>
        <v>3:42:47.755789</v>
      </c>
      <c r="C3937">
        <v>-61</v>
      </c>
    </row>
    <row r="3938" spans="1:3" x14ac:dyDescent="0.25">
      <c r="A3938">
        <v>37</v>
      </c>
      <c r="B3938" t="str">
        <f>"3:42:49.002342"</f>
        <v>3:42:49.002342</v>
      </c>
      <c r="C3938">
        <v>-74</v>
      </c>
    </row>
    <row r="3939" spans="1:3" x14ac:dyDescent="0.25">
      <c r="A3939">
        <v>38</v>
      </c>
      <c r="B3939" t="str">
        <f>"3:42:49.003039"</f>
        <v>3:42:49.003039</v>
      </c>
      <c r="C3939">
        <v>-63</v>
      </c>
    </row>
    <row r="3940" spans="1:3" x14ac:dyDescent="0.25">
      <c r="A3940">
        <v>39</v>
      </c>
      <c r="B3940" t="str">
        <f>"3:42:49.003736"</f>
        <v>3:42:49.003736</v>
      </c>
      <c r="C3940">
        <v>-61</v>
      </c>
    </row>
    <row r="3941" spans="1:3" x14ac:dyDescent="0.25">
      <c r="A3941">
        <v>37</v>
      </c>
      <c r="B3941" t="str">
        <f>"3:42:50.233510"</f>
        <v>3:42:50.233510</v>
      </c>
      <c r="C3941">
        <v>-74</v>
      </c>
    </row>
    <row r="3942" spans="1:3" x14ac:dyDescent="0.25">
      <c r="A3942">
        <v>38</v>
      </c>
      <c r="B3942" t="str">
        <f>"3:42:50.234206"</f>
        <v>3:42:50.234206</v>
      </c>
      <c r="C3942">
        <v>-63</v>
      </c>
    </row>
    <row r="3943" spans="1:3" x14ac:dyDescent="0.25">
      <c r="A3943">
        <v>39</v>
      </c>
      <c r="B3943" t="str">
        <f>"3:42:50.234904"</f>
        <v>3:42:50.234904</v>
      </c>
      <c r="C3943">
        <v>-61</v>
      </c>
    </row>
    <row r="3944" spans="1:3" x14ac:dyDescent="0.25">
      <c r="A3944">
        <v>37</v>
      </c>
      <c r="B3944" t="str">
        <f>"3:42:52.727385"</f>
        <v>3:42:52.727385</v>
      </c>
      <c r="C3944">
        <v>-74</v>
      </c>
    </row>
    <row r="3945" spans="1:3" x14ac:dyDescent="0.25">
      <c r="A3945">
        <v>38</v>
      </c>
      <c r="B3945" t="str">
        <f>"3:42:52.728082"</f>
        <v>3:42:52.728082</v>
      </c>
      <c r="C3945">
        <v>-63</v>
      </c>
    </row>
    <row r="3946" spans="1:3" x14ac:dyDescent="0.25">
      <c r="A3946">
        <v>39</v>
      </c>
      <c r="B3946" t="str">
        <f>"3:42:52.728779"</f>
        <v>3:42:52.728779</v>
      </c>
      <c r="C3946">
        <v>-61</v>
      </c>
    </row>
    <row r="3947" spans="1:3" x14ac:dyDescent="0.25">
      <c r="A3947">
        <v>37</v>
      </c>
      <c r="B3947" t="str">
        <f>"3:42:53.975761"</f>
        <v>3:42:53.975761</v>
      </c>
      <c r="C3947">
        <v>-74</v>
      </c>
    </row>
    <row r="3948" spans="1:3" x14ac:dyDescent="0.25">
      <c r="A3948">
        <v>38</v>
      </c>
      <c r="B3948" t="str">
        <f>"3:42:53.976458"</f>
        <v>3:42:53.976458</v>
      </c>
      <c r="C3948">
        <v>-63</v>
      </c>
    </row>
    <row r="3949" spans="1:3" x14ac:dyDescent="0.25">
      <c r="A3949">
        <v>39</v>
      </c>
      <c r="B3949" t="str">
        <f>"3:42:53.977155"</f>
        <v>3:42:53.977155</v>
      </c>
      <c r="C3949">
        <v>-61</v>
      </c>
    </row>
    <row r="3950" spans="1:3" x14ac:dyDescent="0.25">
      <c r="A3950">
        <v>37</v>
      </c>
      <c r="B3950" t="str">
        <f>"3:42:55.252862"</f>
        <v>3:42:55.252862</v>
      </c>
      <c r="C3950">
        <v>-73</v>
      </c>
    </row>
    <row r="3951" spans="1:3" x14ac:dyDescent="0.25">
      <c r="A3951">
        <v>38</v>
      </c>
      <c r="B3951" t="str">
        <f>"3:42:55.253559"</f>
        <v>3:42:55.253559</v>
      </c>
      <c r="C3951">
        <v>-63</v>
      </c>
    </row>
    <row r="3952" spans="1:3" x14ac:dyDescent="0.25">
      <c r="A3952">
        <v>39</v>
      </c>
      <c r="B3952" t="str">
        <f>"3:42:55.254256"</f>
        <v>3:42:55.254256</v>
      </c>
      <c r="C3952">
        <v>-61</v>
      </c>
    </row>
    <row r="3953" spans="1:3" x14ac:dyDescent="0.25">
      <c r="A3953">
        <v>38</v>
      </c>
      <c r="B3953" t="str">
        <f>"3:42:56.468695"</f>
        <v>3:42:56.468695</v>
      </c>
      <c r="C3953">
        <v>-64</v>
      </c>
    </row>
    <row r="3954" spans="1:3" x14ac:dyDescent="0.25">
      <c r="A3954">
        <v>39</v>
      </c>
      <c r="B3954" t="str">
        <f>"3:42:56.469392"</f>
        <v>3:42:56.469392</v>
      </c>
      <c r="C3954">
        <v>-61</v>
      </c>
    </row>
    <row r="3955" spans="1:3" x14ac:dyDescent="0.25">
      <c r="A3955">
        <v>37</v>
      </c>
      <c r="B3955" t="str">
        <f>"3:42:57.736841"</f>
        <v>3:42:57.736841</v>
      </c>
      <c r="C3955">
        <v>-74</v>
      </c>
    </row>
    <row r="3956" spans="1:3" x14ac:dyDescent="0.25">
      <c r="A3956">
        <v>39</v>
      </c>
      <c r="B3956" t="str">
        <f>"3:42:57.738235"</f>
        <v>3:42:57.738235</v>
      </c>
      <c r="C3956">
        <v>-60</v>
      </c>
    </row>
    <row r="3957" spans="1:3" x14ac:dyDescent="0.25">
      <c r="A3957">
        <v>37</v>
      </c>
      <c r="B3957" t="str">
        <f>"3:42:58.958565"</f>
        <v>3:42:58.958565</v>
      </c>
      <c r="C3957">
        <v>-74</v>
      </c>
    </row>
    <row r="3958" spans="1:3" x14ac:dyDescent="0.25">
      <c r="A3958">
        <v>38</v>
      </c>
      <c r="B3958" t="str">
        <f>"3:42:58.959262"</f>
        <v>3:42:58.959262</v>
      </c>
      <c r="C3958">
        <v>-63</v>
      </c>
    </row>
    <row r="3959" spans="1:3" x14ac:dyDescent="0.25">
      <c r="A3959">
        <v>39</v>
      </c>
      <c r="B3959" t="str">
        <f>"3:42:58.959959"</f>
        <v>3:42:58.959959</v>
      </c>
      <c r="C3959">
        <v>-61</v>
      </c>
    </row>
    <row r="3960" spans="1:3" x14ac:dyDescent="0.25">
      <c r="A3960">
        <v>37</v>
      </c>
      <c r="B3960" t="str">
        <f>"3:43:00.194891"</f>
        <v>3:43:00.194891</v>
      </c>
      <c r="C3960">
        <v>-74</v>
      </c>
    </row>
    <row r="3961" spans="1:3" x14ac:dyDescent="0.25">
      <c r="A3961">
        <v>38</v>
      </c>
      <c r="B3961" t="str">
        <f>"3:43:00.195588"</f>
        <v>3:43:00.195588</v>
      </c>
      <c r="C3961">
        <v>-63</v>
      </c>
    </row>
    <row r="3962" spans="1:3" x14ac:dyDescent="0.25">
      <c r="A3962">
        <v>39</v>
      </c>
      <c r="B3962" t="str">
        <f>"3:43:00.196285"</f>
        <v>3:43:00.196285</v>
      </c>
      <c r="C3962">
        <v>-61</v>
      </c>
    </row>
    <row r="3963" spans="1:3" x14ac:dyDescent="0.25">
      <c r="A3963">
        <v>37</v>
      </c>
      <c r="B3963" t="str">
        <f>"3:43:02.692416"</f>
        <v>3:43:02.692416</v>
      </c>
      <c r="C3963">
        <v>-73</v>
      </c>
    </row>
    <row r="3964" spans="1:3" x14ac:dyDescent="0.25">
      <c r="A3964">
        <v>37</v>
      </c>
      <c r="B3964" t="str">
        <f>"3:43:02.692919"</f>
        <v>3:43:02.692919</v>
      </c>
      <c r="C3964">
        <v>-64</v>
      </c>
    </row>
    <row r="3965" spans="1:3" x14ac:dyDescent="0.25">
      <c r="A3965">
        <v>37</v>
      </c>
      <c r="B3965" t="str">
        <f>"3:43:02.693245"</f>
        <v>3:43:02.693245</v>
      </c>
      <c r="C3965">
        <v>-74</v>
      </c>
    </row>
    <row r="3966" spans="1:3" x14ac:dyDescent="0.25">
      <c r="A3966">
        <v>38</v>
      </c>
      <c r="B3966" t="str">
        <f>"3:43:02.693516"</f>
        <v>3:43:02.693516</v>
      </c>
      <c r="C3966">
        <v>-63</v>
      </c>
    </row>
    <row r="3967" spans="1:3" x14ac:dyDescent="0.25">
      <c r="A3967">
        <v>39</v>
      </c>
      <c r="B3967" t="str">
        <f>"3:43:02.694213"</f>
        <v>3:43:02.694213</v>
      </c>
      <c r="C3967">
        <v>-61</v>
      </c>
    </row>
    <row r="3968" spans="1:3" x14ac:dyDescent="0.25">
      <c r="A3968">
        <v>37</v>
      </c>
      <c r="B3968" t="str">
        <f>"3:43:03.937297"</f>
        <v>3:43:03.937297</v>
      </c>
      <c r="C3968">
        <v>-74</v>
      </c>
    </row>
    <row r="3969" spans="1:3" x14ac:dyDescent="0.25">
      <c r="A3969">
        <v>38</v>
      </c>
      <c r="B3969" t="str">
        <f>"3:43:03.937994"</f>
        <v>3:43:03.937994</v>
      </c>
      <c r="C3969">
        <v>-63</v>
      </c>
    </row>
    <row r="3970" spans="1:3" x14ac:dyDescent="0.25">
      <c r="A3970">
        <v>39</v>
      </c>
      <c r="B3970" t="str">
        <f>"3:43:03.938691"</f>
        <v>3:43:03.938691</v>
      </c>
      <c r="C3970">
        <v>-61</v>
      </c>
    </row>
    <row r="3971" spans="1:3" x14ac:dyDescent="0.25">
      <c r="A3971">
        <v>37</v>
      </c>
      <c r="B3971" t="str">
        <f>"3:43:05.196945"</f>
        <v>3:43:05.196945</v>
      </c>
      <c r="C3971">
        <v>-74</v>
      </c>
    </row>
    <row r="3972" spans="1:3" x14ac:dyDescent="0.25">
      <c r="A3972">
        <v>38</v>
      </c>
      <c r="B3972" t="str">
        <f>"3:43:05.197642"</f>
        <v>3:43:05.197642</v>
      </c>
      <c r="C3972">
        <v>-63</v>
      </c>
    </row>
    <row r="3973" spans="1:3" x14ac:dyDescent="0.25">
      <c r="A3973">
        <v>39</v>
      </c>
      <c r="B3973" t="str">
        <f>"3:43:05.198339"</f>
        <v>3:43:05.198339</v>
      </c>
      <c r="C3973">
        <v>-61</v>
      </c>
    </row>
    <row r="3974" spans="1:3" x14ac:dyDescent="0.25">
      <c r="A3974">
        <v>37</v>
      </c>
      <c r="B3974" t="str">
        <f>"3:43:06.420445"</f>
        <v>3:43:06.420445</v>
      </c>
      <c r="C3974">
        <v>-74</v>
      </c>
    </row>
    <row r="3975" spans="1:3" x14ac:dyDescent="0.25">
      <c r="A3975">
        <v>38</v>
      </c>
      <c r="B3975" t="str">
        <f>"3:43:06.421142"</f>
        <v>3:43:06.421142</v>
      </c>
      <c r="C3975">
        <v>-63</v>
      </c>
    </row>
    <row r="3976" spans="1:3" x14ac:dyDescent="0.25">
      <c r="A3976">
        <v>39</v>
      </c>
      <c r="B3976" t="str">
        <f>"3:43:06.421839"</f>
        <v>3:43:06.421839</v>
      </c>
      <c r="C3976">
        <v>-61</v>
      </c>
    </row>
    <row r="3977" spans="1:3" x14ac:dyDescent="0.25">
      <c r="A3977">
        <v>37</v>
      </c>
      <c r="B3977" t="str">
        <f>"3:43:07.687486"</f>
        <v>3:43:07.687486</v>
      </c>
      <c r="C3977">
        <v>-74</v>
      </c>
    </row>
    <row r="3978" spans="1:3" x14ac:dyDescent="0.25">
      <c r="A3978">
        <v>38</v>
      </c>
      <c r="B3978" t="str">
        <f>"3:43:07.688183"</f>
        <v>3:43:07.688183</v>
      </c>
      <c r="C3978">
        <v>-63</v>
      </c>
    </row>
    <row r="3979" spans="1:3" x14ac:dyDescent="0.25">
      <c r="A3979">
        <v>39</v>
      </c>
      <c r="B3979" t="str">
        <f>"3:43:07.688880"</f>
        <v>3:43:07.688880</v>
      </c>
      <c r="C3979">
        <v>-61</v>
      </c>
    </row>
    <row r="3980" spans="1:3" x14ac:dyDescent="0.25">
      <c r="A3980">
        <v>37</v>
      </c>
      <c r="B3980" t="str">
        <f>"3:43:10.172477"</f>
        <v>3:43:10.172477</v>
      </c>
      <c r="C3980">
        <v>-74</v>
      </c>
    </row>
    <row r="3981" spans="1:3" x14ac:dyDescent="0.25">
      <c r="A3981">
        <v>38</v>
      </c>
      <c r="B3981" t="str">
        <f>"3:43:10.173174"</f>
        <v>3:43:10.173174</v>
      </c>
      <c r="C3981">
        <v>-63</v>
      </c>
    </row>
    <row r="3982" spans="1:3" x14ac:dyDescent="0.25">
      <c r="A3982">
        <v>39</v>
      </c>
      <c r="B3982" t="str">
        <f>"3:43:10.173871"</f>
        <v>3:43:10.173871</v>
      </c>
      <c r="C3982">
        <v>-61</v>
      </c>
    </row>
    <row r="3983" spans="1:3" x14ac:dyDescent="0.25">
      <c r="A3983">
        <v>38</v>
      </c>
      <c r="B3983" t="str">
        <f>"3:43:11.412137"</f>
        <v>3:43:11.412137</v>
      </c>
      <c r="C3983">
        <v>-63</v>
      </c>
    </row>
    <row r="3984" spans="1:3" x14ac:dyDescent="0.25">
      <c r="A3984">
        <v>39</v>
      </c>
      <c r="B3984" t="str">
        <f>"3:43:11.412834"</f>
        <v>3:43:11.412834</v>
      </c>
      <c r="C3984">
        <v>-61</v>
      </c>
    </row>
    <row r="3985" spans="1:3" x14ac:dyDescent="0.25">
      <c r="A3985">
        <v>37</v>
      </c>
      <c r="B3985" t="str">
        <f>"3:43:12.657373"</f>
        <v>3:43:12.657373</v>
      </c>
      <c r="C3985">
        <v>-73</v>
      </c>
    </row>
    <row r="3986" spans="1:3" x14ac:dyDescent="0.25">
      <c r="A3986">
        <v>38</v>
      </c>
      <c r="B3986" t="str">
        <f>"3:43:12.658070"</f>
        <v>3:43:12.658070</v>
      </c>
      <c r="C3986">
        <v>-63</v>
      </c>
    </row>
    <row r="3987" spans="1:3" x14ac:dyDescent="0.25">
      <c r="A3987">
        <v>39</v>
      </c>
      <c r="B3987" t="str">
        <f>"3:43:12.658767"</f>
        <v>3:43:12.658767</v>
      </c>
      <c r="C3987">
        <v>-61</v>
      </c>
    </row>
    <row r="3988" spans="1:3" x14ac:dyDescent="0.25">
      <c r="A3988">
        <v>37</v>
      </c>
      <c r="B3988" t="str">
        <f>"3:43:13.890576"</f>
        <v>3:43:13.890576</v>
      </c>
      <c r="C3988">
        <v>-73</v>
      </c>
    </row>
    <row r="3989" spans="1:3" x14ac:dyDescent="0.25">
      <c r="A3989">
        <v>38</v>
      </c>
      <c r="B3989" t="str">
        <f>"3:43:13.891273"</f>
        <v>3:43:13.891273</v>
      </c>
      <c r="C3989">
        <v>-64</v>
      </c>
    </row>
    <row r="3990" spans="1:3" x14ac:dyDescent="0.25">
      <c r="A3990">
        <v>39</v>
      </c>
      <c r="B3990" t="str">
        <f>"3:43:13.891970"</f>
        <v>3:43:13.891970</v>
      </c>
      <c r="C3990">
        <v>-61</v>
      </c>
    </row>
    <row r="3991" spans="1:3" x14ac:dyDescent="0.25">
      <c r="A3991">
        <v>37</v>
      </c>
      <c r="B3991" t="str">
        <f>"3:43:15.164281"</f>
        <v>3:43:15.164281</v>
      </c>
      <c r="C3991">
        <v>-74</v>
      </c>
    </row>
    <row r="3992" spans="1:3" x14ac:dyDescent="0.25">
      <c r="A3992">
        <v>38</v>
      </c>
      <c r="B3992" t="str">
        <f>"3:43:15.164978"</f>
        <v>3:43:15.164978</v>
      </c>
      <c r="C3992">
        <v>-63</v>
      </c>
    </row>
    <row r="3993" spans="1:3" x14ac:dyDescent="0.25">
      <c r="A3993">
        <v>38</v>
      </c>
      <c r="B3993" t="str">
        <f>"3:43:15.165481"</f>
        <v>3:43:15.165481</v>
      </c>
      <c r="C3993">
        <v>-63</v>
      </c>
    </row>
    <row r="3994" spans="1:3" x14ac:dyDescent="0.25">
      <c r="A3994">
        <v>38</v>
      </c>
      <c r="B3994" t="str">
        <f>"3:43:15.165807"</f>
        <v>3:43:15.165807</v>
      </c>
      <c r="C3994">
        <v>-63</v>
      </c>
    </row>
    <row r="3995" spans="1:3" x14ac:dyDescent="0.25">
      <c r="A3995">
        <v>39</v>
      </c>
      <c r="B3995" t="str">
        <f>"3:43:15.166078"</f>
        <v>3:43:15.166078</v>
      </c>
      <c r="C3995">
        <v>-61</v>
      </c>
    </row>
    <row r="3996" spans="1:3" x14ac:dyDescent="0.25">
      <c r="A3996">
        <v>37</v>
      </c>
      <c r="B3996" t="str">
        <f>"3:43:16.395750"</f>
        <v>3:43:16.395750</v>
      </c>
      <c r="C3996">
        <v>-74</v>
      </c>
    </row>
    <row r="3997" spans="1:3" x14ac:dyDescent="0.25">
      <c r="A3997">
        <v>38</v>
      </c>
      <c r="B3997" t="str">
        <f>"3:43:16.396447"</f>
        <v>3:43:16.396447</v>
      </c>
      <c r="C3997">
        <v>-63</v>
      </c>
    </row>
    <row r="3998" spans="1:3" x14ac:dyDescent="0.25">
      <c r="A3998">
        <v>39</v>
      </c>
      <c r="B3998" t="str">
        <f>"3:43:16.397144"</f>
        <v>3:43:16.397144</v>
      </c>
      <c r="C3998">
        <v>-61</v>
      </c>
    </row>
    <row r="3999" spans="1:3" x14ac:dyDescent="0.25">
      <c r="A3999">
        <v>39</v>
      </c>
      <c r="B3999" t="str">
        <f>"3:43:17.640137"</f>
        <v>3:43:17.640137</v>
      </c>
      <c r="C3999">
        <v>-61</v>
      </c>
    </row>
    <row r="4000" spans="1:3" x14ac:dyDescent="0.25">
      <c r="A4000">
        <v>37</v>
      </c>
      <c r="B4000" t="str">
        <f>"3:43:18.878239"</f>
        <v>3:43:18.878239</v>
      </c>
      <c r="C4000">
        <v>-74</v>
      </c>
    </row>
    <row r="4001" spans="1:3" x14ac:dyDescent="0.25">
      <c r="A4001">
        <v>38</v>
      </c>
      <c r="B4001" t="str">
        <f>"3:43:18.878936"</f>
        <v>3:43:18.878936</v>
      </c>
      <c r="C4001">
        <v>-63</v>
      </c>
    </row>
    <row r="4002" spans="1:3" x14ac:dyDescent="0.25">
      <c r="A4002">
        <v>39</v>
      </c>
      <c r="B4002" t="str">
        <f>"3:43:18.879633"</f>
        <v>3:43:18.879633</v>
      </c>
      <c r="C4002">
        <v>-61</v>
      </c>
    </row>
    <row r="4003" spans="1:3" x14ac:dyDescent="0.25">
      <c r="A4003">
        <v>37</v>
      </c>
      <c r="B4003" t="str">
        <f>"3:43:20.120609"</f>
        <v>3:43:20.120609</v>
      </c>
      <c r="C4003">
        <v>-74</v>
      </c>
    </row>
    <row r="4004" spans="1:3" x14ac:dyDescent="0.25">
      <c r="A4004">
        <v>38</v>
      </c>
      <c r="B4004" t="str">
        <f>"3:43:20.121306"</f>
        <v>3:43:20.121306</v>
      </c>
      <c r="C4004">
        <v>-63</v>
      </c>
    </row>
    <row r="4005" spans="1:3" x14ac:dyDescent="0.25">
      <c r="A4005">
        <v>39</v>
      </c>
      <c r="B4005" t="str">
        <f>"3:43:20.122003"</f>
        <v>3:43:20.122003</v>
      </c>
      <c r="C4005">
        <v>-61</v>
      </c>
    </row>
    <row r="4006" spans="1:3" x14ac:dyDescent="0.25">
      <c r="A4006">
        <v>37</v>
      </c>
      <c r="B4006" t="str">
        <f>"3:43:21.367240"</f>
        <v>3:43:21.367240</v>
      </c>
      <c r="C4006">
        <v>-74</v>
      </c>
    </row>
    <row r="4007" spans="1:3" x14ac:dyDescent="0.25">
      <c r="A4007">
        <v>37</v>
      </c>
      <c r="B4007" t="str">
        <f>"3:43:21.367743"</f>
        <v>3:43:21.367743</v>
      </c>
      <c r="C4007">
        <v>-64</v>
      </c>
    </row>
    <row r="4008" spans="1:3" x14ac:dyDescent="0.25">
      <c r="A4008">
        <v>38</v>
      </c>
      <c r="B4008" t="str">
        <f>"3:43:21.368340"</f>
        <v>3:43:21.368340</v>
      </c>
      <c r="C4008">
        <v>-63</v>
      </c>
    </row>
    <row r="4009" spans="1:3" x14ac:dyDescent="0.25">
      <c r="A4009">
        <v>37</v>
      </c>
      <c r="B4009" t="str">
        <f>"3:43:22.615686"</f>
        <v>3:43:22.615686</v>
      </c>
      <c r="C4009">
        <v>-74</v>
      </c>
    </row>
    <row r="4010" spans="1:3" x14ac:dyDescent="0.25">
      <c r="A4010">
        <v>38</v>
      </c>
      <c r="B4010" t="str">
        <f>"3:43:22.616383"</f>
        <v>3:43:22.616383</v>
      </c>
      <c r="C4010">
        <v>-63</v>
      </c>
    </row>
    <row r="4011" spans="1:3" x14ac:dyDescent="0.25">
      <c r="A4011">
        <v>39</v>
      </c>
      <c r="B4011" t="str">
        <f>"3:43:22.617080"</f>
        <v>3:43:22.617080</v>
      </c>
      <c r="C4011">
        <v>-61</v>
      </c>
    </row>
    <row r="4012" spans="1:3" x14ac:dyDescent="0.25">
      <c r="A4012">
        <v>37</v>
      </c>
      <c r="B4012" t="str">
        <f>"3:43:23.866207"</f>
        <v>3:43:23.866207</v>
      </c>
      <c r="C4012">
        <v>-74</v>
      </c>
    </row>
    <row r="4013" spans="1:3" x14ac:dyDescent="0.25">
      <c r="A4013">
        <v>38</v>
      </c>
      <c r="B4013" t="str">
        <f>"3:43:23.866904"</f>
        <v>3:43:23.866904</v>
      </c>
      <c r="C4013">
        <v>-63</v>
      </c>
    </row>
    <row r="4014" spans="1:3" x14ac:dyDescent="0.25">
      <c r="A4014">
        <v>39</v>
      </c>
      <c r="B4014" t="str">
        <f>"3:43:23.867601"</f>
        <v>3:43:23.867601</v>
      </c>
      <c r="C4014">
        <v>-61</v>
      </c>
    </row>
    <row r="4015" spans="1:3" x14ac:dyDescent="0.25">
      <c r="A4015">
        <v>38</v>
      </c>
      <c r="B4015" t="str">
        <f>"3:43:25.106779"</f>
        <v>3:43:25.106779</v>
      </c>
      <c r="C4015">
        <v>-63</v>
      </c>
    </row>
    <row r="4016" spans="1:3" x14ac:dyDescent="0.25">
      <c r="A4016">
        <v>39</v>
      </c>
      <c r="B4016" t="str">
        <f>"3:43:25.107476"</f>
        <v>3:43:25.107476</v>
      </c>
      <c r="C4016">
        <v>-61</v>
      </c>
    </row>
    <row r="4017" spans="1:3" x14ac:dyDescent="0.25">
      <c r="A4017">
        <v>37</v>
      </c>
      <c r="B4017" t="str">
        <f>"3:43:26.346508"</f>
        <v>3:43:26.346508</v>
      </c>
      <c r="C4017">
        <v>-74</v>
      </c>
    </row>
    <row r="4018" spans="1:3" x14ac:dyDescent="0.25">
      <c r="A4018">
        <v>38</v>
      </c>
      <c r="B4018" t="str">
        <f>"3:43:26.347205"</f>
        <v>3:43:26.347205</v>
      </c>
      <c r="C4018">
        <v>-63</v>
      </c>
    </row>
    <row r="4019" spans="1:3" x14ac:dyDescent="0.25">
      <c r="A4019">
        <v>39</v>
      </c>
      <c r="B4019" t="str">
        <f>"3:43:26.347902"</f>
        <v>3:43:26.347902</v>
      </c>
      <c r="C4019">
        <v>-61</v>
      </c>
    </row>
    <row r="4020" spans="1:3" x14ac:dyDescent="0.25">
      <c r="A4020">
        <v>37</v>
      </c>
      <c r="B4020" t="str">
        <f>"3:43:27.623779"</f>
        <v>3:43:27.623779</v>
      </c>
      <c r="C4020">
        <v>-74</v>
      </c>
    </row>
    <row r="4021" spans="1:3" x14ac:dyDescent="0.25">
      <c r="A4021">
        <v>38</v>
      </c>
      <c r="B4021" t="str">
        <f>"3:43:27.624475"</f>
        <v>3:43:27.624475</v>
      </c>
      <c r="C4021">
        <v>-63</v>
      </c>
    </row>
    <row r="4022" spans="1:3" x14ac:dyDescent="0.25">
      <c r="A4022">
        <v>39</v>
      </c>
      <c r="B4022" t="str">
        <f>"3:43:27.625173"</f>
        <v>3:43:27.625173</v>
      </c>
      <c r="C4022">
        <v>-61</v>
      </c>
    </row>
    <row r="4023" spans="1:3" x14ac:dyDescent="0.25">
      <c r="A4023">
        <v>39</v>
      </c>
      <c r="B4023" t="str">
        <f>"3:43:27.625675"</f>
        <v>3:43:27.625675</v>
      </c>
      <c r="C4023">
        <v>-67</v>
      </c>
    </row>
    <row r="4024" spans="1:3" x14ac:dyDescent="0.25">
      <c r="A4024">
        <v>39</v>
      </c>
      <c r="B4024" t="str">
        <f>"3:43:27.626002"</f>
        <v>3:43:27.626002</v>
      </c>
      <c r="C4024">
        <v>-61</v>
      </c>
    </row>
    <row r="4025" spans="1:3" x14ac:dyDescent="0.25">
      <c r="A4025">
        <v>37</v>
      </c>
      <c r="B4025" t="str">
        <f>"3:43:28.846334"</f>
        <v>3:43:28.846334</v>
      </c>
      <c r="C4025">
        <v>-74</v>
      </c>
    </row>
    <row r="4026" spans="1:3" x14ac:dyDescent="0.25">
      <c r="A4026">
        <v>38</v>
      </c>
      <c r="B4026" t="str">
        <f>"3:43:28.847031"</f>
        <v>3:43:28.847031</v>
      </c>
      <c r="C4026">
        <v>-63</v>
      </c>
    </row>
    <row r="4027" spans="1:3" x14ac:dyDescent="0.25">
      <c r="A4027">
        <v>39</v>
      </c>
      <c r="B4027" t="str">
        <f>"3:43:28.847728"</f>
        <v>3:43:28.847728</v>
      </c>
      <c r="C4027">
        <v>-61</v>
      </c>
    </row>
    <row r="4028" spans="1:3" x14ac:dyDescent="0.25">
      <c r="A4028">
        <v>39</v>
      </c>
      <c r="B4028" t="str">
        <f>"3:43:30.079961"</f>
        <v>3:43:30.079961</v>
      </c>
      <c r="C4028">
        <v>-61</v>
      </c>
    </row>
    <row r="4029" spans="1:3" x14ac:dyDescent="0.25">
      <c r="A4029">
        <v>37</v>
      </c>
      <c r="B4029" t="str">
        <f>"3:43:31.340755"</f>
        <v>3:43:31.340755</v>
      </c>
      <c r="C4029">
        <v>-74</v>
      </c>
    </row>
    <row r="4030" spans="1:3" x14ac:dyDescent="0.25">
      <c r="A4030">
        <v>38</v>
      </c>
      <c r="B4030" t="str">
        <f>"3:43:31.341452"</f>
        <v>3:43:31.341452</v>
      </c>
      <c r="C4030">
        <v>-63</v>
      </c>
    </row>
    <row r="4031" spans="1:3" x14ac:dyDescent="0.25">
      <c r="A4031">
        <v>39</v>
      </c>
      <c r="B4031" t="str">
        <f>"3:43:31.342149"</f>
        <v>3:43:31.342149</v>
      </c>
      <c r="C4031">
        <v>-61</v>
      </c>
    </row>
    <row r="4032" spans="1:3" x14ac:dyDescent="0.25">
      <c r="A4032">
        <v>37</v>
      </c>
      <c r="B4032" t="str">
        <f>"3:43:32.561985"</f>
        <v>3:43:32.561985</v>
      </c>
      <c r="C4032">
        <v>-74</v>
      </c>
    </row>
    <row r="4033" spans="1:3" x14ac:dyDescent="0.25">
      <c r="A4033">
        <v>38</v>
      </c>
      <c r="B4033" t="str">
        <f>"3:43:32.562682"</f>
        <v>3:43:32.562682</v>
      </c>
      <c r="C4033">
        <v>-63</v>
      </c>
    </row>
    <row r="4034" spans="1:3" x14ac:dyDescent="0.25">
      <c r="A4034">
        <v>39</v>
      </c>
      <c r="B4034" t="str">
        <f>"3:43:32.563379"</f>
        <v>3:43:32.563379</v>
      </c>
      <c r="C4034">
        <v>-61</v>
      </c>
    </row>
    <row r="4035" spans="1:3" x14ac:dyDescent="0.25">
      <c r="A4035">
        <v>37</v>
      </c>
      <c r="B4035" t="str">
        <f>"3:43:33.806361"</f>
        <v>3:43:33.806361</v>
      </c>
      <c r="C4035">
        <v>-73</v>
      </c>
    </row>
    <row r="4036" spans="1:3" x14ac:dyDescent="0.25">
      <c r="A4036">
        <v>38</v>
      </c>
      <c r="B4036" t="str">
        <f>"3:43:33.807058"</f>
        <v>3:43:33.807058</v>
      </c>
      <c r="C4036">
        <v>-63</v>
      </c>
    </row>
    <row r="4037" spans="1:3" x14ac:dyDescent="0.25">
      <c r="A4037">
        <v>39</v>
      </c>
      <c r="B4037" t="str">
        <f>"3:43:33.807755"</f>
        <v>3:43:33.807755</v>
      </c>
      <c r="C4037">
        <v>-61</v>
      </c>
    </row>
    <row r="4038" spans="1:3" x14ac:dyDescent="0.25">
      <c r="A4038">
        <v>37</v>
      </c>
      <c r="B4038" t="str">
        <f>"3:43:35.057705"</f>
        <v>3:43:35.057705</v>
      </c>
      <c r="C4038">
        <v>-74</v>
      </c>
    </row>
    <row r="4039" spans="1:3" x14ac:dyDescent="0.25">
      <c r="A4039">
        <v>38</v>
      </c>
      <c r="B4039" t="str">
        <f>"3:43:35.058402"</f>
        <v>3:43:35.058402</v>
      </c>
      <c r="C4039">
        <v>-63</v>
      </c>
    </row>
    <row r="4040" spans="1:3" x14ac:dyDescent="0.25">
      <c r="A4040">
        <v>39</v>
      </c>
      <c r="B4040" t="str">
        <f>"3:43:35.059099"</f>
        <v>3:43:35.059099</v>
      </c>
      <c r="C4040">
        <v>-61</v>
      </c>
    </row>
    <row r="4041" spans="1:3" x14ac:dyDescent="0.25">
      <c r="A4041">
        <v>37</v>
      </c>
      <c r="B4041" t="str">
        <f>"3:43:36.292190"</f>
        <v>3:43:36.292190</v>
      </c>
      <c r="C4041">
        <v>-74</v>
      </c>
    </row>
    <row r="4042" spans="1:3" x14ac:dyDescent="0.25">
      <c r="A4042">
        <v>38</v>
      </c>
      <c r="B4042" t="str">
        <f>"3:43:36.292887"</f>
        <v>3:43:36.292887</v>
      </c>
      <c r="C4042">
        <v>-63</v>
      </c>
    </row>
    <row r="4043" spans="1:3" x14ac:dyDescent="0.25">
      <c r="A4043">
        <v>39</v>
      </c>
      <c r="B4043" t="str">
        <f>"3:43:36.293584"</f>
        <v>3:43:36.293584</v>
      </c>
      <c r="C4043">
        <v>-61</v>
      </c>
    </row>
    <row r="4044" spans="1:3" x14ac:dyDescent="0.25">
      <c r="A4044">
        <v>38</v>
      </c>
      <c r="B4044" t="str">
        <f>"3:43:37.541635"</f>
        <v>3:43:37.541635</v>
      </c>
      <c r="C4044">
        <v>-63</v>
      </c>
    </row>
    <row r="4045" spans="1:3" x14ac:dyDescent="0.25">
      <c r="A4045">
        <v>39</v>
      </c>
      <c r="B4045" t="str">
        <f>"3:43:37.542332"</f>
        <v>3:43:37.542332</v>
      </c>
      <c r="C4045">
        <v>-61</v>
      </c>
    </row>
    <row r="4046" spans="1:3" x14ac:dyDescent="0.25">
      <c r="A4046">
        <v>37</v>
      </c>
      <c r="B4046" t="str">
        <f>"3:43:38.781063"</f>
        <v>3:43:38.781063</v>
      </c>
      <c r="C4046">
        <v>-73</v>
      </c>
    </row>
    <row r="4047" spans="1:3" x14ac:dyDescent="0.25">
      <c r="A4047">
        <v>38</v>
      </c>
      <c r="B4047" t="str">
        <f>"3:43:38.781760"</f>
        <v>3:43:38.781760</v>
      </c>
      <c r="C4047">
        <v>-63</v>
      </c>
    </row>
    <row r="4048" spans="1:3" x14ac:dyDescent="0.25">
      <c r="A4048">
        <v>39</v>
      </c>
      <c r="B4048" t="str">
        <f>"3:43:38.782457"</f>
        <v>3:43:38.782457</v>
      </c>
      <c r="C4048">
        <v>-61</v>
      </c>
    </row>
    <row r="4049" spans="1:3" x14ac:dyDescent="0.25">
      <c r="A4049">
        <v>38</v>
      </c>
      <c r="B4049" t="str">
        <f>"3:43:40.029104"</f>
        <v>3:43:40.029104</v>
      </c>
      <c r="C4049">
        <v>-61</v>
      </c>
    </row>
    <row r="4050" spans="1:3" x14ac:dyDescent="0.25">
      <c r="A4050">
        <v>39</v>
      </c>
      <c r="B4050" t="str">
        <f>"3:43:40.029801"</f>
        <v>3:43:40.029801</v>
      </c>
      <c r="C4050">
        <v>-61</v>
      </c>
    </row>
    <row r="4051" spans="1:3" x14ac:dyDescent="0.25">
      <c r="A4051">
        <v>38</v>
      </c>
      <c r="B4051" t="str">
        <f>"3:43:41.270385"</f>
        <v>3:43:41.270385</v>
      </c>
      <c r="C4051">
        <v>-63</v>
      </c>
    </row>
    <row r="4052" spans="1:3" x14ac:dyDescent="0.25">
      <c r="A4052">
        <v>39</v>
      </c>
      <c r="B4052" t="str">
        <f>"3:43:41.271083"</f>
        <v>3:43:41.271083</v>
      </c>
      <c r="C4052">
        <v>-61</v>
      </c>
    </row>
    <row r="4053" spans="1:3" x14ac:dyDescent="0.25">
      <c r="A4053">
        <v>37</v>
      </c>
      <c r="B4053" t="str">
        <f>"3:43:42.538139"</f>
        <v>3:43:42.538139</v>
      </c>
      <c r="C4053">
        <v>-74</v>
      </c>
    </row>
    <row r="4054" spans="1:3" x14ac:dyDescent="0.25">
      <c r="A4054">
        <v>38</v>
      </c>
      <c r="B4054" t="str">
        <f>"3:43:42.538836"</f>
        <v>3:43:42.538836</v>
      </c>
      <c r="C4054">
        <v>-63</v>
      </c>
    </row>
    <row r="4055" spans="1:3" x14ac:dyDescent="0.25">
      <c r="A4055">
        <v>39</v>
      </c>
      <c r="B4055" t="str">
        <f>"3:43:42.539533"</f>
        <v>3:43:42.539533</v>
      </c>
      <c r="C4055">
        <v>-61</v>
      </c>
    </row>
    <row r="4056" spans="1:3" x14ac:dyDescent="0.25">
      <c r="A4056">
        <v>37</v>
      </c>
      <c r="B4056" t="str">
        <f>"3:43:43.758364"</f>
        <v>3:43:43.758364</v>
      </c>
      <c r="C4056">
        <v>-74</v>
      </c>
    </row>
    <row r="4057" spans="1:3" x14ac:dyDescent="0.25">
      <c r="A4057">
        <v>38</v>
      </c>
      <c r="B4057" t="str">
        <f>"3:43:43.759061"</f>
        <v>3:43:43.759061</v>
      </c>
      <c r="C4057">
        <v>-63</v>
      </c>
    </row>
    <row r="4058" spans="1:3" x14ac:dyDescent="0.25">
      <c r="A4058">
        <v>39</v>
      </c>
      <c r="B4058" t="str">
        <f>"3:43:43.759758"</f>
        <v>3:43:43.759758</v>
      </c>
      <c r="C4058">
        <v>-61</v>
      </c>
    </row>
    <row r="4059" spans="1:3" x14ac:dyDescent="0.25">
      <c r="A4059">
        <v>39</v>
      </c>
      <c r="B4059" t="str">
        <f>"3:43:44.995198"</f>
        <v>3:43:44.995198</v>
      </c>
      <c r="C4059">
        <v>-61</v>
      </c>
    </row>
    <row r="4060" spans="1:3" x14ac:dyDescent="0.25">
      <c r="A4060">
        <v>37</v>
      </c>
      <c r="B4060" t="str">
        <f>"3:43:46.243189"</f>
        <v>3:43:46.243189</v>
      </c>
      <c r="C4060">
        <v>-72</v>
      </c>
    </row>
    <row r="4061" spans="1:3" x14ac:dyDescent="0.25">
      <c r="A4061">
        <v>38</v>
      </c>
      <c r="B4061" t="str">
        <f>"3:43:46.243886"</f>
        <v>3:43:46.243886</v>
      </c>
      <c r="C4061">
        <v>-62</v>
      </c>
    </row>
    <row r="4062" spans="1:3" x14ac:dyDescent="0.25">
      <c r="A4062">
        <v>39</v>
      </c>
      <c r="B4062" t="str">
        <f>"3:43:46.244583"</f>
        <v>3:43:46.244583</v>
      </c>
      <c r="C4062">
        <v>-61</v>
      </c>
    </row>
    <row r="4063" spans="1:3" x14ac:dyDescent="0.25">
      <c r="A4063">
        <v>37</v>
      </c>
      <c r="B4063" t="str">
        <f>"3:43:47.487265"</f>
        <v>3:43:47.487265</v>
      </c>
      <c r="C4063">
        <v>-74</v>
      </c>
    </row>
    <row r="4064" spans="1:3" x14ac:dyDescent="0.25">
      <c r="A4064">
        <v>39</v>
      </c>
      <c r="B4064" t="str">
        <f>"3:43:47.488659"</f>
        <v>3:43:47.488659</v>
      </c>
      <c r="C4064">
        <v>-62</v>
      </c>
    </row>
    <row r="4065" spans="1:3" x14ac:dyDescent="0.25">
      <c r="A4065">
        <v>37</v>
      </c>
      <c r="B4065" t="str">
        <f>"3:43:49.982944"</f>
        <v>3:43:49.982944</v>
      </c>
      <c r="C4065">
        <v>-74</v>
      </c>
    </row>
    <row r="4066" spans="1:3" x14ac:dyDescent="0.25">
      <c r="A4066">
        <v>38</v>
      </c>
      <c r="B4066" t="str">
        <f>"3:43:49.983641"</f>
        <v>3:43:49.983641</v>
      </c>
      <c r="C4066">
        <v>-63</v>
      </c>
    </row>
    <row r="4067" spans="1:3" x14ac:dyDescent="0.25">
      <c r="A4067">
        <v>39</v>
      </c>
      <c r="B4067" t="str">
        <f>"3:43:49.984338"</f>
        <v>3:43:49.984338</v>
      </c>
      <c r="C4067">
        <v>-61</v>
      </c>
    </row>
    <row r="4068" spans="1:3" x14ac:dyDescent="0.25">
      <c r="A4068">
        <v>37</v>
      </c>
      <c r="B4068" t="str">
        <f>"3:43:51.224098"</f>
        <v>3:43:51.224098</v>
      </c>
      <c r="C4068">
        <v>-74</v>
      </c>
    </row>
    <row r="4069" spans="1:3" x14ac:dyDescent="0.25">
      <c r="A4069">
        <v>38</v>
      </c>
      <c r="B4069" t="str">
        <f>"3:43:51.224795"</f>
        <v>3:43:51.224795</v>
      </c>
      <c r="C4069">
        <v>-63</v>
      </c>
    </row>
    <row r="4070" spans="1:3" x14ac:dyDescent="0.25">
      <c r="A4070">
        <v>39</v>
      </c>
      <c r="B4070" t="str">
        <f>"3:43:51.225492"</f>
        <v>3:43:51.225492</v>
      </c>
      <c r="C4070">
        <v>-61</v>
      </c>
    </row>
    <row r="4071" spans="1:3" x14ac:dyDescent="0.25">
      <c r="A4071">
        <v>37</v>
      </c>
      <c r="B4071" t="str">
        <f>"3:43:52.482202"</f>
        <v>3:43:52.482202</v>
      </c>
      <c r="C4071">
        <v>-74</v>
      </c>
    </row>
    <row r="4072" spans="1:3" x14ac:dyDescent="0.25">
      <c r="A4072">
        <v>38</v>
      </c>
      <c r="B4072" t="str">
        <f>"3:43:52.482899"</f>
        <v>3:43:52.482899</v>
      </c>
      <c r="C4072">
        <v>-63</v>
      </c>
    </row>
    <row r="4073" spans="1:3" x14ac:dyDescent="0.25">
      <c r="A4073">
        <v>39</v>
      </c>
      <c r="B4073" t="str">
        <f>"3:43:52.483596"</f>
        <v>3:43:52.483596</v>
      </c>
      <c r="C4073">
        <v>-61</v>
      </c>
    </row>
    <row r="4074" spans="1:3" x14ac:dyDescent="0.25">
      <c r="A4074">
        <v>37</v>
      </c>
      <c r="B4074" t="str">
        <f>"3:43:53.701745"</f>
        <v>3:43:53.701745</v>
      </c>
      <c r="C4074">
        <v>-74</v>
      </c>
    </row>
    <row r="4075" spans="1:3" x14ac:dyDescent="0.25">
      <c r="A4075">
        <v>38</v>
      </c>
      <c r="B4075" t="str">
        <f>"3:43:53.702442"</f>
        <v>3:43:53.702442</v>
      </c>
      <c r="C4075">
        <v>-63</v>
      </c>
    </row>
    <row r="4076" spans="1:3" x14ac:dyDescent="0.25">
      <c r="A4076">
        <v>39</v>
      </c>
      <c r="B4076" t="str">
        <f>"3:43:53.703139"</f>
        <v>3:43:53.703139</v>
      </c>
      <c r="C4076">
        <v>-61</v>
      </c>
    </row>
    <row r="4077" spans="1:3" x14ac:dyDescent="0.25">
      <c r="A4077">
        <v>38</v>
      </c>
      <c r="B4077" t="str">
        <f>"3:43:54.959901"</f>
        <v>3:43:54.959901</v>
      </c>
      <c r="C4077">
        <v>-63</v>
      </c>
    </row>
    <row r="4078" spans="1:3" x14ac:dyDescent="0.25">
      <c r="A4078">
        <v>39</v>
      </c>
      <c r="B4078" t="str">
        <f>"3:43:54.960598"</f>
        <v>3:43:54.960598</v>
      </c>
      <c r="C4078">
        <v>-61</v>
      </c>
    </row>
    <row r="4079" spans="1:3" x14ac:dyDescent="0.25">
      <c r="A4079">
        <v>37</v>
      </c>
      <c r="B4079" t="str">
        <f>"3:43:56.211895"</f>
        <v>3:43:56.211895</v>
      </c>
      <c r="C4079">
        <v>-74</v>
      </c>
    </row>
    <row r="4080" spans="1:3" x14ac:dyDescent="0.25">
      <c r="A4080">
        <v>38</v>
      </c>
      <c r="B4080" t="str">
        <f>"3:43:56.212592"</f>
        <v>3:43:56.212592</v>
      </c>
      <c r="C4080">
        <v>-63</v>
      </c>
    </row>
    <row r="4081" spans="1:3" x14ac:dyDescent="0.25">
      <c r="A4081">
        <v>39</v>
      </c>
      <c r="B4081" t="str">
        <f>"3:43:56.213289"</f>
        <v>3:43:56.213289</v>
      </c>
      <c r="C4081">
        <v>-61</v>
      </c>
    </row>
    <row r="4082" spans="1:3" x14ac:dyDescent="0.25">
      <c r="A4082">
        <v>37</v>
      </c>
      <c r="B4082" t="str">
        <f>"3:43:57.447070"</f>
        <v>3:43:57.447070</v>
      </c>
      <c r="C4082">
        <v>-74</v>
      </c>
    </row>
    <row r="4083" spans="1:3" x14ac:dyDescent="0.25">
      <c r="A4083">
        <v>38</v>
      </c>
      <c r="B4083" t="str">
        <f>"3:43:57.447767"</f>
        <v>3:43:57.447767</v>
      </c>
      <c r="C4083">
        <v>-63</v>
      </c>
    </row>
    <row r="4084" spans="1:3" x14ac:dyDescent="0.25">
      <c r="A4084">
        <v>39</v>
      </c>
      <c r="B4084" t="str">
        <f>"3:43:57.448464"</f>
        <v>3:43:57.448464</v>
      </c>
      <c r="C4084">
        <v>-61</v>
      </c>
    </row>
    <row r="4085" spans="1:3" x14ac:dyDescent="0.25">
      <c r="A4085">
        <v>37</v>
      </c>
      <c r="B4085" t="str">
        <f>"3:43:58.689923"</f>
        <v>3:43:58.689923</v>
      </c>
      <c r="C4085">
        <v>-74</v>
      </c>
    </row>
    <row r="4086" spans="1:3" x14ac:dyDescent="0.25">
      <c r="A4086">
        <v>38</v>
      </c>
      <c r="B4086" t="str">
        <f>"3:43:58.690620"</f>
        <v>3:43:58.690620</v>
      </c>
      <c r="C4086">
        <v>-63</v>
      </c>
    </row>
    <row r="4087" spans="1:3" x14ac:dyDescent="0.25">
      <c r="A4087">
        <v>39</v>
      </c>
      <c r="B4087" t="str">
        <f>"3:43:58.691317"</f>
        <v>3:43:58.691317</v>
      </c>
      <c r="C4087">
        <v>-61</v>
      </c>
    </row>
    <row r="4088" spans="1:3" x14ac:dyDescent="0.25">
      <c r="A4088">
        <v>37</v>
      </c>
      <c r="B4088" t="str">
        <f>"3:43:59.943299"</f>
        <v>3:43:59.943299</v>
      </c>
      <c r="C4088">
        <v>-74</v>
      </c>
    </row>
    <row r="4089" spans="1:3" x14ac:dyDescent="0.25">
      <c r="A4089">
        <v>38</v>
      </c>
      <c r="B4089" t="str">
        <f>"3:43:59.943996"</f>
        <v>3:43:59.943996</v>
      </c>
      <c r="C4089">
        <v>-63</v>
      </c>
    </row>
    <row r="4090" spans="1:3" x14ac:dyDescent="0.25">
      <c r="A4090">
        <v>39</v>
      </c>
      <c r="B4090" t="str">
        <f>"3:43:59.944693"</f>
        <v>3:43:59.944693</v>
      </c>
      <c r="C4090">
        <v>-61</v>
      </c>
    </row>
    <row r="4091" spans="1:3" x14ac:dyDescent="0.25">
      <c r="A4091">
        <v>37</v>
      </c>
      <c r="B4091" t="str">
        <f>"3:44:01.184034"</f>
        <v>3:44:01.184034</v>
      </c>
      <c r="C4091">
        <v>-74</v>
      </c>
    </row>
    <row r="4092" spans="1:3" x14ac:dyDescent="0.25">
      <c r="A4092">
        <v>38</v>
      </c>
      <c r="B4092" t="str">
        <f>"3:44:01.184730"</f>
        <v>3:44:01.184730</v>
      </c>
      <c r="C4092">
        <v>-63</v>
      </c>
    </row>
    <row r="4093" spans="1:3" x14ac:dyDescent="0.25">
      <c r="A4093">
        <v>39</v>
      </c>
      <c r="B4093" t="str">
        <f>"3:44:01.185428"</f>
        <v>3:44:01.185428</v>
      </c>
      <c r="C4093">
        <v>-61</v>
      </c>
    </row>
    <row r="4094" spans="1:3" x14ac:dyDescent="0.25">
      <c r="A4094">
        <v>37</v>
      </c>
      <c r="B4094" t="str">
        <f>"3:44:02.423624"</f>
        <v>3:44:02.423624</v>
      </c>
      <c r="C4094">
        <v>-74</v>
      </c>
    </row>
    <row r="4095" spans="1:3" x14ac:dyDescent="0.25">
      <c r="A4095">
        <v>38</v>
      </c>
      <c r="B4095" t="str">
        <f>"3:44:02.424321"</f>
        <v>3:44:02.424321</v>
      </c>
      <c r="C4095">
        <v>-63</v>
      </c>
    </row>
    <row r="4096" spans="1:3" x14ac:dyDescent="0.25">
      <c r="A4096">
        <v>39</v>
      </c>
      <c r="B4096" t="str">
        <f>"3:44:02.425018"</f>
        <v>3:44:02.425018</v>
      </c>
      <c r="C4096">
        <v>-61</v>
      </c>
    </row>
    <row r="4097" spans="1:3" x14ac:dyDescent="0.25">
      <c r="A4097">
        <v>37</v>
      </c>
      <c r="B4097" t="str">
        <f>"3:44:03.675350"</f>
        <v>3:44:03.675350</v>
      </c>
      <c r="C4097">
        <v>-74</v>
      </c>
    </row>
    <row r="4098" spans="1:3" x14ac:dyDescent="0.25">
      <c r="A4098">
        <v>38</v>
      </c>
      <c r="B4098" t="str">
        <f>"3:44:03.676047"</f>
        <v>3:44:03.676047</v>
      </c>
      <c r="C4098">
        <v>-63</v>
      </c>
    </row>
    <row r="4099" spans="1:3" x14ac:dyDescent="0.25">
      <c r="A4099">
        <v>39</v>
      </c>
      <c r="B4099" t="str">
        <f>"3:44:03.676744"</f>
        <v>3:44:03.676744</v>
      </c>
      <c r="C4099">
        <v>-61</v>
      </c>
    </row>
    <row r="4100" spans="1:3" x14ac:dyDescent="0.25">
      <c r="A4100">
        <v>37</v>
      </c>
      <c r="B4100" t="str">
        <f>"3:44:04.917525"</f>
        <v>3:44:04.917525</v>
      </c>
      <c r="C4100">
        <v>-73</v>
      </c>
    </row>
    <row r="4101" spans="1:3" x14ac:dyDescent="0.25">
      <c r="A4101">
        <v>39</v>
      </c>
      <c r="B4101" t="str">
        <f>"3:44:04.918919"</f>
        <v>3:44:04.918919</v>
      </c>
      <c r="C4101">
        <v>-61</v>
      </c>
    </row>
    <row r="4102" spans="1:3" x14ac:dyDescent="0.25">
      <c r="A4102">
        <v>37</v>
      </c>
      <c r="B4102" t="str">
        <f>"3:44:06.158436"</f>
        <v>3:44:06.158436</v>
      </c>
      <c r="C4102">
        <v>-74</v>
      </c>
    </row>
    <row r="4103" spans="1:3" x14ac:dyDescent="0.25">
      <c r="A4103">
        <v>38</v>
      </c>
      <c r="B4103" t="str">
        <f>"3:44:06.159133"</f>
        <v>3:44:06.159133</v>
      </c>
      <c r="C4103">
        <v>-63</v>
      </c>
    </row>
    <row r="4104" spans="1:3" x14ac:dyDescent="0.25">
      <c r="A4104">
        <v>39</v>
      </c>
      <c r="B4104" t="str">
        <f>"3:44:06.159830"</f>
        <v>3:44:06.159830</v>
      </c>
      <c r="C4104">
        <v>-61</v>
      </c>
    </row>
    <row r="4105" spans="1:3" x14ac:dyDescent="0.25">
      <c r="A4105">
        <v>37</v>
      </c>
      <c r="B4105" t="str">
        <f>"3:44:07.407851"</f>
        <v>3:44:07.407851</v>
      </c>
      <c r="C4105">
        <v>-74</v>
      </c>
    </row>
    <row r="4106" spans="1:3" x14ac:dyDescent="0.25">
      <c r="A4106">
        <v>38</v>
      </c>
      <c r="B4106" t="str">
        <f>"3:44:07.408548"</f>
        <v>3:44:07.408548</v>
      </c>
      <c r="C4106">
        <v>-63</v>
      </c>
    </row>
    <row r="4107" spans="1:3" x14ac:dyDescent="0.25">
      <c r="A4107">
        <v>39</v>
      </c>
      <c r="B4107" t="str">
        <f>"3:44:07.409245"</f>
        <v>3:44:07.409245</v>
      </c>
      <c r="C4107">
        <v>-61</v>
      </c>
    </row>
    <row r="4108" spans="1:3" x14ac:dyDescent="0.25">
      <c r="A4108">
        <v>37</v>
      </c>
      <c r="B4108" t="str">
        <f>"3:44:08.656082"</f>
        <v>3:44:08.656082</v>
      </c>
      <c r="C4108">
        <v>-74</v>
      </c>
    </row>
    <row r="4109" spans="1:3" x14ac:dyDescent="0.25">
      <c r="A4109">
        <v>38</v>
      </c>
      <c r="B4109" t="str">
        <f>"3:44:08.656779"</f>
        <v>3:44:08.656779</v>
      </c>
      <c r="C4109">
        <v>-63</v>
      </c>
    </row>
    <row r="4110" spans="1:3" x14ac:dyDescent="0.25">
      <c r="A4110">
        <v>39</v>
      </c>
      <c r="B4110" t="str">
        <f>"3:44:08.657476"</f>
        <v>3:44:08.657476</v>
      </c>
      <c r="C4110">
        <v>-61</v>
      </c>
    </row>
    <row r="4111" spans="1:3" x14ac:dyDescent="0.25">
      <c r="A4111">
        <v>37</v>
      </c>
      <c r="B4111" t="str">
        <f>"3:44:09.931985"</f>
        <v>3:44:09.931985</v>
      </c>
      <c r="C4111">
        <v>-74</v>
      </c>
    </row>
    <row r="4112" spans="1:3" x14ac:dyDescent="0.25">
      <c r="A4112">
        <v>38</v>
      </c>
      <c r="B4112" t="str">
        <f>"3:44:09.932682"</f>
        <v>3:44:09.932682</v>
      </c>
      <c r="C4112">
        <v>-63</v>
      </c>
    </row>
    <row r="4113" spans="1:3" x14ac:dyDescent="0.25">
      <c r="A4113">
        <v>39</v>
      </c>
      <c r="B4113" t="str">
        <f>"3:44:09.933379"</f>
        <v>3:44:09.933379</v>
      </c>
      <c r="C4113">
        <v>-61</v>
      </c>
    </row>
    <row r="4114" spans="1:3" x14ac:dyDescent="0.25">
      <c r="A4114">
        <v>37</v>
      </c>
      <c r="B4114" t="str">
        <f>"3:44:11.151775"</f>
        <v>3:44:11.151775</v>
      </c>
      <c r="C4114">
        <v>-74</v>
      </c>
    </row>
    <row r="4115" spans="1:3" x14ac:dyDescent="0.25">
      <c r="A4115">
        <v>38</v>
      </c>
      <c r="B4115" t="str">
        <f>"3:44:11.152472"</f>
        <v>3:44:11.152472</v>
      </c>
      <c r="C4115">
        <v>-63</v>
      </c>
    </row>
    <row r="4116" spans="1:3" x14ac:dyDescent="0.25">
      <c r="A4116">
        <v>39</v>
      </c>
      <c r="B4116" t="str">
        <f>"3:44:11.153169"</f>
        <v>3:44:11.153169</v>
      </c>
      <c r="C4116">
        <v>-61</v>
      </c>
    </row>
    <row r="4117" spans="1:3" x14ac:dyDescent="0.25">
      <c r="A4117">
        <v>37</v>
      </c>
      <c r="B4117" t="str">
        <f>"3:44:12.387351"</f>
        <v>3:44:12.387351</v>
      </c>
      <c r="C4117">
        <v>-74</v>
      </c>
    </row>
    <row r="4118" spans="1:3" x14ac:dyDescent="0.25">
      <c r="A4118">
        <v>38</v>
      </c>
      <c r="B4118" t="str">
        <f>"3:44:12.388048"</f>
        <v>3:44:12.388048</v>
      </c>
      <c r="C4118">
        <v>-63</v>
      </c>
    </row>
    <row r="4119" spans="1:3" x14ac:dyDescent="0.25">
      <c r="A4119">
        <v>39</v>
      </c>
      <c r="B4119" t="str">
        <f>"3:44:12.388745"</f>
        <v>3:44:12.388745</v>
      </c>
      <c r="C4119">
        <v>-61</v>
      </c>
    </row>
    <row r="4120" spans="1:3" x14ac:dyDescent="0.25">
      <c r="A4120">
        <v>37</v>
      </c>
      <c r="B4120" t="str">
        <f>"3:44:13.649975"</f>
        <v>3:44:13.649975</v>
      </c>
      <c r="C4120">
        <v>-74</v>
      </c>
    </row>
    <row r="4121" spans="1:3" x14ac:dyDescent="0.25">
      <c r="A4121">
        <v>38</v>
      </c>
      <c r="B4121" t="str">
        <f>"3:44:13.650672"</f>
        <v>3:44:13.650672</v>
      </c>
      <c r="C4121">
        <v>-63</v>
      </c>
    </row>
    <row r="4122" spans="1:3" x14ac:dyDescent="0.25">
      <c r="A4122">
        <v>39</v>
      </c>
      <c r="B4122" t="str">
        <f>"3:44:13.651369"</f>
        <v>3:44:13.651369</v>
      </c>
      <c r="C4122">
        <v>-61</v>
      </c>
    </row>
    <row r="4123" spans="1:3" x14ac:dyDescent="0.25">
      <c r="A4123">
        <v>37</v>
      </c>
      <c r="B4123" t="str">
        <f>"3:44:14.878945"</f>
        <v>3:44:14.878945</v>
      </c>
      <c r="C4123">
        <v>-73</v>
      </c>
    </row>
    <row r="4124" spans="1:3" x14ac:dyDescent="0.25">
      <c r="A4124">
        <v>38</v>
      </c>
      <c r="B4124" t="str">
        <f>"3:44:14.879642"</f>
        <v>3:44:14.879642</v>
      </c>
      <c r="C4124">
        <v>-63</v>
      </c>
    </row>
    <row r="4125" spans="1:3" x14ac:dyDescent="0.25">
      <c r="A4125">
        <v>39</v>
      </c>
      <c r="B4125" t="str">
        <f>"3:44:14.880339"</f>
        <v>3:44:14.880339</v>
      </c>
      <c r="C4125">
        <v>-61</v>
      </c>
    </row>
    <row r="4126" spans="1:3" x14ac:dyDescent="0.25">
      <c r="A4126">
        <v>37</v>
      </c>
      <c r="B4126" t="str">
        <f>"3:44:16.127723"</f>
        <v>3:44:16.127723</v>
      </c>
      <c r="C4126">
        <v>-74</v>
      </c>
    </row>
    <row r="4127" spans="1:3" x14ac:dyDescent="0.25">
      <c r="A4127">
        <v>38</v>
      </c>
      <c r="B4127" t="str">
        <f>"3:44:16.128420"</f>
        <v>3:44:16.128420</v>
      </c>
      <c r="C4127">
        <v>-63</v>
      </c>
    </row>
    <row r="4128" spans="1:3" x14ac:dyDescent="0.25">
      <c r="A4128">
        <v>39</v>
      </c>
      <c r="B4128" t="str">
        <f>"3:44:16.129117"</f>
        <v>3:44:16.129117</v>
      </c>
      <c r="C4128">
        <v>-61</v>
      </c>
    </row>
    <row r="4129" spans="1:3" x14ac:dyDescent="0.25">
      <c r="A4129">
        <v>37</v>
      </c>
      <c r="B4129" t="str">
        <f>"3:44:17.368590"</f>
        <v>3:44:17.368590</v>
      </c>
      <c r="C4129">
        <v>-74</v>
      </c>
    </row>
    <row r="4130" spans="1:3" x14ac:dyDescent="0.25">
      <c r="A4130">
        <v>38</v>
      </c>
      <c r="B4130" t="str">
        <f>"3:44:17.369287"</f>
        <v>3:44:17.369287</v>
      </c>
      <c r="C4130">
        <v>-63</v>
      </c>
    </row>
    <row r="4131" spans="1:3" x14ac:dyDescent="0.25">
      <c r="A4131">
        <v>39</v>
      </c>
      <c r="B4131" t="str">
        <f>"3:44:17.369984"</f>
        <v>3:44:17.369984</v>
      </c>
      <c r="C4131">
        <v>-61</v>
      </c>
    </row>
    <row r="4132" spans="1:3" x14ac:dyDescent="0.25">
      <c r="A4132">
        <v>37</v>
      </c>
      <c r="B4132" t="str">
        <f>"3:44:18.613525"</f>
        <v>3:44:18.613525</v>
      </c>
      <c r="C4132">
        <v>-74</v>
      </c>
    </row>
    <row r="4133" spans="1:3" x14ac:dyDescent="0.25">
      <c r="A4133">
        <v>38</v>
      </c>
      <c r="B4133" t="str">
        <f>"3:44:18.614222"</f>
        <v>3:44:18.614222</v>
      </c>
      <c r="C4133">
        <v>-63</v>
      </c>
    </row>
    <row r="4134" spans="1:3" x14ac:dyDescent="0.25">
      <c r="A4134">
        <v>39</v>
      </c>
      <c r="B4134" t="str">
        <f>"3:44:18.614919"</f>
        <v>3:44:18.614919</v>
      </c>
      <c r="C4134">
        <v>-61</v>
      </c>
    </row>
    <row r="4135" spans="1:3" x14ac:dyDescent="0.25">
      <c r="A4135">
        <v>37</v>
      </c>
      <c r="B4135" t="str">
        <f>"3:44:19.857354"</f>
        <v>3:44:19.857354</v>
      </c>
      <c r="C4135">
        <v>-74</v>
      </c>
    </row>
    <row r="4136" spans="1:3" x14ac:dyDescent="0.25">
      <c r="A4136">
        <v>38</v>
      </c>
      <c r="B4136" t="str">
        <f>"3:44:19.858051"</f>
        <v>3:44:19.858051</v>
      </c>
      <c r="C4136">
        <v>-63</v>
      </c>
    </row>
    <row r="4137" spans="1:3" x14ac:dyDescent="0.25">
      <c r="A4137">
        <v>39</v>
      </c>
      <c r="B4137" t="str">
        <f>"3:44:19.858748"</f>
        <v>3:44:19.858748</v>
      </c>
      <c r="C4137">
        <v>-61</v>
      </c>
    </row>
    <row r="4138" spans="1:3" x14ac:dyDescent="0.25">
      <c r="A4138">
        <v>37</v>
      </c>
      <c r="B4138" t="str">
        <f>"3:44:21.107000"</f>
        <v>3:44:21.107000</v>
      </c>
      <c r="C4138">
        <v>-75</v>
      </c>
    </row>
    <row r="4139" spans="1:3" x14ac:dyDescent="0.25">
      <c r="A4139">
        <v>38</v>
      </c>
      <c r="B4139" t="str">
        <f>"3:44:21.107697"</f>
        <v>3:44:21.107697</v>
      </c>
      <c r="C4139">
        <v>-63</v>
      </c>
    </row>
    <row r="4140" spans="1:3" x14ac:dyDescent="0.25">
      <c r="A4140">
        <v>39</v>
      </c>
      <c r="B4140" t="str">
        <f>"3:44:21.108394"</f>
        <v>3:44:21.108394</v>
      </c>
      <c r="C4140">
        <v>-61</v>
      </c>
    </row>
    <row r="4141" spans="1:3" x14ac:dyDescent="0.25">
      <c r="A4141">
        <v>37</v>
      </c>
      <c r="B4141" t="str">
        <f>"3:44:22.356743"</f>
        <v>3:44:22.356743</v>
      </c>
      <c r="C4141">
        <v>-74</v>
      </c>
    </row>
    <row r="4142" spans="1:3" x14ac:dyDescent="0.25">
      <c r="A4142">
        <v>38</v>
      </c>
      <c r="B4142" t="str">
        <f>"3:44:22.357440"</f>
        <v>3:44:22.357440</v>
      </c>
      <c r="C4142">
        <v>-63</v>
      </c>
    </row>
    <row r="4143" spans="1:3" x14ac:dyDescent="0.25">
      <c r="A4143">
        <v>39</v>
      </c>
      <c r="B4143" t="str">
        <f>"3:44:22.358137"</f>
        <v>3:44:22.358137</v>
      </c>
      <c r="C4143">
        <v>-61</v>
      </c>
    </row>
    <row r="4144" spans="1:3" x14ac:dyDescent="0.25">
      <c r="A4144">
        <v>37</v>
      </c>
      <c r="B4144" t="str">
        <f>"3:44:23.597700"</f>
        <v>3:44:23.597700</v>
      </c>
      <c r="C4144">
        <v>-74</v>
      </c>
    </row>
    <row r="4145" spans="1:3" x14ac:dyDescent="0.25">
      <c r="A4145">
        <v>38</v>
      </c>
      <c r="B4145" t="str">
        <f>"3:44:23.598397"</f>
        <v>3:44:23.598397</v>
      </c>
      <c r="C4145">
        <v>-63</v>
      </c>
    </row>
    <row r="4146" spans="1:3" x14ac:dyDescent="0.25">
      <c r="A4146">
        <v>39</v>
      </c>
      <c r="B4146" t="str">
        <f>"3:44:23.599094"</f>
        <v>3:44:23.599094</v>
      </c>
      <c r="C4146">
        <v>-61</v>
      </c>
    </row>
    <row r="4147" spans="1:3" x14ac:dyDescent="0.25">
      <c r="A4147">
        <v>37</v>
      </c>
      <c r="B4147" t="str">
        <f>"3:44:24.876278"</f>
        <v>3:44:24.876278</v>
      </c>
      <c r="C4147">
        <v>-74</v>
      </c>
    </row>
    <row r="4148" spans="1:3" x14ac:dyDescent="0.25">
      <c r="A4148">
        <v>38</v>
      </c>
      <c r="B4148" t="str">
        <f>"3:44:24.876975"</f>
        <v>3:44:24.876975</v>
      </c>
      <c r="C4148">
        <v>-63</v>
      </c>
    </row>
    <row r="4149" spans="1:3" x14ac:dyDescent="0.25">
      <c r="A4149">
        <v>39</v>
      </c>
      <c r="B4149" t="str">
        <f>"3:44:24.877672"</f>
        <v>3:44:24.877672</v>
      </c>
      <c r="C4149">
        <v>-61</v>
      </c>
    </row>
    <row r="4150" spans="1:3" x14ac:dyDescent="0.25">
      <c r="A4150">
        <v>37</v>
      </c>
      <c r="B4150" t="str">
        <f>"3:44:27.377009"</f>
        <v>3:44:27.377009</v>
      </c>
      <c r="C4150">
        <v>-74</v>
      </c>
    </row>
    <row r="4151" spans="1:3" x14ac:dyDescent="0.25">
      <c r="A4151">
        <v>38</v>
      </c>
      <c r="B4151" t="str">
        <f>"3:44:27.377706"</f>
        <v>3:44:27.377706</v>
      </c>
      <c r="C4151">
        <v>-63</v>
      </c>
    </row>
    <row r="4152" spans="1:3" x14ac:dyDescent="0.25">
      <c r="A4152">
        <v>39</v>
      </c>
      <c r="B4152" t="str">
        <f>"3:44:27.378403"</f>
        <v>3:44:27.378403</v>
      </c>
      <c r="C4152">
        <v>-61</v>
      </c>
    </row>
    <row r="4153" spans="1:3" x14ac:dyDescent="0.25">
      <c r="A4153">
        <v>37</v>
      </c>
      <c r="B4153" t="str">
        <f>"3:44:28.615908"</f>
        <v>3:44:28.615908</v>
      </c>
      <c r="C4153">
        <v>-74</v>
      </c>
    </row>
    <row r="4154" spans="1:3" x14ac:dyDescent="0.25">
      <c r="A4154">
        <v>38</v>
      </c>
      <c r="B4154" t="str">
        <f>"3:44:28.616605"</f>
        <v>3:44:28.616605</v>
      </c>
      <c r="C4154">
        <v>-63</v>
      </c>
    </row>
    <row r="4155" spans="1:3" x14ac:dyDescent="0.25">
      <c r="A4155">
        <v>39</v>
      </c>
      <c r="B4155" t="str">
        <f>"3:44:28.617302"</f>
        <v>3:44:28.617302</v>
      </c>
      <c r="C4155">
        <v>-61</v>
      </c>
    </row>
    <row r="4156" spans="1:3" x14ac:dyDescent="0.25">
      <c r="A4156">
        <v>39</v>
      </c>
      <c r="B4156" t="str">
        <f>"3:44:29.824667"</f>
        <v>3:44:29.824667</v>
      </c>
      <c r="C4156">
        <v>-61</v>
      </c>
    </row>
    <row r="4157" spans="1:3" x14ac:dyDescent="0.25">
      <c r="A4157">
        <v>37</v>
      </c>
      <c r="B4157" t="str">
        <f>"3:44:31.065599"</f>
        <v>3:44:31.065599</v>
      </c>
      <c r="C4157">
        <v>-74</v>
      </c>
    </row>
    <row r="4158" spans="1:3" x14ac:dyDescent="0.25">
      <c r="A4158">
        <v>38</v>
      </c>
      <c r="B4158" t="str">
        <f>"3:44:31.066296"</f>
        <v>3:44:31.066296</v>
      </c>
      <c r="C4158">
        <v>-63</v>
      </c>
    </row>
    <row r="4159" spans="1:3" x14ac:dyDescent="0.25">
      <c r="A4159">
        <v>39</v>
      </c>
      <c r="B4159" t="str">
        <f>"3:44:31.066993"</f>
        <v>3:44:31.066993</v>
      </c>
      <c r="C4159">
        <v>-61</v>
      </c>
    </row>
    <row r="4160" spans="1:3" x14ac:dyDescent="0.25">
      <c r="A4160">
        <v>37</v>
      </c>
      <c r="B4160" t="str">
        <f>"3:44:32.355325"</f>
        <v>3:44:32.355325</v>
      </c>
      <c r="C4160">
        <v>-74</v>
      </c>
    </row>
    <row r="4161" spans="1:3" x14ac:dyDescent="0.25">
      <c r="A4161">
        <v>38</v>
      </c>
      <c r="B4161" t="str">
        <f>"3:44:32.356022"</f>
        <v>3:44:32.356022</v>
      </c>
      <c r="C4161">
        <v>-63</v>
      </c>
    </row>
    <row r="4162" spans="1:3" x14ac:dyDescent="0.25">
      <c r="A4162">
        <v>39</v>
      </c>
      <c r="B4162" t="str">
        <f>"3:44:32.356719"</f>
        <v>3:44:32.356719</v>
      </c>
      <c r="C4162">
        <v>-61</v>
      </c>
    </row>
    <row r="4163" spans="1:3" x14ac:dyDescent="0.25">
      <c r="A4163">
        <v>37</v>
      </c>
      <c r="B4163" t="str">
        <f>"3:44:33.574580"</f>
        <v>3:44:33.574580</v>
      </c>
      <c r="C4163">
        <v>-74</v>
      </c>
    </row>
    <row r="4164" spans="1:3" x14ac:dyDescent="0.25">
      <c r="A4164">
        <v>38</v>
      </c>
      <c r="B4164" t="str">
        <f>"3:44:33.575277"</f>
        <v>3:44:33.575277</v>
      </c>
      <c r="C4164">
        <v>-63</v>
      </c>
    </row>
    <row r="4165" spans="1:3" x14ac:dyDescent="0.25">
      <c r="A4165">
        <v>39</v>
      </c>
      <c r="B4165" t="str">
        <f>"3:44:33.575974"</f>
        <v>3:44:33.575974</v>
      </c>
      <c r="C4165">
        <v>-61</v>
      </c>
    </row>
    <row r="4166" spans="1:3" x14ac:dyDescent="0.25">
      <c r="A4166">
        <v>37</v>
      </c>
      <c r="B4166" t="str">
        <f>"3:44:34.806274"</f>
        <v>3:44:34.806274</v>
      </c>
      <c r="C4166">
        <v>-74</v>
      </c>
    </row>
    <row r="4167" spans="1:3" x14ac:dyDescent="0.25">
      <c r="A4167">
        <v>38</v>
      </c>
      <c r="B4167" t="str">
        <f>"3:44:34.806971"</f>
        <v>3:44:34.806971</v>
      </c>
      <c r="C4167">
        <v>-63</v>
      </c>
    </row>
    <row r="4168" spans="1:3" x14ac:dyDescent="0.25">
      <c r="A4168">
        <v>39</v>
      </c>
      <c r="B4168" t="str">
        <f>"3:44:34.807668"</f>
        <v>3:44:34.807668</v>
      </c>
      <c r="C4168">
        <v>-61</v>
      </c>
    </row>
    <row r="4169" spans="1:3" x14ac:dyDescent="0.25">
      <c r="A4169">
        <v>37</v>
      </c>
      <c r="B4169" t="str">
        <f>"3:44:36.057689"</f>
        <v>3:44:36.057689</v>
      </c>
      <c r="C4169">
        <v>-74</v>
      </c>
    </row>
    <row r="4170" spans="1:3" x14ac:dyDescent="0.25">
      <c r="A4170">
        <v>38</v>
      </c>
      <c r="B4170" t="str">
        <f>"3:44:36.058386"</f>
        <v>3:44:36.058386</v>
      </c>
      <c r="C4170">
        <v>-63</v>
      </c>
    </row>
    <row r="4171" spans="1:3" x14ac:dyDescent="0.25">
      <c r="A4171">
        <v>39</v>
      </c>
      <c r="B4171" t="str">
        <f>"3:44:36.059083"</f>
        <v>3:44:36.059083</v>
      </c>
      <c r="C4171">
        <v>-61</v>
      </c>
    </row>
    <row r="4172" spans="1:3" x14ac:dyDescent="0.25">
      <c r="A4172">
        <v>37</v>
      </c>
      <c r="B4172" t="str">
        <f>"3:44:37.323763"</f>
        <v>3:44:37.323763</v>
      </c>
      <c r="C4172">
        <v>-73</v>
      </c>
    </row>
    <row r="4173" spans="1:3" x14ac:dyDescent="0.25">
      <c r="A4173">
        <v>38</v>
      </c>
      <c r="B4173" t="str">
        <f>"3:44:37.324460"</f>
        <v>3:44:37.324460</v>
      </c>
      <c r="C4173">
        <v>-63</v>
      </c>
    </row>
    <row r="4174" spans="1:3" x14ac:dyDescent="0.25">
      <c r="A4174">
        <v>39</v>
      </c>
      <c r="B4174" t="str">
        <f>"3:44:37.325157"</f>
        <v>3:44:37.325157</v>
      </c>
      <c r="C4174">
        <v>-61</v>
      </c>
    </row>
    <row r="4175" spans="1:3" x14ac:dyDescent="0.25">
      <c r="A4175">
        <v>37</v>
      </c>
      <c r="B4175" t="str">
        <f>"3:44:38.564680"</f>
        <v>3:44:38.564680</v>
      </c>
      <c r="C4175">
        <v>-74</v>
      </c>
    </row>
    <row r="4176" spans="1:3" x14ac:dyDescent="0.25">
      <c r="A4176">
        <v>38</v>
      </c>
      <c r="B4176" t="str">
        <f>"3:44:38.565376"</f>
        <v>3:44:38.565376</v>
      </c>
      <c r="C4176">
        <v>-63</v>
      </c>
    </row>
    <row r="4177" spans="1:3" x14ac:dyDescent="0.25">
      <c r="A4177">
        <v>39</v>
      </c>
      <c r="B4177" t="str">
        <f>"3:44:38.566073"</f>
        <v>3:44:38.566073</v>
      </c>
      <c r="C4177">
        <v>-61</v>
      </c>
    </row>
    <row r="4178" spans="1:3" x14ac:dyDescent="0.25">
      <c r="A4178">
        <v>37</v>
      </c>
      <c r="B4178" t="str">
        <f>"3:44:39.782093"</f>
        <v>3:44:39.782093</v>
      </c>
      <c r="C4178">
        <v>-74</v>
      </c>
    </row>
    <row r="4179" spans="1:3" x14ac:dyDescent="0.25">
      <c r="A4179">
        <v>38</v>
      </c>
      <c r="B4179" t="str">
        <f>"3:44:39.782790"</f>
        <v>3:44:39.782790</v>
      </c>
      <c r="C4179">
        <v>-63</v>
      </c>
    </row>
    <row r="4180" spans="1:3" x14ac:dyDescent="0.25">
      <c r="A4180">
        <v>39</v>
      </c>
      <c r="B4180" t="str">
        <f>"3:44:39.783487"</f>
        <v>3:44:39.783487</v>
      </c>
      <c r="C4180">
        <v>-61</v>
      </c>
    </row>
    <row r="4181" spans="1:3" x14ac:dyDescent="0.25">
      <c r="A4181">
        <v>37</v>
      </c>
      <c r="B4181" t="str">
        <f>"3:44:41.026432"</f>
        <v>3:44:41.026432</v>
      </c>
      <c r="C4181">
        <v>-74</v>
      </c>
    </row>
    <row r="4182" spans="1:3" x14ac:dyDescent="0.25">
      <c r="A4182">
        <v>38</v>
      </c>
      <c r="B4182" t="str">
        <f>"3:44:41.027129"</f>
        <v>3:44:41.027129</v>
      </c>
      <c r="C4182">
        <v>-63</v>
      </c>
    </row>
    <row r="4183" spans="1:3" x14ac:dyDescent="0.25">
      <c r="A4183">
        <v>39</v>
      </c>
      <c r="B4183" t="str">
        <f>"3:44:41.027826"</f>
        <v>3:44:41.027826</v>
      </c>
      <c r="C4183">
        <v>-61</v>
      </c>
    </row>
    <row r="4184" spans="1:3" x14ac:dyDescent="0.25">
      <c r="A4184">
        <v>37</v>
      </c>
      <c r="B4184" t="str">
        <f>"3:44:42.315168"</f>
        <v>3:44:42.315168</v>
      </c>
      <c r="C4184">
        <v>-74</v>
      </c>
    </row>
    <row r="4185" spans="1:3" x14ac:dyDescent="0.25">
      <c r="A4185">
        <v>38</v>
      </c>
      <c r="B4185" t="str">
        <f>"3:44:42.315865"</f>
        <v>3:44:42.315865</v>
      </c>
      <c r="C4185">
        <v>-63</v>
      </c>
    </row>
    <row r="4186" spans="1:3" x14ac:dyDescent="0.25">
      <c r="A4186">
        <v>39</v>
      </c>
      <c r="B4186" t="str">
        <f>"3:44:42.316562"</f>
        <v>3:44:42.316562</v>
      </c>
      <c r="C4186">
        <v>-61</v>
      </c>
    </row>
    <row r="4187" spans="1:3" x14ac:dyDescent="0.25">
      <c r="A4187">
        <v>37</v>
      </c>
      <c r="B4187" t="str">
        <f>"3:44:43.518018"</f>
        <v>3:44:43.518018</v>
      </c>
      <c r="C4187">
        <v>-74</v>
      </c>
    </row>
    <row r="4188" spans="1:3" x14ac:dyDescent="0.25">
      <c r="A4188">
        <v>38</v>
      </c>
      <c r="B4188" t="str">
        <f>"3:44:43.518715"</f>
        <v>3:44:43.518715</v>
      </c>
      <c r="C4188">
        <v>-63</v>
      </c>
    </row>
    <row r="4189" spans="1:3" x14ac:dyDescent="0.25">
      <c r="A4189">
        <v>39</v>
      </c>
      <c r="B4189" t="str">
        <f>"3:44:43.519412"</f>
        <v>3:44:43.519412</v>
      </c>
      <c r="C4189">
        <v>-61</v>
      </c>
    </row>
    <row r="4190" spans="1:3" x14ac:dyDescent="0.25">
      <c r="A4190">
        <v>39</v>
      </c>
      <c r="B4190" t="str">
        <f>"3:44:43.519914"</f>
        <v>3:44:43.519914</v>
      </c>
      <c r="C4190">
        <v>-69</v>
      </c>
    </row>
    <row r="4191" spans="1:3" x14ac:dyDescent="0.25">
      <c r="A4191">
        <v>37</v>
      </c>
      <c r="B4191" t="str">
        <f>"3:44:44.773605"</f>
        <v>3:44:44.773605</v>
      </c>
      <c r="C4191">
        <v>-74</v>
      </c>
    </row>
    <row r="4192" spans="1:3" x14ac:dyDescent="0.25">
      <c r="A4192">
        <v>38</v>
      </c>
      <c r="B4192" t="str">
        <f>"3:44:44.774302"</f>
        <v>3:44:44.774302</v>
      </c>
      <c r="C4192">
        <v>-63</v>
      </c>
    </row>
    <row r="4193" spans="1:3" x14ac:dyDescent="0.25">
      <c r="A4193">
        <v>39</v>
      </c>
      <c r="B4193" t="str">
        <f>"3:44:44.774999"</f>
        <v>3:44:44.774999</v>
      </c>
      <c r="C4193">
        <v>-61</v>
      </c>
    </row>
    <row r="4194" spans="1:3" x14ac:dyDescent="0.25">
      <c r="A4194">
        <v>37</v>
      </c>
      <c r="B4194" t="str">
        <f>"3:44:46.016043"</f>
        <v>3:44:46.016043</v>
      </c>
      <c r="C4194">
        <v>-74</v>
      </c>
    </row>
    <row r="4195" spans="1:3" x14ac:dyDescent="0.25">
      <c r="A4195">
        <v>38</v>
      </c>
      <c r="B4195" t="str">
        <f>"3:44:46.016740"</f>
        <v>3:44:46.016740</v>
      </c>
      <c r="C4195">
        <v>-63</v>
      </c>
    </row>
    <row r="4196" spans="1:3" x14ac:dyDescent="0.25">
      <c r="A4196">
        <v>39</v>
      </c>
      <c r="B4196" t="str">
        <f>"3:44:46.017437"</f>
        <v>3:44:46.017437</v>
      </c>
      <c r="C4196">
        <v>-61</v>
      </c>
    </row>
    <row r="4197" spans="1:3" x14ac:dyDescent="0.25">
      <c r="A4197">
        <v>37</v>
      </c>
      <c r="B4197" t="str">
        <f>"3:44:47.264219"</f>
        <v>3:44:47.264219</v>
      </c>
      <c r="C4197">
        <v>-73</v>
      </c>
    </row>
    <row r="4198" spans="1:3" x14ac:dyDescent="0.25">
      <c r="A4198">
        <v>38</v>
      </c>
      <c r="B4198" t="str">
        <f>"3:44:47.264915"</f>
        <v>3:44:47.264915</v>
      </c>
      <c r="C4198">
        <v>-64</v>
      </c>
    </row>
    <row r="4199" spans="1:3" x14ac:dyDescent="0.25">
      <c r="A4199">
        <v>39</v>
      </c>
      <c r="B4199" t="str">
        <f>"3:44:47.265613"</f>
        <v>3:44:47.265613</v>
      </c>
      <c r="C4199">
        <v>-61</v>
      </c>
    </row>
    <row r="4200" spans="1:3" x14ac:dyDescent="0.25">
      <c r="A4200">
        <v>37</v>
      </c>
      <c r="B4200" t="str">
        <f>"3:44:48.510194"</f>
        <v>3:44:48.510194</v>
      </c>
      <c r="C4200">
        <v>-74</v>
      </c>
    </row>
    <row r="4201" spans="1:3" x14ac:dyDescent="0.25">
      <c r="A4201">
        <v>38</v>
      </c>
      <c r="B4201" t="str">
        <f>"3:44:48.510891"</f>
        <v>3:44:48.510891</v>
      </c>
      <c r="C4201">
        <v>-63</v>
      </c>
    </row>
    <row r="4202" spans="1:3" x14ac:dyDescent="0.25">
      <c r="A4202">
        <v>39</v>
      </c>
      <c r="B4202" t="str">
        <f>"3:44:48.511588"</f>
        <v>3:44:48.511588</v>
      </c>
      <c r="C4202">
        <v>-61</v>
      </c>
    </row>
    <row r="4203" spans="1:3" x14ac:dyDescent="0.25">
      <c r="A4203">
        <v>37</v>
      </c>
      <c r="B4203" t="str">
        <f>"3:44:49.763820"</f>
        <v>3:44:49.763820</v>
      </c>
      <c r="C4203">
        <v>-73</v>
      </c>
    </row>
    <row r="4204" spans="1:3" x14ac:dyDescent="0.25">
      <c r="A4204">
        <v>38</v>
      </c>
      <c r="B4204" t="str">
        <f>"3:44:49.764517"</f>
        <v>3:44:49.764517</v>
      </c>
      <c r="C4204">
        <v>-63</v>
      </c>
    </row>
    <row r="4205" spans="1:3" x14ac:dyDescent="0.25">
      <c r="A4205">
        <v>39</v>
      </c>
      <c r="B4205" t="str">
        <f>"3:44:49.765214"</f>
        <v>3:44:49.765214</v>
      </c>
      <c r="C4205">
        <v>-61</v>
      </c>
    </row>
    <row r="4206" spans="1:3" x14ac:dyDescent="0.25">
      <c r="A4206">
        <v>37</v>
      </c>
      <c r="B4206" t="str">
        <f>"3:44:51.037599"</f>
        <v>3:44:51.037599</v>
      </c>
      <c r="C4206">
        <v>-74</v>
      </c>
    </row>
    <row r="4207" spans="1:3" x14ac:dyDescent="0.25">
      <c r="A4207">
        <v>38</v>
      </c>
      <c r="B4207" t="str">
        <f>"3:44:51.038296"</f>
        <v>3:44:51.038296</v>
      </c>
      <c r="C4207">
        <v>-63</v>
      </c>
    </row>
    <row r="4208" spans="1:3" x14ac:dyDescent="0.25">
      <c r="A4208">
        <v>39</v>
      </c>
      <c r="B4208" t="str">
        <f>"3:44:51.038993"</f>
        <v>3:44:51.038993</v>
      </c>
      <c r="C4208">
        <v>-61</v>
      </c>
    </row>
    <row r="4209" spans="1:3" x14ac:dyDescent="0.25">
      <c r="A4209">
        <v>37</v>
      </c>
      <c r="B4209" t="str">
        <f>"3:44:53.507892"</f>
        <v>3:44:53.507892</v>
      </c>
      <c r="C4209">
        <v>-74</v>
      </c>
    </row>
    <row r="4210" spans="1:3" x14ac:dyDescent="0.25">
      <c r="A4210">
        <v>38</v>
      </c>
      <c r="B4210" t="str">
        <f>"3:44:53.508589"</f>
        <v>3:44:53.508589</v>
      </c>
      <c r="C4210">
        <v>-63</v>
      </c>
    </row>
    <row r="4211" spans="1:3" x14ac:dyDescent="0.25">
      <c r="A4211">
        <v>39</v>
      </c>
      <c r="B4211" t="str">
        <f>"3:44:53.509286"</f>
        <v>3:44:53.509286</v>
      </c>
      <c r="C4211">
        <v>-61</v>
      </c>
    </row>
    <row r="4212" spans="1:3" x14ac:dyDescent="0.25">
      <c r="A4212">
        <v>37</v>
      </c>
      <c r="B4212" t="str">
        <f>"3:44:54.744366"</f>
        <v>3:44:54.744366</v>
      </c>
      <c r="C4212">
        <v>-75</v>
      </c>
    </row>
    <row r="4213" spans="1:3" x14ac:dyDescent="0.25">
      <c r="A4213">
        <v>38</v>
      </c>
      <c r="B4213" t="str">
        <f>"3:44:54.745063"</f>
        <v>3:44:54.745063</v>
      </c>
      <c r="C4213">
        <v>-63</v>
      </c>
    </row>
    <row r="4214" spans="1:3" x14ac:dyDescent="0.25">
      <c r="A4214">
        <v>39</v>
      </c>
      <c r="B4214" t="str">
        <f>"3:44:54.745760"</f>
        <v>3:44:54.745760</v>
      </c>
      <c r="C4214">
        <v>-62</v>
      </c>
    </row>
    <row r="4215" spans="1:3" x14ac:dyDescent="0.25">
      <c r="A4215">
        <v>37</v>
      </c>
      <c r="B4215" t="str">
        <f>"3:44:56.008103"</f>
        <v>3:44:56.008103</v>
      </c>
      <c r="C4215">
        <v>-74</v>
      </c>
    </row>
    <row r="4216" spans="1:3" x14ac:dyDescent="0.25">
      <c r="A4216">
        <v>38</v>
      </c>
      <c r="B4216" t="str">
        <f>"3:44:56.008799"</f>
        <v>3:44:56.008799</v>
      </c>
      <c r="C4216">
        <v>-63</v>
      </c>
    </row>
    <row r="4217" spans="1:3" x14ac:dyDescent="0.25">
      <c r="A4217">
        <v>39</v>
      </c>
      <c r="B4217" t="str">
        <f>"3:44:56.009497"</f>
        <v>3:44:56.009497</v>
      </c>
      <c r="C4217">
        <v>-61</v>
      </c>
    </row>
    <row r="4218" spans="1:3" x14ac:dyDescent="0.25">
      <c r="A4218">
        <v>37</v>
      </c>
      <c r="B4218" t="str">
        <f>"3:44:57.237691"</f>
        <v>3:44:57.237691</v>
      </c>
      <c r="C4218">
        <v>-74</v>
      </c>
    </row>
    <row r="4219" spans="1:3" x14ac:dyDescent="0.25">
      <c r="A4219">
        <v>38</v>
      </c>
      <c r="B4219" t="str">
        <f>"3:44:57.238388"</f>
        <v>3:44:57.238388</v>
      </c>
      <c r="C4219">
        <v>-63</v>
      </c>
    </row>
    <row r="4220" spans="1:3" x14ac:dyDescent="0.25">
      <c r="A4220">
        <v>39</v>
      </c>
      <c r="B4220" t="str">
        <f>"3:44:57.239085"</f>
        <v>3:44:57.239085</v>
      </c>
      <c r="C4220">
        <v>-61</v>
      </c>
    </row>
    <row r="4221" spans="1:3" x14ac:dyDescent="0.25">
      <c r="A4221">
        <v>37</v>
      </c>
      <c r="B4221" t="str">
        <f>"3:44:59.716866"</f>
        <v>3:44:59.716866</v>
      </c>
      <c r="C4221">
        <v>-75</v>
      </c>
    </row>
    <row r="4222" spans="1:3" x14ac:dyDescent="0.25">
      <c r="A4222">
        <v>38</v>
      </c>
      <c r="B4222" t="str">
        <f>"3:44:59.717563"</f>
        <v>3:44:59.717563</v>
      </c>
      <c r="C4222">
        <v>-63</v>
      </c>
    </row>
    <row r="4223" spans="1:3" x14ac:dyDescent="0.25">
      <c r="A4223">
        <v>39</v>
      </c>
      <c r="B4223" t="str">
        <f>"3:44:59.718260"</f>
        <v>3:44:59.718260</v>
      </c>
      <c r="C4223">
        <v>-61</v>
      </c>
    </row>
    <row r="4224" spans="1:3" x14ac:dyDescent="0.25">
      <c r="A4224">
        <v>37</v>
      </c>
      <c r="B4224" t="str">
        <f>"3:45:00.960492"</f>
        <v>3:45:00.960492</v>
      </c>
      <c r="C4224">
        <v>-73</v>
      </c>
    </row>
    <row r="4225" spans="1:3" x14ac:dyDescent="0.25">
      <c r="A4225">
        <v>38</v>
      </c>
      <c r="B4225" t="str">
        <f>"3:45:00.961189"</f>
        <v>3:45:00.961189</v>
      </c>
      <c r="C4225">
        <v>-63</v>
      </c>
    </row>
    <row r="4226" spans="1:3" x14ac:dyDescent="0.25">
      <c r="A4226">
        <v>39</v>
      </c>
      <c r="B4226" t="str">
        <f>"3:45:00.961886"</f>
        <v>3:45:00.961886</v>
      </c>
      <c r="C4226">
        <v>-61</v>
      </c>
    </row>
    <row r="4227" spans="1:3" x14ac:dyDescent="0.25">
      <c r="A4227">
        <v>37</v>
      </c>
      <c r="B4227" t="str">
        <f>"3:45:02.210867"</f>
        <v>3:45:02.210867</v>
      </c>
      <c r="C4227">
        <v>-74</v>
      </c>
    </row>
    <row r="4228" spans="1:3" x14ac:dyDescent="0.25">
      <c r="A4228">
        <v>38</v>
      </c>
      <c r="B4228" t="str">
        <f>"3:45:02.211564"</f>
        <v>3:45:02.211564</v>
      </c>
      <c r="C4228">
        <v>-63</v>
      </c>
    </row>
    <row r="4229" spans="1:3" x14ac:dyDescent="0.25">
      <c r="A4229">
        <v>39</v>
      </c>
      <c r="B4229" t="str">
        <f>"3:45:02.212261"</f>
        <v>3:45:02.212261</v>
      </c>
      <c r="C4229">
        <v>-61</v>
      </c>
    </row>
    <row r="4230" spans="1:3" x14ac:dyDescent="0.25">
      <c r="A4230">
        <v>37</v>
      </c>
      <c r="B4230" t="str">
        <f>"3:45:03.485137"</f>
        <v>3:45:03.485137</v>
      </c>
      <c r="C4230">
        <v>-74</v>
      </c>
    </row>
    <row r="4231" spans="1:3" x14ac:dyDescent="0.25">
      <c r="A4231">
        <v>38</v>
      </c>
      <c r="B4231" t="str">
        <f>"3:45:03.485834"</f>
        <v>3:45:03.485834</v>
      </c>
      <c r="C4231">
        <v>-63</v>
      </c>
    </row>
    <row r="4232" spans="1:3" x14ac:dyDescent="0.25">
      <c r="A4232">
        <v>39</v>
      </c>
      <c r="B4232" t="str">
        <f>"3:45:03.486531"</f>
        <v>3:45:03.486531</v>
      </c>
      <c r="C4232">
        <v>-61</v>
      </c>
    </row>
    <row r="4233" spans="1:3" x14ac:dyDescent="0.25">
      <c r="A4233">
        <v>38</v>
      </c>
      <c r="B4233" t="str">
        <f>"3:45:04.734642"</f>
        <v>3:45:04.734642</v>
      </c>
      <c r="C4233">
        <v>-63</v>
      </c>
    </row>
    <row r="4234" spans="1:3" x14ac:dyDescent="0.25">
      <c r="A4234">
        <v>39</v>
      </c>
      <c r="B4234" t="str">
        <f>"3:45:04.735339"</f>
        <v>3:45:04.735339</v>
      </c>
      <c r="C4234">
        <v>-61</v>
      </c>
    </row>
    <row r="4235" spans="1:3" x14ac:dyDescent="0.25">
      <c r="A4235">
        <v>39</v>
      </c>
      <c r="B4235" t="str">
        <f>"3:45:05.960836"</f>
        <v>3:45:05.960836</v>
      </c>
      <c r="C4235">
        <v>-61</v>
      </c>
    </row>
    <row r="4236" spans="1:3" x14ac:dyDescent="0.25">
      <c r="A4236">
        <v>37</v>
      </c>
      <c r="B4236" t="str">
        <f>"3:45:07.204518"</f>
        <v>3:45:07.204518</v>
      </c>
      <c r="C4236">
        <v>-74</v>
      </c>
    </row>
    <row r="4237" spans="1:3" x14ac:dyDescent="0.25">
      <c r="A4237">
        <v>38</v>
      </c>
      <c r="B4237" t="str">
        <f>"3:45:07.205214"</f>
        <v>3:45:07.205214</v>
      </c>
      <c r="C4237">
        <v>-63</v>
      </c>
    </row>
    <row r="4238" spans="1:3" x14ac:dyDescent="0.25">
      <c r="A4238">
        <v>39</v>
      </c>
      <c r="B4238" t="str">
        <f>"3:45:07.205912"</f>
        <v>3:45:07.205912</v>
      </c>
      <c r="C4238">
        <v>-61</v>
      </c>
    </row>
    <row r="4239" spans="1:3" x14ac:dyDescent="0.25">
      <c r="A4239">
        <v>37</v>
      </c>
      <c r="B4239" t="str">
        <f>"3:45:08.447273"</f>
        <v>3:45:08.447273</v>
      </c>
      <c r="C4239">
        <v>-74</v>
      </c>
    </row>
    <row r="4240" spans="1:3" x14ac:dyDescent="0.25">
      <c r="A4240">
        <v>38</v>
      </c>
      <c r="B4240" t="str">
        <f>"3:45:08.447970"</f>
        <v>3:45:08.447970</v>
      </c>
      <c r="C4240">
        <v>-63</v>
      </c>
    </row>
    <row r="4241" spans="1:3" x14ac:dyDescent="0.25">
      <c r="A4241">
        <v>39</v>
      </c>
      <c r="B4241" t="str">
        <f>"3:45:08.448667"</f>
        <v>3:45:08.448667</v>
      </c>
      <c r="C4241">
        <v>-61</v>
      </c>
    </row>
    <row r="4242" spans="1:3" x14ac:dyDescent="0.25">
      <c r="A4242">
        <v>37</v>
      </c>
      <c r="B4242" t="str">
        <f>"3:45:09.695293"</f>
        <v>3:45:09.695293</v>
      </c>
      <c r="C4242">
        <v>-74</v>
      </c>
    </row>
    <row r="4243" spans="1:3" x14ac:dyDescent="0.25">
      <c r="A4243">
        <v>38</v>
      </c>
      <c r="B4243" t="str">
        <f>"3:45:09.695990"</f>
        <v>3:45:09.695990</v>
      </c>
      <c r="C4243">
        <v>-63</v>
      </c>
    </row>
    <row r="4244" spans="1:3" x14ac:dyDescent="0.25">
      <c r="A4244">
        <v>39</v>
      </c>
      <c r="B4244" t="str">
        <f>"3:45:09.696687"</f>
        <v>3:45:09.696687</v>
      </c>
      <c r="C4244">
        <v>-61</v>
      </c>
    </row>
    <row r="4245" spans="1:3" x14ac:dyDescent="0.25">
      <c r="A4245">
        <v>38</v>
      </c>
      <c r="B4245" t="str">
        <f>"3:45:10.954997"</f>
        <v>3:45:10.954997</v>
      </c>
      <c r="C4245">
        <v>-63</v>
      </c>
    </row>
    <row r="4246" spans="1:3" x14ac:dyDescent="0.25">
      <c r="A4246">
        <v>39</v>
      </c>
      <c r="B4246" t="str">
        <f>"3:45:10.955694"</f>
        <v>3:45:10.955694</v>
      </c>
      <c r="C4246">
        <v>-61</v>
      </c>
    </row>
    <row r="4247" spans="1:3" x14ac:dyDescent="0.25">
      <c r="A4247">
        <v>37</v>
      </c>
      <c r="B4247" t="str">
        <f>"3:45:12.206806"</f>
        <v>3:45:12.206806</v>
      </c>
      <c r="C4247">
        <v>-74</v>
      </c>
    </row>
    <row r="4248" spans="1:3" x14ac:dyDescent="0.25">
      <c r="A4248">
        <v>38</v>
      </c>
      <c r="B4248" t="str">
        <f>"3:45:12.207503"</f>
        <v>3:45:12.207503</v>
      </c>
      <c r="C4248">
        <v>-63</v>
      </c>
    </row>
    <row r="4249" spans="1:3" x14ac:dyDescent="0.25">
      <c r="A4249">
        <v>39</v>
      </c>
      <c r="B4249" t="str">
        <f>"3:45:12.208200"</f>
        <v>3:45:12.208200</v>
      </c>
      <c r="C4249">
        <v>-61</v>
      </c>
    </row>
    <row r="4250" spans="1:3" x14ac:dyDescent="0.25">
      <c r="A4250">
        <v>37</v>
      </c>
      <c r="B4250" t="str">
        <f>"3:45:13.431217"</f>
        <v>3:45:13.431217</v>
      </c>
      <c r="C4250">
        <v>-73</v>
      </c>
    </row>
    <row r="4251" spans="1:3" x14ac:dyDescent="0.25">
      <c r="A4251">
        <v>38</v>
      </c>
      <c r="B4251" t="str">
        <f>"3:45:13.431914"</f>
        <v>3:45:13.431914</v>
      </c>
      <c r="C4251">
        <v>-63</v>
      </c>
    </row>
    <row r="4252" spans="1:3" x14ac:dyDescent="0.25">
      <c r="A4252">
        <v>39</v>
      </c>
      <c r="B4252" t="str">
        <f>"3:45:13.432611"</f>
        <v>3:45:13.432611</v>
      </c>
      <c r="C4252">
        <v>-61</v>
      </c>
    </row>
    <row r="4253" spans="1:3" x14ac:dyDescent="0.25">
      <c r="A4253">
        <v>38</v>
      </c>
      <c r="B4253" t="str">
        <f>"3:45:14.677490"</f>
        <v>3:45:14.677490</v>
      </c>
      <c r="C4253">
        <v>-63</v>
      </c>
    </row>
    <row r="4254" spans="1:3" x14ac:dyDescent="0.25">
      <c r="A4254">
        <v>39</v>
      </c>
      <c r="B4254" t="str">
        <f>"3:45:14.678187"</f>
        <v>3:45:14.678187</v>
      </c>
      <c r="C4254">
        <v>-61</v>
      </c>
    </row>
    <row r="4255" spans="1:3" x14ac:dyDescent="0.25">
      <c r="A4255">
        <v>37</v>
      </c>
      <c r="B4255" t="str">
        <f>"3:45:15.922434"</f>
        <v>3:45:15.922434</v>
      </c>
      <c r="C4255">
        <v>-74</v>
      </c>
    </row>
    <row r="4256" spans="1:3" x14ac:dyDescent="0.25">
      <c r="A4256">
        <v>38</v>
      </c>
      <c r="B4256" t="str">
        <f>"3:45:15.923131"</f>
        <v>3:45:15.923131</v>
      </c>
      <c r="C4256">
        <v>-63</v>
      </c>
    </row>
    <row r="4257" spans="1:3" x14ac:dyDescent="0.25">
      <c r="A4257">
        <v>39</v>
      </c>
      <c r="B4257" t="str">
        <f>"3:45:15.923828"</f>
        <v>3:45:15.923828</v>
      </c>
      <c r="C4257">
        <v>-61</v>
      </c>
    </row>
    <row r="4258" spans="1:3" x14ac:dyDescent="0.25">
      <c r="A4258">
        <v>37</v>
      </c>
      <c r="B4258" t="str">
        <f>"3:45:17.170618"</f>
        <v>3:45:17.170618</v>
      </c>
      <c r="C4258">
        <v>-74</v>
      </c>
    </row>
    <row r="4259" spans="1:3" x14ac:dyDescent="0.25">
      <c r="A4259">
        <v>38</v>
      </c>
      <c r="B4259" t="str">
        <f>"3:45:17.171315"</f>
        <v>3:45:17.171315</v>
      </c>
      <c r="C4259">
        <v>-63</v>
      </c>
    </row>
    <row r="4260" spans="1:3" x14ac:dyDescent="0.25">
      <c r="A4260">
        <v>39</v>
      </c>
      <c r="B4260" t="str">
        <f>"3:45:17.172012"</f>
        <v>3:45:17.172012</v>
      </c>
      <c r="C4260">
        <v>-61</v>
      </c>
    </row>
    <row r="4261" spans="1:3" x14ac:dyDescent="0.25">
      <c r="A4261">
        <v>37</v>
      </c>
      <c r="B4261" t="str">
        <f>"3:45:18.423694"</f>
        <v>3:45:18.423694</v>
      </c>
      <c r="C4261">
        <v>-74</v>
      </c>
    </row>
    <row r="4262" spans="1:3" x14ac:dyDescent="0.25">
      <c r="A4262">
        <v>38</v>
      </c>
      <c r="B4262" t="str">
        <f>"3:45:18.424390"</f>
        <v>3:45:18.424390</v>
      </c>
      <c r="C4262">
        <v>-63</v>
      </c>
    </row>
    <row r="4263" spans="1:3" x14ac:dyDescent="0.25">
      <c r="A4263">
        <v>39</v>
      </c>
      <c r="B4263" t="str">
        <f>"3:45:18.425087"</f>
        <v>3:45:18.425087</v>
      </c>
      <c r="C4263">
        <v>-61</v>
      </c>
    </row>
    <row r="4264" spans="1:3" x14ac:dyDescent="0.25">
      <c r="A4264">
        <v>37</v>
      </c>
      <c r="B4264" t="str">
        <f>"3:45:19.676320"</f>
        <v>3:45:19.676320</v>
      </c>
      <c r="C4264">
        <v>-74</v>
      </c>
    </row>
    <row r="4265" spans="1:3" x14ac:dyDescent="0.25">
      <c r="A4265">
        <v>38</v>
      </c>
      <c r="B4265" t="str">
        <f>"3:45:19.677017"</f>
        <v>3:45:19.677017</v>
      </c>
      <c r="C4265">
        <v>-63</v>
      </c>
    </row>
    <row r="4266" spans="1:3" x14ac:dyDescent="0.25">
      <c r="A4266">
        <v>39</v>
      </c>
      <c r="B4266" t="str">
        <f>"3:45:19.677714"</f>
        <v>3:45:19.677714</v>
      </c>
      <c r="C4266">
        <v>-61</v>
      </c>
    </row>
    <row r="4267" spans="1:3" x14ac:dyDescent="0.25">
      <c r="A4267">
        <v>37</v>
      </c>
      <c r="B4267" t="str">
        <f>"3:45:22.174440"</f>
        <v>3:45:22.174440</v>
      </c>
      <c r="C4267">
        <v>-74</v>
      </c>
    </row>
    <row r="4268" spans="1:3" x14ac:dyDescent="0.25">
      <c r="A4268">
        <v>38</v>
      </c>
      <c r="B4268" t="str">
        <f>"3:45:22.175137"</f>
        <v>3:45:22.175137</v>
      </c>
      <c r="C4268">
        <v>-63</v>
      </c>
    </row>
    <row r="4269" spans="1:3" x14ac:dyDescent="0.25">
      <c r="A4269">
        <v>39</v>
      </c>
      <c r="B4269" t="str">
        <f>"3:45:22.175834"</f>
        <v>3:45:22.175834</v>
      </c>
      <c r="C4269">
        <v>-61</v>
      </c>
    </row>
    <row r="4270" spans="1:3" x14ac:dyDescent="0.25">
      <c r="A4270">
        <v>37</v>
      </c>
      <c r="B4270" t="str">
        <f>"3:45:23.400319"</f>
        <v>3:45:23.400319</v>
      </c>
      <c r="C4270">
        <v>-73</v>
      </c>
    </row>
    <row r="4271" spans="1:3" x14ac:dyDescent="0.25">
      <c r="A4271">
        <v>38</v>
      </c>
      <c r="B4271" t="str">
        <f>"3:45:23.401016"</f>
        <v>3:45:23.401016</v>
      </c>
      <c r="C4271">
        <v>-63</v>
      </c>
    </row>
    <row r="4272" spans="1:3" x14ac:dyDescent="0.25">
      <c r="A4272">
        <v>39</v>
      </c>
      <c r="B4272" t="str">
        <f>"3:45:23.401713"</f>
        <v>3:45:23.401713</v>
      </c>
      <c r="C4272">
        <v>-61</v>
      </c>
    </row>
    <row r="4273" spans="1:3" x14ac:dyDescent="0.25">
      <c r="A4273">
        <v>38</v>
      </c>
      <c r="B4273" t="str">
        <f>"3:45:24.648426"</f>
        <v>3:45:24.648426</v>
      </c>
      <c r="C4273">
        <v>-64</v>
      </c>
    </row>
    <row r="4274" spans="1:3" x14ac:dyDescent="0.25">
      <c r="A4274">
        <v>39</v>
      </c>
      <c r="B4274" t="str">
        <f>"3:45:24.649123"</f>
        <v>3:45:24.649123</v>
      </c>
      <c r="C4274">
        <v>-62</v>
      </c>
    </row>
    <row r="4275" spans="1:3" x14ac:dyDescent="0.25">
      <c r="A4275">
        <v>37</v>
      </c>
      <c r="B4275" t="str">
        <f>"3:45:25.877707"</f>
        <v>3:45:25.877707</v>
      </c>
      <c r="C4275">
        <v>-73</v>
      </c>
    </row>
    <row r="4276" spans="1:3" x14ac:dyDescent="0.25">
      <c r="A4276">
        <v>38</v>
      </c>
      <c r="B4276" t="str">
        <f>"3:45:25.878404"</f>
        <v>3:45:25.878404</v>
      </c>
      <c r="C4276">
        <v>-62</v>
      </c>
    </row>
    <row r="4277" spans="1:3" x14ac:dyDescent="0.25">
      <c r="A4277">
        <v>39</v>
      </c>
      <c r="B4277" t="str">
        <f>"3:45:25.879101"</f>
        <v>3:45:25.879101</v>
      </c>
      <c r="C4277">
        <v>-61</v>
      </c>
    </row>
    <row r="4278" spans="1:3" x14ac:dyDescent="0.25">
      <c r="A4278">
        <v>37</v>
      </c>
      <c r="B4278" t="str">
        <f>"3:45:28.408573"</f>
        <v>3:45:28.408573</v>
      </c>
      <c r="C4278">
        <v>-74</v>
      </c>
    </row>
    <row r="4279" spans="1:3" x14ac:dyDescent="0.25">
      <c r="A4279">
        <v>38</v>
      </c>
      <c r="B4279" t="str">
        <f>"3:45:28.409270"</f>
        <v>3:45:28.409270</v>
      </c>
      <c r="C4279">
        <v>-63</v>
      </c>
    </row>
    <row r="4280" spans="1:3" x14ac:dyDescent="0.25">
      <c r="A4280">
        <v>39</v>
      </c>
      <c r="B4280" t="str">
        <f>"3:45:28.409967"</f>
        <v>3:45:28.409967</v>
      </c>
      <c r="C4280">
        <v>-61</v>
      </c>
    </row>
    <row r="4281" spans="1:3" x14ac:dyDescent="0.25">
      <c r="A4281">
        <v>37</v>
      </c>
      <c r="B4281" t="str">
        <f>"3:45:29.628065"</f>
        <v>3:45:29.628065</v>
      </c>
      <c r="C4281">
        <v>-74</v>
      </c>
    </row>
    <row r="4282" spans="1:3" x14ac:dyDescent="0.25">
      <c r="A4282">
        <v>38</v>
      </c>
      <c r="B4282" t="str">
        <f>"3:45:29.628762"</f>
        <v>3:45:29.628762</v>
      </c>
      <c r="C4282">
        <v>-63</v>
      </c>
    </row>
    <row r="4283" spans="1:3" x14ac:dyDescent="0.25">
      <c r="A4283">
        <v>39</v>
      </c>
      <c r="B4283" t="str">
        <f>"3:45:29.629459"</f>
        <v>3:45:29.629459</v>
      </c>
      <c r="C4283">
        <v>-61</v>
      </c>
    </row>
    <row r="4284" spans="1:3" x14ac:dyDescent="0.25">
      <c r="A4284">
        <v>38</v>
      </c>
      <c r="B4284" t="str">
        <f>"3:45:30.866860"</f>
        <v>3:45:30.866860</v>
      </c>
      <c r="C4284">
        <v>-63</v>
      </c>
    </row>
    <row r="4285" spans="1:3" x14ac:dyDescent="0.25">
      <c r="A4285">
        <v>39</v>
      </c>
      <c r="B4285" t="str">
        <f>"3:45:30.867557"</f>
        <v>3:45:30.867557</v>
      </c>
      <c r="C4285">
        <v>-61</v>
      </c>
    </row>
    <row r="4286" spans="1:3" x14ac:dyDescent="0.25">
      <c r="A4286">
        <v>37</v>
      </c>
      <c r="B4286" t="str">
        <f>"3:45:32.114068"</f>
        <v>3:45:32.114068</v>
      </c>
      <c r="C4286">
        <v>-74</v>
      </c>
    </row>
    <row r="4287" spans="1:3" x14ac:dyDescent="0.25">
      <c r="A4287">
        <v>38</v>
      </c>
      <c r="B4287" t="str">
        <f>"3:45:32.114765"</f>
        <v>3:45:32.114765</v>
      </c>
      <c r="C4287">
        <v>-63</v>
      </c>
    </row>
    <row r="4288" spans="1:3" x14ac:dyDescent="0.25">
      <c r="A4288">
        <v>39</v>
      </c>
      <c r="B4288" t="str">
        <f>"3:45:32.115462"</f>
        <v>3:45:32.115462</v>
      </c>
      <c r="C4288">
        <v>-61</v>
      </c>
    </row>
    <row r="4289" spans="1:3" x14ac:dyDescent="0.25">
      <c r="A4289">
        <v>37</v>
      </c>
      <c r="B4289" t="str">
        <f>"3:45:33.396033"</f>
        <v>3:45:33.396033</v>
      </c>
      <c r="C4289">
        <v>-74</v>
      </c>
    </row>
    <row r="4290" spans="1:3" x14ac:dyDescent="0.25">
      <c r="A4290">
        <v>38</v>
      </c>
      <c r="B4290" t="str">
        <f>"3:45:33.396730"</f>
        <v>3:45:33.396730</v>
      </c>
      <c r="C4290">
        <v>-63</v>
      </c>
    </row>
    <row r="4291" spans="1:3" x14ac:dyDescent="0.25">
      <c r="A4291">
        <v>39</v>
      </c>
      <c r="B4291" t="str">
        <f>"3:45:33.397427"</f>
        <v>3:45:33.397427</v>
      </c>
      <c r="C4291">
        <v>-61</v>
      </c>
    </row>
    <row r="4292" spans="1:3" x14ac:dyDescent="0.25">
      <c r="A4292">
        <v>37</v>
      </c>
      <c r="B4292" t="str">
        <f>"3:45:34.598494"</f>
        <v>3:45:34.598494</v>
      </c>
      <c r="C4292">
        <v>-74</v>
      </c>
    </row>
    <row r="4293" spans="1:3" x14ac:dyDescent="0.25">
      <c r="A4293">
        <v>38</v>
      </c>
      <c r="B4293" t="str">
        <f>"3:45:34.599190"</f>
        <v>3:45:34.599190</v>
      </c>
      <c r="C4293">
        <v>-64</v>
      </c>
    </row>
    <row r="4294" spans="1:3" x14ac:dyDescent="0.25">
      <c r="A4294">
        <v>39</v>
      </c>
      <c r="B4294" t="str">
        <f>"3:45:34.599888"</f>
        <v>3:45:34.599888</v>
      </c>
      <c r="C4294">
        <v>-61</v>
      </c>
    </row>
    <row r="4295" spans="1:3" x14ac:dyDescent="0.25">
      <c r="A4295">
        <v>37</v>
      </c>
      <c r="B4295" t="str">
        <f>"3:45:35.874279"</f>
        <v>3:45:35.874279</v>
      </c>
      <c r="C4295">
        <v>-73</v>
      </c>
    </row>
    <row r="4296" spans="1:3" x14ac:dyDescent="0.25">
      <c r="A4296">
        <v>38</v>
      </c>
      <c r="B4296" t="str">
        <f>"3:45:35.874976"</f>
        <v>3:45:35.874976</v>
      </c>
      <c r="C4296">
        <v>-63</v>
      </c>
    </row>
    <row r="4297" spans="1:3" x14ac:dyDescent="0.25">
      <c r="A4297">
        <v>39</v>
      </c>
      <c r="B4297" t="str">
        <f>"3:45:35.875673"</f>
        <v>3:45:35.875673</v>
      </c>
      <c r="C4297">
        <v>-61</v>
      </c>
    </row>
    <row r="4298" spans="1:3" x14ac:dyDescent="0.25">
      <c r="A4298">
        <v>39</v>
      </c>
      <c r="B4298" t="str">
        <f>"3:45:37.095863"</f>
        <v>3:45:37.095863</v>
      </c>
      <c r="C4298">
        <v>-61</v>
      </c>
    </row>
    <row r="4299" spans="1:3" x14ac:dyDescent="0.25">
      <c r="A4299">
        <v>37</v>
      </c>
      <c r="B4299" t="str">
        <f>"3:45:38.335694"</f>
        <v>3:45:38.335694</v>
      </c>
      <c r="C4299">
        <v>-74</v>
      </c>
    </row>
    <row r="4300" spans="1:3" x14ac:dyDescent="0.25">
      <c r="A4300">
        <v>38</v>
      </c>
      <c r="B4300" t="str">
        <f>"3:45:38.336391"</f>
        <v>3:45:38.336391</v>
      </c>
      <c r="C4300">
        <v>-63</v>
      </c>
    </row>
    <row r="4301" spans="1:3" x14ac:dyDescent="0.25">
      <c r="A4301">
        <v>39</v>
      </c>
      <c r="B4301" t="str">
        <f>"3:45:38.337088"</f>
        <v>3:45:38.337088</v>
      </c>
      <c r="C4301">
        <v>-61</v>
      </c>
    </row>
    <row r="4302" spans="1:3" x14ac:dyDescent="0.25">
      <c r="A4302">
        <v>37</v>
      </c>
      <c r="B4302" t="str">
        <f>"3:45:40.830569"</f>
        <v>3:45:40.830569</v>
      </c>
      <c r="C4302">
        <v>-73</v>
      </c>
    </row>
    <row r="4303" spans="1:3" x14ac:dyDescent="0.25">
      <c r="A4303">
        <v>38</v>
      </c>
      <c r="B4303" t="str">
        <f>"3:45:40.831266"</f>
        <v>3:45:40.831266</v>
      </c>
      <c r="C4303">
        <v>-63</v>
      </c>
    </row>
    <row r="4304" spans="1:3" x14ac:dyDescent="0.25">
      <c r="A4304">
        <v>39</v>
      </c>
      <c r="B4304" t="str">
        <f>"3:45:40.831963"</f>
        <v>3:45:40.831963</v>
      </c>
      <c r="C4304">
        <v>-61</v>
      </c>
    </row>
    <row r="4305" spans="1:3" x14ac:dyDescent="0.25">
      <c r="A4305">
        <v>37</v>
      </c>
      <c r="B4305" t="str">
        <f>"3:45:42.080895"</f>
        <v>3:45:42.080895</v>
      </c>
      <c r="C4305">
        <v>-74</v>
      </c>
    </row>
    <row r="4306" spans="1:3" x14ac:dyDescent="0.25">
      <c r="A4306">
        <v>38</v>
      </c>
      <c r="B4306" t="str">
        <f>"3:45:42.081592"</f>
        <v>3:45:42.081592</v>
      </c>
      <c r="C4306">
        <v>-63</v>
      </c>
    </row>
    <row r="4307" spans="1:3" x14ac:dyDescent="0.25">
      <c r="A4307">
        <v>39</v>
      </c>
      <c r="B4307" t="str">
        <f>"3:45:42.082289"</f>
        <v>3:45:42.082289</v>
      </c>
      <c r="C4307">
        <v>-61</v>
      </c>
    </row>
    <row r="4308" spans="1:3" x14ac:dyDescent="0.25">
      <c r="A4308">
        <v>37</v>
      </c>
      <c r="B4308" t="str">
        <f>"3:45:43.320537"</f>
        <v>3:45:43.320537</v>
      </c>
      <c r="C4308">
        <v>-73</v>
      </c>
    </row>
    <row r="4309" spans="1:3" x14ac:dyDescent="0.25">
      <c r="A4309">
        <v>38</v>
      </c>
      <c r="B4309" t="str">
        <f>"3:45:43.321234"</f>
        <v>3:45:43.321234</v>
      </c>
      <c r="C4309">
        <v>-63</v>
      </c>
    </row>
    <row r="4310" spans="1:3" x14ac:dyDescent="0.25">
      <c r="A4310">
        <v>39</v>
      </c>
      <c r="B4310" t="str">
        <f>"3:45:43.321931"</f>
        <v>3:45:43.321931</v>
      </c>
      <c r="C4310">
        <v>-61</v>
      </c>
    </row>
    <row r="4311" spans="1:3" x14ac:dyDescent="0.25">
      <c r="A4311">
        <v>37</v>
      </c>
      <c r="B4311" t="str">
        <f>"3:45:44.604401"</f>
        <v>3:45:44.604401</v>
      </c>
      <c r="C4311">
        <v>-74</v>
      </c>
    </row>
    <row r="4312" spans="1:3" x14ac:dyDescent="0.25">
      <c r="A4312">
        <v>38</v>
      </c>
      <c r="B4312" t="str">
        <f>"3:45:44.605098"</f>
        <v>3:45:44.605098</v>
      </c>
      <c r="C4312">
        <v>-63</v>
      </c>
    </row>
    <row r="4313" spans="1:3" x14ac:dyDescent="0.25">
      <c r="A4313">
        <v>39</v>
      </c>
      <c r="B4313" t="str">
        <f>"3:45:44.605795"</f>
        <v>3:45:44.605795</v>
      </c>
      <c r="C4313">
        <v>-61</v>
      </c>
    </row>
    <row r="4314" spans="1:3" x14ac:dyDescent="0.25">
      <c r="A4314">
        <v>37</v>
      </c>
      <c r="B4314" t="str">
        <f>"3:45:47.057388"</f>
        <v>3:45:47.057388</v>
      </c>
      <c r="C4314">
        <v>-73</v>
      </c>
    </row>
    <row r="4315" spans="1:3" x14ac:dyDescent="0.25">
      <c r="A4315">
        <v>38</v>
      </c>
      <c r="B4315" t="str">
        <f>"3:45:47.058085"</f>
        <v>3:45:47.058085</v>
      </c>
      <c r="C4315">
        <v>-63</v>
      </c>
    </row>
    <row r="4316" spans="1:3" x14ac:dyDescent="0.25">
      <c r="A4316">
        <v>39</v>
      </c>
      <c r="B4316" t="str">
        <f>"3:45:47.058782"</f>
        <v>3:45:47.058782</v>
      </c>
      <c r="C4316">
        <v>-61</v>
      </c>
    </row>
    <row r="4317" spans="1:3" x14ac:dyDescent="0.25">
      <c r="A4317">
        <v>37</v>
      </c>
      <c r="B4317" t="str">
        <f>"3:45:48.299440"</f>
        <v>3:45:48.299440</v>
      </c>
      <c r="C4317">
        <v>-74</v>
      </c>
    </row>
    <row r="4318" spans="1:3" x14ac:dyDescent="0.25">
      <c r="A4318">
        <v>38</v>
      </c>
      <c r="B4318" t="str">
        <f>"3:45:48.300305"</f>
        <v>3:45:48.300305</v>
      </c>
      <c r="C4318">
        <v>-63</v>
      </c>
    </row>
    <row r="4319" spans="1:3" x14ac:dyDescent="0.25">
      <c r="A4319">
        <v>39</v>
      </c>
      <c r="B4319" t="str">
        <f>"3:45:48.301002"</f>
        <v>3:45:48.301002</v>
      </c>
      <c r="C4319">
        <v>-60</v>
      </c>
    </row>
    <row r="4320" spans="1:3" x14ac:dyDescent="0.25">
      <c r="A4320">
        <v>37</v>
      </c>
      <c r="B4320" t="str">
        <f>"3:45:49.574533"</f>
        <v>3:45:49.574533</v>
      </c>
      <c r="C4320">
        <v>-73</v>
      </c>
    </row>
    <row r="4321" spans="1:3" x14ac:dyDescent="0.25">
      <c r="A4321">
        <v>38</v>
      </c>
      <c r="B4321" t="str">
        <f>"3:45:49.575230"</f>
        <v>3:45:49.575230</v>
      </c>
      <c r="C4321">
        <v>-63</v>
      </c>
    </row>
    <row r="4322" spans="1:3" x14ac:dyDescent="0.25">
      <c r="A4322">
        <v>39</v>
      </c>
      <c r="B4322" t="str">
        <f>"3:45:49.575927"</f>
        <v>3:45:49.575927</v>
      </c>
      <c r="C4322">
        <v>-61</v>
      </c>
    </row>
    <row r="4323" spans="1:3" x14ac:dyDescent="0.25">
      <c r="A4323">
        <v>37</v>
      </c>
      <c r="B4323" t="str">
        <f>"3:45:50.814420"</f>
        <v>3:45:50.814420</v>
      </c>
      <c r="C4323">
        <v>-73</v>
      </c>
    </row>
    <row r="4324" spans="1:3" x14ac:dyDescent="0.25">
      <c r="A4324">
        <v>38</v>
      </c>
      <c r="B4324" t="str">
        <f>"3:45:50.815117"</f>
        <v>3:45:50.815117</v>
      </c>
      <c r="C4324">
        <v>-63</v>
      </c>
    </row>
    <row r="4325" spans="1:3" x14ac:dyDescent="0.25">
      <c r="A4325">
        <v>39</v>
      </c>
      <c r="B4325" t="str">
        <f>"3:45:50.815814"</f>
        <v>3:45:50.815814</v>
      </c>
      <c r="C4325">
        <v>-61</v>
      </c>
    </row>
    <row r="4326" spans="1:3" x14ac:dyDescent="0.25">
      <c r="A4326">
        <v>37</v>
      </c>
      <c r="B4326" t="str">
        <f>"3:45:52.031217"</f>
        <v>3:45:52.031217</v>
      </c>
      <c r="C4326">
        <v>-74</v>
      </c>
    </row>
    <row r="4327" spans="1:3" x14ac:dyDescent="0.25">
      <c r="A4327">
        <v>38</v>
      </c>
      <c r="B4327" t="str">
        <f>"3:45:52.031914"</f>
        <v>3:45:52.031914</v>
      </c>
      <c r="C4327">
        <v>-63</v>
      </c>
    </row>
    <row r="4328" spans="1:3" x14ac:dyDescent="0.25">
      <c r="A4328">
        <v>39</v>
      </c>
      <c r="B4328" t="str">
        <f>"3:45:52.032611"</f>
        <v>3:45:52.032611</v>
      </c>
      <c r="C4328">
        <v>-61</v>
      </c>
    </row>
    <row r="4329" spans="1:3" x14ac:dyDescent="0.25">
      <c r="A4329">
        <v>37</v>
      </c>
      <c r="B4329" t="str">
        <f>"3:45:53.277292"</f>
        <v>3:45:53.277292</v>
      </c>
      <c r="C4329">
        <v>-73</v>
      </c>
    </row>
    <row r="4330" spans="1:3" x14ac:dyDescent="0.25">
      <c r="A4330">
        <v>38</v>
      </c>
      <c r="B4330" t="str">
        <f>"3:45:53.277989"</f>
        <v>3:45:53.277989</v>
      </c>
      <c r="C4330">
        <v>-63</v>
      </c>
    </row>
    <row r="4331" spans="1:3" x14ac:dyDescent="0.25">
      <c r="A4331">
        <v>39</v>
      </c>
      <c r="B4331" t="str">
        <f>"3:45:53.278686"</f>
        <v>3:45:53.278686</v>
      </c>
      <c r="C4331">
        <v>-61</v>
      </c>
    </row>
    <row r="4332" spans="1:3" x14ac:dyDescent="0.25">
      <c r="A4332">
        <v>38</v>
      </c>
      <c r="B4332" t="str">
        <f>"3:45:54.517693"</f>
        <v>3:45:54.517693</v>
      </c>
      <c r="C4332">
        <v>-63</v>
      </c>
    </row>
    <row r="4333" spans="1:3" x14ac:dyDescent="0.25">
      <c r="A4333">
        <v>39</v>
      </c>
      <c r="B4333" t="str">
        <f>"3:45:54.518390"</f>
        <v>3:45:54.518390</v>
      </c>
      <c r="C4333">
        <v>-61</v>
      </c>
    </row>
    <row r="4334" spans="1:3" x14ac:dyDescent="0.25">
      <c r="A4334">
        <v>37</v>
      </c>
      <c r="B4334" t="str">
        <f>"3:45:57.046438"</f>
        <v>3:45:57.046438</v>
      </c>
      <c r="C4334">
        <v>-74</v>
      </c>
    </row>
    <row r="4335" spans="1:3" x14ac:dyDescent="0.25">
      <c r="A4335">
        <v>38</v>
      </c>
      <c r="B4335" t="str">
        <f>"3:45:57.047135"</f>
        <v>3:45:57.047135</v>
      </c>
      <c r="C4335">
        <v>-63</v>
      </c>
    </row>
    <row r="4336" spans="1:3" x14ac:dyDescent="0.25">
      <c r="A4336">
        <v>39</v>
      </c>
      <c r="B4336" t="str">
        <f>"3:45:57.047832"</f>
        <v>3:45:57.047832</v>
      </c>
      <c r="C4336">
        <v>-61</v>
      </c>
    </row>
    <row r="4337" spans="1:3" x14ac:dyDescent="0.25">
      <c r="A4337">
        <v>37</v>
      </c>
      <c r="B4337" t="str">
        <f>"3:45:58.257470"</f>
        <v>3:45:58.257470</v>
      </c>
      <c r="C4337">
        <v>-74</v>
      </c>
    </row>
    <row r="4338" spans="1:3" x14ac:dyDescent="0.25">
      <c r="A4338">
        <v>38</v>
      </c>
      <c r="B4338" t="str">
        <f>"3:45:58.258167"</f>
        <v>3:45:58.258167</v>
      </c>
      <c r="C4338">
        <v>-63</v>
      </c>
    </row>
    <row r="4339" spans="1:3" x14ac:dyDescent="0.25">
      <c r="A4339">
        <v>39</v>
      </c>
      <c r="B4339" t="str">
        <f>"3:45:58.258864"</f>
        <v>3:45:58.258864</v>
      </c>
      <c r="C4339">
        <v>-61</v>
      </c>
    </row>
    <row r="4340" spans="1:3" x14ac:dyDescent="0.25">
      <c r="A4340">
        <v>37</v>
      </c>
      <c r="B4340" t="str">
        <f>"3:45:59.514615"</f>
        <v>3:45:59.514615</v>
      </c>
      <c r="C4340">
        <v>-73</v>
      </c>
    </row>
    <row r="4341" spans="1:3" x14ac:dyDescent="0.25">
      <c r="A4341">
        <v>38</v>
      </c>
      <c r="B4341" t="str">
        <f>"3:45:59.515312"</f>
        <v>3:45:59.515312</v>
      </c>
      <c r="C4341">
        <v>-63</v>
      </c>
    </row>
    <row r="4342" spans="1:3" x14ac:dyDescent="0.25">
      <c r="A4342">
        <v>39</v>
      </c>
      <c r="B4342" t="str">
        <f>"3:45:59.516009"</f>
        <v>3:45:59.516009</v>
      </c>
      <c r="C4342">
        <v>-61</v>
      </c>
    </row>
    <row r="4343" spans="1:3" x14ac:dyDescent="0.25">
      <c r="A4343">
        <v>39</v>
      </c>
      <c r="B4343" t="str">
        <f>"3:46:00.774697"</f>
        <v>3:46:00.774697</v>
      </c>
      <c r="C4343">
        <v>-61</v>
      </c>
    </row>
    <row r="4344" spans="1:3" x14ac:dyDescent="0.25">
      <c r="A4344">
        <v>37</v>
      </c>
      <c r="B4344" t="str">
        <f>"3:46:01.990423"</f>
        <v>3:46:01.990423</v>
      </c>
      <c r="C4344">
        <v>-74</v>
      </c>
    </row>
    <row r="4345" spans="1:3" x14ac:dyDescent="0.25">
      <c r="A4345">
        <v>38</v>
      </c>
      <c r="B4345" t="str">
        <f>"3:46:01.991120"</f>
        <v>3:46:01.991120</v>
      </c>
      <c r="C4345">
        <v>-63</v>
      </c>
    </row>
    <row r="4346" spans="1:3" x14ac:dyDescent="0.25">
      <c r="A4346">
        <v>39</v>
      </c>
      <c r="B4346" t="str">
        <f>"3:46:01.991817"</f>
        <v>3:46:01.991817</v>
      </c>
      <c r="C4346">
        <v>-61</v>
      </c>
    </row>
    <row r="4347" spans="1:3" x14ac:dyDescent="0.25">
      <c r="A4347">
        <v>37</v>
      </c>
      <c r="B4347" t="str">
        <f>"3:46:03.256511"</f>
        <v>3:46:03.256511</v>
      </c>
      <c r="C4347">
        <v>-73</v>
      </c>
    </row>
    <row r="4348" spans="1:3" x14ac:dyDescent="0.25">
      <c r="A4348">
        <v>38</v>
      </c>
      <c r="B4348" t="str">
        <f>"3:46:03.257207"</f>
        <v>3:46:03.257207</v>
      </c>
      <c r="C4348">
        <v>-63</v>
      </c>
    </row>
    <row r="4349" spans="1:3" x14ac:dyDescent="0.25">
      <c r="A4349">
        <v>39</v>
      </c>
      <c r="B4349" t="str">
        <f>"3:46:03.257905"</f>
        <v>3:46:03.257905</v>
      </c>
      <c r="C4349">
        <v>-61</v>
      </c>
    </row>
    <row r="4350" spans="1:3" x14ac:dyDescent="0.25">
      <c r="A4350">
        <v>37</v>
      </c>
      <c r="B4350" t="str">
        <f>"3:46:04.512136"</f>
        <v>3:46:04.512136</v>
      </c>
      <c r="C4350">
        <v>-74</v>
      </c>
    </row>
    <row r="4351" spans="1:3" x14ac:dyDescent="0.25">
      <c r="A4351">
        <v>38</v>
      </c>
      <c r="B4351" t="str">
        <f>"3:46:04.512833"</f>
        <v>3:46:04.512833</v>
      </c>
      <c r="C4351">
        <v>-63</v>
      </c>
    </row>
    <row r="4352" spans="1:3" x14ac:dyDescent="0.25">
      <c r="A4352">
        <v>39</v>
      </c>
      <c r="B4352" t="str">
        <f>"3:46:04.513530"</f>
        <v>3:46:04.513530</v>
      </c>
      <c r="C4352">
        <v>-61</v>
      </c>
    </row>
    <row r="4353" spans="1:3" x14ac:dyDescent="0.25">
      <c r="A4353">
        <v>37</v>
      </c>
      <c r="B4353" t="str">
        <f>"3:46:05.725770"</f>
        <v>3:46:05.725770</v>
      </c>
      <c r="C4353">
        <v>-73</v>
      </c>
    </row>
    <row r="4354" spans="1:3" x14ac:dyDescent="0.25">
      <c r="A4354">
        <v>38</v>
      </c>
      <c r="B4354" t="str">
        <f>"3:46:05.726466"</f>
        <v>3:46:05.726466</v>
      </c>
      <c r="C4354">
        <v>-63</v>
      </c>
    </row>
    <row r="4355" spans="1:3" x14ac:dyDescent="0.25">
      <c r="A4355">
        <v>39</v>
      </c>
      <c r="B4355" t="str">
        <f>"3:46:05.727164"</f>
        <v>3:46:05.727164</v>
      </c>
      <c r="C4355">
        <v>-61</v>
      </c>
    </row>
    <row r="4356" spans="1:3" x14ac:dyDescent="0.25">
      <c r="A4356">
        <v>37</v>
      </c>
      <c r="B4356" t="str">
        <f>"3:46:06.990222"</f>
        <v>3:46:06.990222</v>
      </c>
      <c r="C4356">
        <v>-74</v>
      </c>
    </row>
    <row r="4357" spans="1:3" x14ac:dyDescent="0.25">
      <c r="A4357">
        <v>38</v>
      </c>
      <c r="B4357" t="str">
        <f>"3:46:06.990919"</f>
        <v>3:46:06.990919</v>
      </c>
      <c r="C4357">
        <v>-63</v>
      </c>
    </row>
    <row r="4358" spans="1:3" x14ac:dyDescent="0.25">
      <c r="A4358">
        <v>39</v>
      </c>
      <c r="B4358" t="str">
        <f>"3:46:06.991616"</f>
        <v>3:46:06.991616</v>
      </c>
      <c r="C4358">
        <v>-61</v>
      </c>
    </row>
    <row r="4359" spans="1:3" x14ac:dyDescent="0.25">
      <c r="A4359">
        <v>37</v>
      </c>
      <c r="B4359" t="str">
        <f>"3:46:09.477248"</f>
        <v>3:46:09.477248</v>
      </c>
      <c r="C4359">
        <v>-73</v>
      </c>
    </row>
    <row r="4360" spans="1:3" x14ac:dyDescent="0.25">
      <c r="A4360">
        <v>38</v>
      </c>
      <c r="B4360" t="str">
        <f>"3:46:09.477945"</f>
        <v>3:46:09.477945</v>
      </c>
      <c r="C4360">
        <v>-63</v>
      </c>
    </row>
    <row r="4361" spans="1:3" x14ac:dyDescent="0.25">
      <c r="A4361">
        <v>39</v>
      </c>
      <c r="B4361" t="str">
        <f>"3:46:09.478642"</f>
        <v>3:46:09.478642</v>
      </c>
      <c r="C4361">
        <v>-61</v>
      </c>
    </row>
    <row r="4362" spans="1:3" x14ac:dyDescent="0.25">
      <c r="A4362">
        <v>37</v>
      </c>
      <c r="B4362" t="str">
        <f>"3:46:10.718044"</f>
        <v>3:46:10.718044</v>
      </c>
      <c r="C4362">
        <v>-74</v>
      </c>
    </row>
    <row r="4363" spans="1:3" x14ac:dyDescent="0.25">
      <c r="A4363">
        <v>38</v>
      </c>
      <c r="B4363" t="str">
        <f>"3:46:10.718740"</f>
        <v>3:46:10.718740</v>
      </c>
      <c r="C4363">
        <v>-63</v>
      </c>
    </row>
    <row r="4364" spans="1:3" x14ac:dyDescent="0.25">
      <c r="A4364">
        <v>39</v>
      </c>
      <c r="B4364" t="str">
        <f>"3:46:10.719438"</f>
        <v>3:46:10.719438</v>
      </c>
      <c r="C4364">
        <v>-61</v>
      </c>
    </row>
    <row r="4365" spans="1:3" x14ac:dyDescent="0.25">
      <c r="A4365">
        <v>37</v>
      </c>
      <c r="B4365" t="str">
        <f>"3:46:11.960447"</f>
        <v>3:46:11.960447</v>
      </c>
      <c r="C4365">
        <v>-74</v>
      </c>
    </row>
    <row r="4366" spans="1:3" x14ac:dyDescent="0.25">
      <c r="A4366">
        <v>38</v>
      </c>
      <c r="B4366" t="str">
        <f>"3:46:11.961144"</f>
        <v>3:46:11.961144</v>
      </c>
      <c r="C4366">
        <v>-64</v>
      </c>
    </row>
    <row r="4367" spans="1:3" x14ac:dyDescent="0.25">
      <c r="A4367">
        <v>39</v>
      </c>
      <c r="B4367" t="str">
        <f>"3:46:11.961841"</f>
        <v>3:46:11.961841</v>
      </c>
      <c r="C4367">
        <v>-61</v>
      </c>
    </row>
    <row r="4368" spans="1:3" x14ac:dyDescent="0.25">
      <c r="A4368">
        <v>37</v>
      </c>
      <c r="B4368" t="str">
        <f>"3:46:13.201673"</f>
        <v>3:46:13.201673</v>
      </c>
      <c r="C4368">
        <v>-73</v>
      </c>
    </row>
    <row r="4369" spans="1:3" x14ac:dyDescent="0.25">
      <c r="A4369">
        <v>38</v>
      </c>
      <c r="B4369" t="str">
        <f>"3:46:13.202369"</f>
        <v>3:46:13.202369</v>
      </c>
      <c r="C4369">
        <v>-63</v>
      </c>
    </row>
    <row r="4370" spans="1:3" x14ac:dyDescent="0.25">
      <c r="A4370">
        <v>39</v>
      </c>
      <c r="B4370" t="str">
        <f>"3:46:13.203067"</f>
        <v>3:46:13.203067</v>
      </c>
      <c r="C4370">
        <v>-61</v>
      </c>
    </row>
    <row r="4371" spans="1:3" x14ac:dyDescent="0.25">
      <c r="A4371">
        <v>37</v>
      </c>
      <c r="B4371" t="str">
        <f>"3:46:14.459598"</f>
        <v>3:46:14.459598</v>
      </c>
      <c r="C4371">
        <v>-74</v>
      </c>
    </row>
    <row r="4372" spans="1:3" x14ac:dyDescent="0.25">
      <c r="A4372">
        <v>38</v>
      </c>
      <c r="B4372" t="str">
        <f>"3:46:14.460295"</f>
        <v>3:46:14.460295</v>
      </c>
      <c r="C4372">
        <v>-63</v>
      </c>
    </row>
    <row r="4373" spans="1:3" x14ac:dyDescent="0.25">
      <c r="A4373">
        <v>39</v>
      </c>
      <c r="B4373" t="str">
        <f>"3:46:14.460992"</f>
        <v>3:46:14.460992</v>
      </c>
      <c r="C4373">
        <v>-61</v>
      </c>
    </row>
    <row r="4374" spans="1:3" x14ac:dyDescent="0.25">
      <c r="A4374">
        <v>37</v>
      </c>
      <c r="B4374" t="str">
        <f>"3:46:15.705795"</f>
        <v>3:46:15.705795</v>
      </c>
      <c r="C4374">
        <v>-73</v>
      </c>
    </row>
    <row r="4375" spans="1:3" x14ac:dyDescent="0.25">
      <c r="A4375">
        <v>38</v>
      </c>
      <c r="B4375" t="str">
        <f>"3:46:15.706492"</f>
        <v>3:46:15.706492</v>
      </c>
      <c r="C4375">
        <v>-63</v>
      </c>
    </row>
    <row r="4376" spans="1:3" x14ac:dyDescent="0.25">
      <c r="A4376">
        <v>39</v>
      </c>
      <c r="B4376" t="str">
        <f>"3:46:15.707189"</f>
        <v>3:46:15.707189</v>
      </c>
      <c r="C4376">
        <v>-61</v>
      </c>
    </row>
    <row r="4377" spans="1:3" x14ac:dyDescent="0.25">
      <c r="A4377">
        <v>37</v>
      </c>
      <c r="B4377" t="str">
        <f>"3:46:16.962081"</f>
        <v>3:46:16.962081</v>
      </c>
      <c r="C4377">
        <v>-74</v>
      </c>
    </row>
    <row r="4378" spans="1:3" x14ac:dyDescent="0.25">
      <c r="A4378">
        <v>38</v>
      </c>
      <c r="B4378" t="str">
        <f>"3:46:16.962778"</f>
        <v>3:46:16.962778</v>
      </c>
      <c r="C4378">
        <v>-63</v>
      </c>
    </row>
    <row r="4379" spans="1:3" x14ac:dyDescent="0.25">
      <c r="A4379">
        <v>39</v>
      </c>
      <c r="B4379" t="str">
        <f>"3:46:16.963475"</f>
        <v>3:46:16.963475</v>
      </c>
      <c r="C4379">
        <v>-61</v>
      </c>
    </row>
    <row r="4380" spans="1:3" x14ac:dyDescent="0.25">
      <c r="A4380">
        <v>37</v>
      </c>
      <c r="B4380" t="str">
        <f>"3:46:18.194080"</f>
        <v>3:46:18.194080</v>
      </c>
      <c r="C4380">
        <v>-74</v>
      </c>
    </row>
    <row r="4381" spans="1:3" x14ac:dyDescent="0.25">
      <c r="A4381">
        <v>38</v>
      </c>
      <c r="B4381" t="str">
        <f>"3:46:18.194776"</f>
        <v>3:46:18.194776</v>
      </c>
      <c r="C4381">
        <v>-63</v>
      </c>
    </row>
    <row r="4382" spans="1:3" x14ac:dyDescent="0.25">
      <c r="A4382">
        <v>39</v>
      </c>
      <c r="B4382" t="str">
        <f>"3:46:18.195474"</f>
        <v>3:46:18.195474</v>
      </c>
      <c r="C4382">
        <v>-61</v>
      </c>
    </row>
    <row r="4383" spans="1:3" x14ac:dyDescent="0.25">
      <c r="A4383">
        <v>38</v>
      </c>
      <c r="B4383" t="str">
        <f>"3:46:19.431472"</f>
        <v>3:46:19.431472</v>
      </c>
      <c r="C4383">
        <v>-61</v>
      </c>
    </row>
    <row r="4384" spans="1:3" x14ac:dyDescent="0.25">
      <c r="A4384">
        <v>39</v>
      </c>
      <c r="B4384" t="str">
        <f>"3:46:19.432169"</f>
        <v>3:46:19.432169</v>
      </c>
      <c r="C4384">
        <v>-61</v>
      </c>
    </row>
    <row r="4385" spans="1:3" x14ac:dyDescent="0.25">
      <c r="A4385">
        <v>37</v>
      </c>
      <c r="B4385" t="str">
        <f>"3:46:21.920704"</f>
        <v>3:46:21.920704</v>
      </c>
      <c r="C4385">
        <v>-74</v>
      </c>
    </row>
    <row r="4386" spans="1:3" x14ac:dyDescent="0.25">
      <c r="A4386">
        <v>38</v>
      </c>
      <c r="B4386" t="str">
        <f>"3:46:21.921401"</f>
        <v>3:46:21.921401</v>
      </c>
      <c r="C4386">
        <v>-63</v>
      </c>
    </row>
    <row r="4387" spans="1:3" x14ac:dyDescent="0.25">
      <c r="A4387">
        <v>39</v>
      </c>
      <c r="B4387" t="str">
        <f>"3:46:21.922098"</f>
        <v>3:46:21.922098</v>
      </c>
      <c r="C4387">
        <v>-61</v>
      </c>
    </row>
    <row r="4388" spans="1:3" x14ac:dyDescent="0.25">
      <c r="A4388">
        <v>37</v>
      </c>
      <c r="B4388" t="str">
        <f>"3:46:23.162320"</f>
        <v>3:46:23.162320</v>
      </c>
      <c r="C4388">
        <v>-74</v>
      </c>
    </row>
    <row r="4389" spans="1:3" x14ac:dyDescent="0.25">
      <c r="A4389">
        <v>38</v>
      </c>
      <c r="B4389" t="str">
        <f>"3:46:23.163016"</f>
        <v>3:46:23.163016</v>
      </c>
      <c r="C4389">
        <v>-63</v>
      </c>
    </row>
    <row r="4390" spans="1:3" x14ac:dyDescent="0.25">
      <c r="A4390">
        <v>39</v>
      </c>
      <c r="B4390" t="str">
        <f>"3:46:23.163714"</f>
        <v>3:46:23.163714</v>
      </c>
      <c r="C4390">
        <v>-61</v>
      </c>
    </row>
    <row r="4391" spans="1:3" x14ac:dyDescent="0.25">
      <c r="A4391">
        <v>37</v>
      </c>
      <c r="B4391" t="str">
        <f>"3:46:24.404479"</f>
        <v>3:46:24.404479</v>
      </c>
      <c r="C4391">
        <v>-74</v>
      </c>
    </row>
    <row r="4392" spans="1:3" x14ac:dyDescent="0.25">
      <c r="A4392">
        <v>38</v>
      </c>
      <c r="B4392" t="str">
        <f>"3:46:24.405176"</f>
        <v>3:46:24.405176</v>
      </c>
      <c r="C4392">
        <v>-63</v>
      </c>
    </row>
    <row r="4393" spans="1:3" x14ac:dyDescent="0.25">
      <c r="A4393">
        <v>39</v>
      </c>
      <c r="B4393" t="str">
        <f>"3:46:24.405873"</f>
        <v>3:46:24.405873</v>
      </c>
      <c r="C4393">
        <v>-61</v>
      </c>
    </row>
    <row r="4394" spans="1:3" x14ac:dyDescent="0.25">
      <c r="A4394">
        <v>37</v>
      </c>
      <c r="B4394" t="str">
        <f>"3:46:25.665591"</f>
        <v>3:46:25.665591</v>
      </c>
      <c r="C4394">
        <v>-74</v>
      </c>
    </row>
    <row r="4395" spans="1:3" x14ac:dyDescent="0.25">
      <c r="A4395">
        <v>38</v>
      </c>
      <c r="B4395" t="str">
        <f>"3:46:25.666287"</f>
        <v>3:46:25.666287</v>
      </c>
      <c r="C4395">
        <v>-63</v>
      </c>
    </row>
    <row r="4396" spans="1:3" x14ac:dyDescent="0.25">
      <c r="A4396">
        <v>39</v>
      </c>
      <c r="B4396" t="str">
        <f>"3:46:25.666985"</f>
        <v>3:46:25.666985</v>
      </c>
      <c r="C4396">
        <v>-61</v>
      </c>
    </row>
    <row r="4397" spans="1:3" x14ac:dyDescent="0.25">
      <c r="A4397">
        <v>37</v>
      </c>
      <c r="B4397" t="str">
        <f>"3:46:26.888894"</f>
        <v>3:46:26.888894</v>
      </c>
      <c r="C4397">
        <v>-74</v>
      </c>
    </row>
    <row r="4398" spans="1:3" x14ac:dyDescent="0.25">
      <c r="A4398">
        <v>38</v>
      </c>
      <c r="B4398" t="str">
        <f>"3:46:26.889591"</f>
        <v>3:46:26.889591</v>
      </c>
      <c r="C4398">
        <v>-63</v>
      </c>
    </row>
    <row r="4399" spans="1:3" x14ac:dyDescent="0.25">
      <c r="A4399">
        <v>39</v>
      </c>
      <c r="B4399" t="str">
        <f>"3:46:26.890288"</f>
        <v>3:46:26.890288</v>
      </c>
      <c r="C4399">
        <v>-61</v>
      </c>
    </row>
    <row r="4400" spans="1:3" x14ac:dyDescent="0.25">
      <c r="A4400">
        <v>37</v>
      </c>
      <c r="B4400" t="str">
        <f>"3:46:28.164095"</f>
        <v>3:46:28.164095</v>
      </c>
      <c r="C4400">
        <v>-74</v>
      </c>
    </row>
    <row r="4401" spans="1:3" x14ac:dyDescent="0.25">
      <c r="A4401">
        <v>38</v>
      </c>
      <c r="B4401" t="str">
        <f>"3:46:28.164791"</f>
        <v>3:46:28.164791</v>
      </c>
      <c r="C4401">
        <v>-63</v>
      </c>
    </row>
    <row r="4402" spans="1:3" x14ac:dyDescent="0.25">
      <c r="A4402">
        <v>39</v>
      </c>
      <c r="B4402" t="str">
        <f>"3:46:28.165488"</f>
        <v>3:46:28.165488</v>
      </c>
      <c r="C4402">
        <v>-61</v>
      </c>
    </row>
    <row r="4403" spans="1:3" x14ac:dyDescent="0.25">
      <c r="A4403">
        <v>37</v>
      </c>
      <c r="B4403" t="str">
        <f>"3:46:29.379808"</f>
        <v>3:46:29.379808</v>
      </c>
      <c r="C4403">
        <v>-73</v>
      </c>
    </row>
    <row r="4404" spans="1:3" x14ac:dyDescent="0.25">
      <c r="A4404">
        <v>38</v>
      </c>
      <c r="B4404" t="str">
        <f>"3:46:29.380505"</f>
        <v>3:46:29.380505</v>
      </c>
      <c r="C4404">
        <v>-63</v>
      </c>
    </row>
    <row r="4405" spans="1:3" x14ac:dyDescent="0.25">
      <c r="A4405">
        <v>39</v>
      </c>
      <c r="B4405" t="str">
        <f>"3:46:29.381202"</f>
        <v>3:46:29.381202</v>
      </c>
      <c r="C4405">
        <v>-61</v>
      </c>
    </row>
    <row r="4406" spans="1:3" x14ac:dyDescent="0.25">
      <c r="A4406">
        <v>37</v>
      </c>
      <c r="B4406" t="str">
        <f>"3:46:30.637448"</f>
        <v>3:46:30.637448</v>
      </c>
      <c r="C4406">
        <v>-74</v>
      </c>
    </row>
    <row r="4407" spans="1:3" x14ac:dyDescent="0.25">
      <c r="A4407">
        <v>38</v>
      </c>
      <c r="B4407" t="str">
        <f>"3:46:30.638145"</f>
        <v>3:46:30.638145</v>
      </c>
      <c r="C4407">
        <v>-63</v>
      </c>
    </row>
    <row r="4408" spans="1:3" x14ac:dyDescent="0.25">
      <c r="A4408">
        <v>39</v>
      </c>
      <c r="B4408" t="str">
        <f>"3:46:30.638842"</f>
        <v>3:46:30.638842</v>
      </c>
      <c r="C4408">
        <v>-61</v>
      </c>
    </row>
    <row r="4409" spans="1:3" x14ac:dyDescent="0.25">
      <c r="A4409">
        <v>37</v>
      </c>
      <c r="B4409" t="str">
        <f>"3:46:31.872102"</f>
        <v>3:46:31.872102</v>
      </c>
      <c r="C4409">
        <v>-74</v>
      </c>
    </row>
    <row r="4410" spans="1:3" x14ac:dyDescent="0.25">
      <c r="A4410">
        <v>38</v>
      </c>
      <c r="B4410" t="str">
        <f>"3:46:31.872799"</f>
        <v>3:46:31.872799</v>
      </c>
      <c r="C4410">
        <v>-63</v>
      </c>
    </row>
    <row r="4411" spans="1:3" x14ac:dyDescent="0.25">
      <c r="A4411">
        <v>39</v>
      </c>
      <c r="B4411" t="str">
        <f>"3:46:31.873496"</f>
        <v>3:46:31.873496</v>
      </c>
      <c r="C4411">
        <v>-61</v>
      </c>
    </row>
    <row r="4412" spans="1:3" x14ac:dyDescent="0.25">
      <c r="A4412">
        <v>37</v>
      </c>
      <c r="B4412" t="str">
        <f>"3:46:33.115020"</f>
        <v>3:46:33.115020</v>
      </c>
      <c r="C4412">
        <v>-74</v>
      </c>
    </row>
    <row r="4413" spans="1:3" x14ac:dyDescent="0.25">
      <c r="A4413">
        <v>38</v>
      </c>
      <c r="B4413" t="str">
        <f>"3:46:33.115717"</f>
        <v>3:46:33.115717</v>
      </c>
      <c r="C4413">
        <v>-63</v>
      </c>
    </row>
    <row r="4414" spans="1:3" x14ac:dyDescent="0.25">
      <c r="A4414">
        <v>39</v>
      </c>
      <c r="B4414" t="str">
        <f>"3:46:33.116414"</f>
        <v>3:46:33.116414</v>
      </c>
      <c r="C4414">
        <v>-61</v>
      </c>
    </row>
    <row r="4415" spans="1:3" x14ac:dyDescent="0.25">
      <c r="A4415">
        <v>37</v>
      </c>
      <c r="B4415" t="str">
        <f>"3:46:34.364705"</f>
        <v>3:46:34.364705</v>
      </c>
      <c r="C4415">
        <v>-73</v>
      </c>
    </row>
    <row r="4416" spans="1:3" x14ac:dyDescent="0.25">
      <c r="A4416">
        <v>38</v>
      </c>
      <c r="B4416" t="str">
        <f>"3:46:34.365402"</f>
        <v>3:46:34.365402</v>
      </c>
      <c r="C4416">
        <v>-63</v>
      </c>
    </row>
    <row r="4417" spans="1:3" x14ac:dyDescent="0.25">
      <c r="A4417">
        <v>39</v>
      </c>
      <c r="B4417" t="str">
        <f>"3:46:34.366099"</f>
        <v>3:46:34.366099</v>
      </c>
      <c r="C4417">
        <v>-61</v>
      </c>
    </row>
    <row r="4418" spans="1:3" x14ac:dyDescent="0.25">
      <c r="A4418">
        <v>38</v>
      </c>
      <c r="B4418" t="str">
        <f>"3:46:35.626418"</f>
        <v>3:46:35.626418</v>
      </c>
      <c r="C4418">
        <v>-64</v>
      </c>
    </row>
    <row r="4419" spans="1:3" x14ac:dyDescent="0.25">
      <c r="A4419">
        <v>39</v>
      </c>
      <c r="B4419" t="str">
        <f>"3:46:35.627115"</f>
        <v>3:46:35.627115</v>
      </c>
      <c r="C4419">
        <v>-61</v>
      </c>
    </row>
    <row r="4420" spans="1:3" x14ac:dyDescent="0.25">
      <c r="A4420">
        <v>37</v>
      </c>
      <c r="B4420" t="str">
        <f>"3:46:36.859745"</f>
        <v>3:46:36.859745</v>
      </c>
      <c r="C4420">
        <v>-74</v>
      </c>
    </row>
    <row r="4421" spans="1:3" x14ac:dyDescent="0.25">
      <c r="A4421">
        <v>38</v>
      </c>
      <c r="B4421" t="str">
        <f>"3:46:36.860442"</f>
        <v>3:46:36.860442</v>
      </c>
      <c r="C4421">
        <v>-63</v>
      </c>
    </row>
    <row r="4422" spans="1:3" x14ac:dyDescent="0.25">
      <c r="A4422">
        <v>39</v>
      </c>
      <c r="B4422" t="str">
        <f>"3:46:36.861139"</f>
        <v>3:46:36.861139</v>
      </c>
      <c r="C4422">
        <v>-61</v>
      </c>
    </row>
    <row r="4423" spans="1:3" x14ac:dyDescent="0.25">
      <c r="A4423">
        <v>38</v>
      </c>
      <c r="B4423" t="str">
        <f>"3:46:38.126230"</f>
        <v>3:46:38.126230</v>
      </c>
      <c r="C4423">
        <v>-63</v>
      </c>
    </row>
    <row r="4424" spans="1:3" x14ac:dyDescent="0.25">
      <c r="A4424">
        <v>39</v>
      </c>
      <c r="B4424" t="str">
        <f>"3:46:38.126927"</f>
        <v>3:46:38.126927</v>
      </c>
      <c r="C4424">
        <v>-62</v>
      </c>
    </row>
    <row r="4425" spans="1:3" x14ac:dyDescent="0.25">
      <c r="A4425">
        <v>37</v>
      </c>
      <c r="B4425" t="str">
        <f>"3:46:39.347651"</f>
        <v>3:46:39.347651</v>
      </c>
      <c r="C4425">
        <v>-73</v>
      </c>
    </row>
    <row r="4426" spans="1:3" x14ac:dyDescent="0.25">
      <c r="A4426">
        <v>38</v>
      </c>
      <c r="B4426" t="str">
        <f>"3:46:39.348348"</f>
        <v>3:46:39.348348</v>
      </c>
      <c r="C4426">
        <v>-63</v>
      </c>
    </row>
    <row r="4427" spans="1:3" x14ac:dyDescent="0.25">
      <c r="A4427">
        <v>39</v>
      </c>
      <c r="B4427" t="str">
        <f>"3:46:39.349045"</f>
        <v>3:46:39.349045</v>
      </c>
      <c r="C4427">
        <v>-61</v>
      </c>
    </row>
    <row r="4428" spans="1:3" x14ac:dyDescent="0.25">
      <c r="A4428">
        <v>37</v>
      </c>
      <c r="B4428" t="str">
        <f>"3:46:40.587176"</f>
        <v>3:46:40.587176</v>
      </c>
      <c r="C4428">
        <v>-73</v>
      </c>
    </row>
    <row r="4429" spans="1:3" x14ac:dyDescent="0.25">
      <c r="A4429">
        <v>38</v>
      </c>
      <c r="B4429" t="str">
        <f>"3:46:40.587873"</f>
        <v>3:46:40.587873</v>
      </c>
      <c r="C4429">
        <v>-63</v>
      </c>
    </row>
    <row r="4430" spans="1:3" x14ac:dyDescent="0.25">
      <c r="A4430">
        <v>39</v>
      </c>
      <c r="B4430" t="str">
        <f>"3:46:40.588570"</f>
        <v>3:46:40.588570</v>
      </c>
      <c r="C4430">
        <v>-61</v>
      </c>
    </row>
    <row r="4431" spans="1:3" x14ac:dyDescent="0.25">
      <c r="A4431">
        <v>37</v>
      </c>
      <c r="B4431" t="str">
        <f>"3:46:41.839052"</f>
        <v>3:46:41.839052</v>
      </c>
      <c r="C4431">
        <v>-73</v>
      </c>
    </row>
    <row r="4432" spans="1:3" x14ac:dyDescent="0.25">
      <c r="A4432">
        <v>38</v>
      </c>
      <c r="B4432" t="str">
        <f>"3:46:41.839749"</f>
        <v>3:46:41.839749</v>
      </c>
      <c r="C4432">
        <v>-63</v>
      </c>
    </row>
    <row r="4433" spans="1:3" x14ac:dyDescent="0.25">
      <c r="A4433">
        <v>39</v>
      </c>
      <c r="B4433" t="str">
        <f>"3:46:41.840446"</f>
        <v>3:46:41.840446</v>
      </c>
      <c r="C4433">
        <v>-61</v>
      </c>
    </row>
    <row r="4434" spans="1:3" x14ac:dyDescent="0.25">
      <c r="A4434">
        <v>37</v>
      </c>
      <c r="B4434" t="str">
        <f>"3:46:43.079170"</f>
        <v>3:46:43.079170</v>
      </c>
      <c r="C4434">
        <v>-73</v>
      </c>
    </row>
    <row r="4435" spans="1:3" x14ac:dyDescent="0.25">
      <c r="A4435">
        <v>38</v>
      </c>
      <c r="B4435" t="str">
        <f>"3:46:43.079867"</f>
        <v>3:46:43.079867</v>
      </c>
      <c r="C4435">
        <v>-62</v>
      </c>
    </row>
    <row r="4436" spans="1:3" x14ac:dyDescent="0.25">
      <c r="A4436">
        <v>39</v>
      </c>
      <c r="B4436" t="str">
        <f>"3:46:43.080564"</f>
        <v>3:46:43.080564</v>
      </c>
      <c r="C4436">
        <v>-60</v>
      </c>
    </row>
    <row r="4437" spans="1:3" x14ac:dyDescent="0.25">
      <c r="A4437">
        <v>37</v>
      </c>
      <c r="B4437" t="str">
        <f>"3:46:44.326677"</f>
        <v>3:46:44.326677</v>
      </c>
      <c r="C4437">
        <v>-73</v>
      </c>
    </row>
    <row r="4438" spans="1:3" x14ac:dyDescent="0.25">
      <c r="A4438">
        <v>38</v>
      </c>
      <c r="B4438" t="str">
        <f>"3:46:44.327374"</f>
        <v>3:46:44.327374</v>
      </c>
      <c r="C4438">
        <v>-63</v>
      </c>
    </row>
    <row r="4439" spans="1:3" x14ac:dyDescent="0.25">
      <c r="A4439">
        <v>39</v>
      </c>
      <c r="B4439" t="str">
        <f>"3:46:44.328071"</f>
        <v>3:46:44.328071</v>
      </c>
      <c r="C4439">
        <v>-61</v>
      </c>
    </row>
    <row r="4440" spans="1:3" x14ac:dyDescent="0.25">
      <c r="A4440">
        <v>37</v>
      </c>
      <c r="B4440" t="str">
        <f>"3:46:45.593816"</f>
        <v>3:46:45.593816</v>
      </c>
      <c r="C4440">
        <v>-73</v>
      </c>
    </row>
    <row r="4441" spans="1:3" x14ac:dyDescent="0.25">
      <c r="A4441">
        <v>38</v>
      </c>
      <c r="B4441" t="str">
        <f>"3:46:45.594513"</f>
        <v>3:46:45.594513</v>
      </c>
      <c r="C4441">
        <v>-63</v>
      </c>
    </row>
    <row r="4442" spans="1:3" x14ac:dyDescent="0.25">
      <c r="A4442">
        <v>39</v>
      </c>
      <c r="B4442" t="str">
        <f>"3:46:45.595210"</f>
        <v>3:46:45.595210</v>
      </c>
      <c r="C4442">
        <v>-61</v>
      </c>
    </row>
    <row r="4443" spans="1:3" x14ac:dyDescent="0.25">
      <c r="A4443">
        <v>37</v>
      </c>
      <c r="B4443" t="str">
        <f>"3:46:46.817402"</f>
        <v>3:46:46.817402</v>
      </c>
      <c r="C4443">
        <v>-73</v>
      </c>
    </row>
    <row r="4444" spans="1:3" x14ac:dyDescent="0.25">
      <c r="A4444">
        <v>38</v>
      </c>
      <c r="B4444" t="str">
        <f>"3:46:46.818099"</f>
        <v>3:46:46.818099</v>
      </c>
      <c r="C4444">
        <v>-63</v>
      </c>
    </row>
    <row r="4445" spans="1:3" x14ac:dyDescent="0.25">
      <c r="A4445">
        <v>39</v>
      </c>
      <c r="B4445" t="str">
        <f>"3:46:46.818796"</f>
        <v>3:46:46.818796</v>
      </c>
      <c r="C4445">
        <v>-61</v>
      </c>
    </row>
    <row r="4446" spans="1:3" x14ac:dyDescent="0.25">
      <c r="A4446">
        <v>37</v>
      </c>
      <c r="B4446" t="str">
        <f>"3:46:48.079049"</f>
        <v>3:46:48.079049</v>
      </c>
      <c r="C4446">
        <v>-74</v>
      </c>
    </row>
    <row r="4447" spans="1:3" x14ac:dyDescent="0.25">
      <c r="A4447">
        <v>38</v>
      </c>
      <c r="B4447" t="str">
        <f>"3:46:48.079746"</f>
        <v>3:46:48.079746</v>
      </c>
      <c r="C4447">
        <v>-63</v>
      </c>
    </row>
    <row r="4448" spans="1:3" x14ac:dyDescent="0.25">
      <c r="A4448">
        <v>39</v>
      </c>
      <c r="B4448" t="str">
        <f>"3:46:48.080443"</f>
        <v>3:46:48.080443</v>
      </c>
      <c r="C4448">
        <v>-61</v>
      </c>
    </row>
    <row r="4449" spans="1:3" x14ac:dyDescent="0.25">
      <c r="A4449">
        <v>37</v>
      </c>
      <c r="B4449" t="str">
        <f>"3:46:49.302927"</f>
        <v>3:46:49.302927</v>
      </c>
      <c r="C4449">
        <v>-73</v>
      </c>
    </row>
    <row r="4450" spans="1:3" x14ac:dyDescent="0.25">
      <c r="A4450">
        <v>38</v>
      </c>
      <c r="B4450" t="str">
        <f>"3:46:49.303624"</f>
        <v>3:46:49.303624</v>
      </c>
      <c r="C4450">
        <v>-63</v>
      </c>
    </row>
    <row r="4451" spans="1:3" x14ac:dyDescent="0.25">
      <c r="A4451">
        <v>39</v>
      </c>
      <c r="B4451" t="str">
        <f>"3:46:49.304321"</f>
        <v>3:46:49.304321</v>
      </c>
      <c r="C4451">
        <v>-61</v>
      </c>
    </row>
    <row r="4452" spans="1:3" x14ac:dyDescent="0.25">
      <c r="A4452">
        <v>37</v>
      </c>
      <c r="B4452" t="str">
        <f>"3:46:50.549584"</f>
        <v>3:46:50.549584</v>
      </c>
      <c r="C4452">
        <v>-73</v>
      </c>
    </row>
    <row r="4453" spans="1:3" x14ac:dyDescent="0.25">
      <c r="A4453">
        <v>38</v>
      </c>
      <c r="B4453" t="str">
        <f>"3:46:50.550281"</f>
        <v>3:46:50.550281</v>
      </c>
      <c r="C4453">
        <v>-63</v>
      </c>
    </row>
    <row r="4454" spans="1:3" x14ac:dyDescent="0.25">
      <c r="A4454">
        <v>39</v>
      </c>
      <c r="B4454" t="str">
        <f>"3:46:50.550978"</f>
        <v>3:46:50.550978</v>
      </c>
      <c r="C4454">
        <v>-61</v>
      </c>
    </row>
    <row r="4455" spans="1:3" x14ac:dyDescent="0.25">
      <c r="A4455">
        <v>37</v>
      </c>
      <c r="B4455" t="str">
        <f>"3:46:51.841051"</f>
        <v>3:46:51.841051</v>
      </c>
      <c r="C4455">
        <v>-73</v>
      </c>
    </row>
    <row r="4456" spans="1:3" x14ac:dyDescent="0.25">
      <c r="A4456">
        <v>38</v>
      </c>
      <c r="B4456" t="str">
        <f>"3:46:51.841748"</f>
        <v>3:46:51.841748</v>
      </c>
      <c r="C4456">
        <v>-63</v>
      </c>
    </row>
    <row r="4457" spans="1:3" x14ac:dyDescent="0.25">
      <c r="A4457">
        <v>39</v>
      </c>
      <c r="B4457" t="str">
        <f>"3:46:51.842445"</f>
        <v>3:46:51.842445</v>
      </c>
      <c r="C4457">
        <v>-61</v>
      </c>
    </row>
    <row r="4458" spans="1:3" x14ac:dyDescent="0.25">
      <c r="A4458">
        <v>37</v>
      </c>
      <c r="B4458" t="str">
        <f>"3:46:53.045601"</f>
        <v>3:46:53.045601</v>
      </c>
      <c r="C4458">
        <v>-73</v>
      </c>
    </row>
    <row r="4459" spans="1:3" x14ac:dyDescent="0.25">
      <c r="A4459">
        <v>38</v>
      </c>
      <c r="B4459" t="str">
        <f>"3:46:53.046298"</f>
        <v>3:46:53.046298</v>
      </c>
      <c r="C4459">
        <v>-63</v>
      </c>
    </row>
    <row r="4460" spans="1:3" x14ac:dyDescent="0.25">
      <c r="A4460">
        <v>39</v>
      </c>
      <c r="B4460" t="str">
        <f>"3:46:53.046995"</f>
        <v>3:46:53.046995</v>
      </c>
      <c r="C4460">
        <v>-61</v>
      </c>
    </row>
    <row r="4461" spans="1:3" x14ac:dyDescent="0.25">
      <c r="A4461">
        <v>37</v>
      </c>
      <c r="B4461" t="str">
        <f>"3:46:54.291677"</f>
        <v>3:46:54.291677</v>
      </c>
      <c r="C4461">
        <v>-73</v>
      </c>
    </row>
    <row r="4462" spans="1:3" x14ac:dyDescent="0.25">
      <c r="A4462">
        <v>38</v>
      </c>
      <c r="B4462" t="str">
        <f>"3:46:54.292373"</f>
        <v>3:46:54.292373</v>
      </c>
      <c r="C4462">
        <v>-63</v>
      </c>
    </row>
    <row r="4463" spans="1:3" x14ac:dyDescent="0.25">
      <c r="A4463">
        <v>39</v>
      </c>
      <c r="B4463" t="str">
        <f>"3:46:54.293071"</f>
        <v>3:46:54.293071</v>
      </c>
      <c r="C4463">
        <v>-61</v>
      </c>
    </row>
    <row r="4464" spans="1:3" x14ac:dyDescent="0.25">
      <c r="A4464">
        <v>37</v>
      </c>
      <c r="B4464" t="str">
        <f>"3:46:55.536012"</f>
        <v>3:46:55.536012</v>
      </c>
      <c r="C4464">
        <v>-73</v>
      </c>
    </row>
    <row r="4465" spans="1:3" x14ac:dyDescent="0.25">
      <c r="A4465">
        <v>38</v>
      </c>
      <c r="B4465" t="str">
        <f>"3:46:55.536709"</f>
        <v>3:46:55.536709</v>
      </c>
      <c r="C4465">
        <v>-63</v>
      </c>
    </row>
    <row r="4466" spans="1:3" x14ac:dyDescent="0.25">
      <c r="A4466">
        <v>39</v>
      </c>
      <c r="B4466" t="str">
        <f>"3:46:55.537406"</f>
        <v>3:46:55.537406</v>
      </c>
      <c r="C4466">
        <v>-61</v>
      </c>
    </row>
    <row r="4467" spans="1:3" x14ac:dyDescent="0.25">
      <c r="A4467">
        <v>37</v>
      </c>
      <c r="B4467" t="str">
        <f>"3:46:56.781751"</f>
        <v>3:46:56.781751</v>
      </c>
      <c r="C4467">
        <v>-73</v>
      </c>
    </row>
    <row r="4468" spans="1:3" x14ac:dyDescent="0.25">
      <c r="A4468">
        <v>38</v>
      </c>
      <c r="B4468" t="str">
        <f>"3:46:56.782448"</f>
        <v>3:46:56.782448</v>
      </c>
      <c r="C4468">
        <v>-63</v>
      </c>
    </row>
    <row r="4469" spans="1:3" x14ac:dyDescent="0.25">
      <c r="A4469">
        <v>39</v>
      </c>
      <c r="B4469" t="str">
        <f>"3:46:56.783145"</f>
        <v>3:46:56.783145</v>
      </c>
      <c r="C4469">
        <v>-61</v>
      </c>
    </row>
    <row r="4470" spans="1:3" x14ac:dyDescent="0.25">
      <c r="A4470">
        <v>37</v>
      </c>
      <c r="B4470" t="str">
        <f>"3:46:58.029813"</f>
        <v>3:46:58.029813</v>
      </c>
      <c r="C4470">
        <v>-73</v>
      </c>
    </row>
    <row r="4471" spans="1:3" x14ac:dyDescent="0.25">
      <c r="A4471">
        <v>38</v>
      </c>
      <c r="B4471" t="str">
        <f>"3:46:58.030510"</f>
        <v>3:46:58.030510</v>
      </c>
      <c r="C4471">
        <v>-63</v>
      </c>
    </row>
    <row r="4472" spans="1:3" x14ac:dyDescent="0.25">
      <c r="A4472">
        <v>39</v>
      </c>
      <c r="B4472" t="str">
        <f>"3:46:58.031207"</f>
        <v>3:46:58.031207</v>
      </c>
      <c r="C4472">
        <v>-61</v>
      </c>
    </row>
    <row r="4473" spans="1:3" x14ac:dyDescent="0.25">
      <c r="A4473">
        <v>37</v>
      </c>
      <c r="B4473" t="str">
        <f>"3:46:59.277299"</f>
        <v>3:46:59.277299</v>
      </c>
      <c r="C4473">
        <v>-72</v>
      </c>
    </row>
    <row r="4474" spans="1:3" x14ac:dyDescent="0.25">
      <c r="A4474">
        <v>38</v>
      </c>
      <c r="B4474" t="str">
        <f>"3:46:59.277996"</f>
        <v>3:46:59.277996</v>
      </c>
      <c r="C4474">
        <v>-63</v>
      </c>
    </row>
    <row r="4475" spans="1:3" x14ac:dyDescent="0.25">
      <c r="A4475">
        <v>39</v>
      </c>
      <c r="B4475" t="str">
        <f>"3:46:59.278693"</f>
        <v>3:46:59.278693</v>
      </c>
      <c r="C4475">
        <v>-61</v>
      </c>
    </row>
    <row r="4476" spans="1:3" x14ac:dyDescent="0.25">
      <c r="A4476">
        <v>37</v>
      </c>
      <c r="B4476" t="str">
        <f>"3:47:00.519704"</f>
        <v>3:47:00.519704</v>
      </c>
      <c r="C4476">
        <v>-73</v>
      </c>
    </row>
    <row r="4477" spans="1:3" x14ac:dyDescent="0.25">
      <c r="A4477">
        <v>38</v>
      </c>
      <c r="B4477" t="str">
        <f>"3:47:00.520401"</f>
        <v>3:47:00.520401</v>
      </c>
      <c r="C4477">
        <v>-63</v>
      </c>
    </row>
    <row r="4478" spans="1:3" x14ac:dyDescent="0.25">
      <c r="A4478">
        <v>39</v>
      </c>
      <c r="B4478" t="str">
        <f>"3:47:00.521098"</f>
        <v>3:47:00.521098</v>
      </c>
      <c r="C4478">
        <v>-61</v>
      </c>
    </row>
    <row r="4479" spans="1:3" x14ac:dyDescent="0.25">
      <c r="A4479">
        <v>37</v>
      </c>
      <c r="B4479" t="str">
        <f>"3:47:01.769717"</f>
        <v>3:47:01.769717</v>
      </c>
      <c r="C4479">
        <v>-73</v>
      </c>
    </row>
    <row r="4480" spans="1:3" x14ac:dyDescent="0.25">
      <c r="A4480">
        <v>38</v>
      </c>
      <c r="B4480" t="str">
        <f>"3:47:01.770414"</f>
        <v>3:47:01.770414</v>
      </c>
      <c r="C4480">
        <v>-63</v>
      </c>
    </row>
    <row r="4481" spans="1:3" x14ac:dyDescent="0.25">
      <c r="A4481">
        <v>39</v>
      </c>
      <c r="B4481" t="str">
        <f>"3:47:01.771111"</f>
        <v>3:47:01.771111</v>
      </c>
      <c r="C4481">
        <v>-61</v>
      </c>
    </row>
    <row r="4482" spans="1:3" x14ac:dyDescent="0.25">
      <c r="A4482">
        <v>37</v>
      </c>
      <c r="B4482" t="str">
        <f>"3:47:03.007651"</f>
        <v>3:47:03.007651</v>
      </c>
      <c r="C4482">
        <v>-73</v>
      </c>
    </row>
    <row r="4483" spans="1:3" x14ac:dyDescent="0.25">
      <c r="A4483">
        <v>38</v>
      </c>
      <c r="B4483" t="str">
        <f>"3:47:03.008348"</f>
        <v>3:47:03.008348</v>
      </c>
      <c r="C4483">
        <v>-63</v>
      </c>
    </row>
    <row r="4484" spans="1:3" x14ac:dyDescent="0.25">
      <c r="A4484">
        <v>39</v>
      </c>
      <c r="B4484" t="str">
        <f>"3:47:03.009045"</f>
        <v>3:47:03.009045</v>
      </c>
      <c r="C4484">
        <v>-61</v>
      </c>
    </row>
    <row r="4485" spans="1:3" x14ac:dyDescent="0.25">
      <c r="A4485">
        <v>37</v>
      </c>
      <c r="B4485" t="str">
        <f>"3:47:04.252576"</f>
        <v>3:47:04.252576</v>
      </c>
      <c r="C4485">
        <v>-74</v>
      </c>
    </row>
    <row r="4486" spans="1:3" x14ac:dyDescent="0.25">
      <c r="A4486">
        <v>38</v>
      </c>
      <c r="B4486" t="str">
        <f>"3:47:04.253273"</f>
        <v>3:47:04.253273</v>
      </c>
      <c r="C4486">
        <v>-63</v>
      </c>
    </row>
    <row r="4487" spans="1:3" x14ac:dyDescent="0.25">
      <c r="A4487">
        <v>39</v>
      </c>
      <c r="B4487" t="str">
        <f>"3:47:04.253970"</f>
        <v>3:47:04.253970</v>
      </c>
      <c r="C4487">
        <v>-61</v>
      </c>
    </row>
    <row r="4488" spans="1:3" x14ac:dyDescent="0.25">
      <c r="A4488">
        <v>37</v>
      </c>
      <c r="B4488" t="str">
        <f>"3:47:05.525358"</f>
        <v>3:47:05.525358</v>
      </c>
      <c r="C4488">
        <v>-73</v>
      </c>
    </row>
    <row r="4489" spans="1:3" x14ac:dyDescent="0.25">
      <c r="A4489">
        <v>38</v>
      </c>
      <c r="B4489" t="str">
        <f>"3:47:05.526055"</f>
        <v>3:47:05.526055</v>
      </c>
      <c r="C4489">
        <v>-63</v>
      </c>
    </row>
    <row r="4490" spans="1:3" x14ac:dyDescent="0.25">
      <c r="A4490">
        <v>39</v>
      </c>
      <c r="B4490" t="str">
        <f>"3:47:05.526752"</f>
        <v>3:47:05.526752</v>
      </c>
      <c r="C4490">
        <v>-61</v>
      </c>
    </row>
    <row r="4491" spans="1:3" x14ac:dyDescent="0.25">
      <c r="A4491">
        <v>39</v>
      </c>
      <c r="B4491" t="str">
        <f>"3:47:06.754895"</f>
        <v>3:47:06.754895</v>
      </c>
      <c r="C4491">
        <v>-61</v>
      </c>
    </row>
    <row r="4492" spans="1:3" x14ac:dyDescent="0.25">
      <c r="A4492">
        <v>38</v>
      </c>
      <c r="B4492" t="str">
        <f>"3:47:09.241423"</f>
        <v>3:47:09.241423</v>
      </c>
      <c r="C4492">
        <v>-64</v>
      </c>
    </row>
    <row r="4493" spans="1:3" x14ac:dyDescent="0.25">
      <c r="A4493">
        <v>39</v>
      </c>
      <c r="B4493" t="str">
        <f>"3:47:09.242120"</f>
        <v>3:47:09.242120</v>
      </c>
      <c r="C4493">
        <v>-61</v>
      </c>
    </row>
    <row r="4494" spans="1:3" x14ac:dyDescent="0.25">
      <c r="A4494">
        <v>37</v>
      </c>
      <c r="B4494" t="str">
        <f>"3:47:11.734379"</f>
        <v>3:47:11.734379</v>
      </c>
      <c r="C4494">
        <v>-73</v>
      </c>
    </row>
    <row r="4495" spans="1:3" x14ac:dyDescent="0.25">
      <c r="A4495">
        <v>38</v>
      </c>
      <c r="B4495" t="str">
        <f>"3:47:11.735076"</f>
        <v>3:47:11.735076</v>
      </c>
      <c r="C4495">
        <v>-63</v>
      </c>
    </row>
    <row r="4496" spans="1:3" x14ac:dyDescent="0.25">
      <c r="A4496">
        <v>39</v>
      </c>
      <c r="B4496" t="str">
        <f>"3:47:11.735773"</f>
        <v>3:47:11.735773</v>
      </c>
      <c r="C4496">
        <v>-61</v>
      </c>
    </row>
    <row r="4497" spans="1:3" x14ac:dyDescent="0.25">
      <c r="A4497">
        <v>37</v>
      </c>
      <c r="B4497" t="str">
        <f>"3:47:12.982083"</f>
        <v>3:47:12.982083</v>
      </c>
      <c r="C4497">
        <v>-73</v>
      </c>
    </row>
    <row r="4498" spans="1:3" x14ac:dyDescent="0.25">
      <c r="A4498">
        <v>38</v>
      </c>
      <c r="B4498" t="str">
        <f>"3:47:12.982780"</f>
        <v>3:47:12.982780</v>
      </c>
      <c r="C4498">
        <v>-63</v>
      </c>
    </row>
    <row r="4499" spans="1:3" x14ac:dyDescent="0.25">
      <c r="A4499">
        <v>39</v>
      </c>
      <c r="B4499" t="str">
        <f>"3:47:12.983477"</f>
        <v>3:47:12.983477</v>
      </c>
      <c r="C4499">
        <v>-61</v>
      </c>
    </row>
    <row r="4500" spans="1:3" x14ac:dyDescent="0.25">
      <c r="A4500">
        <v>37</v>
      </c>
      <c r="B4500" t="str">
        <f>"3:47:14.219096"</f>
        <v>3:47:14.219096</v>
      </c>
      <c r="C4500">
        <v>-73</v>
      </c>
    </row>
    <row r="4501" spans="1:3" x14ac:dyDescent="0.25">
      <c r="A4501">
        <v>38</v>
      </c>
      <c r="B4501" t="str">
        <f>"3:47:14.219793"</f>
        <v>3:47:14.219793</v>
      </c>
      <c r="C4501">
        <v>-63</v>
      </c>
    </row>
    <row r="4502" spans="1:3" x14ac:dyDescent="0.25">
      <c r="A4502">
        <v>39</v>
      </c>
      <c r="B4502" t="str">
        <f>"3:47:14.220490"</f>
        <v>3:47:14.220490</v>
      </c>
      <c r="C4502">
        <v>-61</v>
      </c>
    </row>
    <row r="4503" spans="1:3" x14ac:dyDescent="0.25">
      <c r="A4503">
        <v>37</v>
      </c>
      <c r="B4503" t="str">
        <f>"3:47:16.706082"</f>
        <v>3:47:16.706082</v>
      </c>
      <c r="C4503">
        <v>-73</v>
      </c>
    </row>
    <row r="4504" spans="1:3" x14ac:dyDescent="0.25">
      <c r="A4504">
        <v>38</v>
      </c>
      <c r="B4504" t="str">
        <f>"3:47:16.706779"</f>
        <v>3:47:16.706779</v>
      </c>
      <c r="C4504">
        <v>-63</v>
      </c>
    </row>
    <row r="4505" spans="1:3" x14ac:dyDescent="0.25">
      <c r="A4505">
        <v>39</v>
      </c>
      <c r="B4505" t="str">
        <f>"3:47:16.707476"</f>
        <v>3:47:16.707476</v>
      </c>
      <c r="C4505">
        <v>-61</v>
      </c>
    </row>
    <row r="4506" spans="1:3" x14ac:dyDescent="0.25">
      <c r="A4506">
        <v>37</v>
      </c>
      <c r="B4506" t="str">
        <f>"3:47:17.946057"</f>
        <v>3:47:17.946057</v>
      </c>
      <c r="C4506">
        <v>-74</v>
      </c>
    </row>
    <row r="4507" spans="1:3" x14ac:dyDescent="0.25">
      <c r="A4507">
        <v>38</v>
      </c>
      <c r="B4507" t="str">
        <f>"3:47:17.946754"</f>
        <v>3:47:17.946754</v>
      </c>
      <c r="C4507">
        <v>-63</v>
      </c>
    </row>
    <row r="4508" spans="1:3" x14ac:dyDescent="0.25">
      <c r="A4508">
        <v>39</v>
      </c>
      <c r="B4508" t="str">
        <f>"3:47:17.947451"</f>
        <v>3:47:17.947451</v>
      </c>
      <c r="C4508">
        <v>-61</v>
      </c>
    </row>
    <row r="4509" spans="1:3" x14ac:dyDescent="0.25">
      <c r="A4509">
        <v>37</v>
      </c>
      <c r="B4509" t="str">
        <f>"3:47:19.198783"</f>
        <v>3:47:19.198783</v>
      </c>
      <c r="C4509">
        <v>-73</v>
      </c>
    </row>
    <row r="4510" spans="1:3" x14ac:dyDescent="0.25">
      <c r="A4510">
        <v>38</v>
      </c>
      <c r="B4510" t="str">
        <f>"3:47:19.199480"</f>
        <v>3:47:19.199480</v>
      </c>
      <c r="C4510">
        <v>-63</v>
      </c>
    </row>
    <row r="4511" spans="1:3" x14ac:dyDescent="0.25">
      <c r="A4511">
        <v>39</v>
      </c>
      <c r="B4511" t="str">
        <f>"3:47:19.200177"</f>
        <v>3:47:19.200177</v>
      </c>
      <c r="C4511">
        <v>-61</v>
      </c>
    </row>
    <row r="4512" spans="1:3" x14ac:dyDescent="0.25">
      <c r="A4512">
        <v>39</v>
      </c>
      <c r="B4512" t="str">
        <f>"3:47:20.438711"</f>
        <v>3:47:20.438711</v>
      </c>
      <c r="C4512">
        <v>-61</v>
      </c>
    </row>
    <row r="4513" spans="1:3" x14ac:dyDescent="0.25">
      <c r="A4513">
        <v>37</v>
      </c>
      <c r="B4513" t="str">
        <f>"3:47:21.722756"</f>
        <v>3:47:21.722756</v>
      </c>
      <c r="C4513">
        <v>-73</v>
      </c>
    </row>
    <row r="4514" spans="1:3" x14ac:dyDescent="0.25">
      <c r="A4514">
        <v>38</v>
      </c>
      <c r="B4514" t="str">
        <f>"3:47:21.723453"</f>
        <v>3:47:21.723453</v>
      </c>
      <c r="C4514">
        <v>-63</v>
      </c>
    </row>
    <row r="4515" spans="1:3" x14ac:dyDescent="0.25">
      <c r="A4515">
        <v>39</v>
      </c>
      <c r="B4515" t="str">
        <f>"3:47:21.724150"</f>
        <v>3:47:21.724150</v>
      </c>
      <c r="C4515">
        <v>-61</v>
      </c>
    </row>
    <row r="4516" spans="1:3" x14ac:dyDescent="0.25">
      <c r="A4516">
        <v>37</v>
      </c>
      <c r="B4516" t="str">
        <f>"3:47:22.932557"</f>
        <v>3:47:22.932557</v>
      </c>
      <c r="C4516">
        <v>-73</v>
      </c>
    </row>
    <row r="4517" spans="1:3" x14ac:dyDescent="0.25">
      <c r="A4517">
        <v>38</v>
      </c>
      <c r="B4517" t="str">
        <f>"3:47:22.933254"</f>
        <v>3:47:22.933254</v>
      </c>
      <c r="C4517">
        <v>-63</v>
      </c>
    </row>
    <row r="4518" spans="1:3" x14ac:dyDescent="0.25">
      <c r="A4518">
        <v>39</v>
      </c>
      <c r="B4518" t="str">
        <f>"3:47:22.933951"</f>
        <v>3:47:22.933951</v>
      </c>
      <c r="C4518">
        <v>-61</v>
      </c>
    </row>
    <row r="4519" spans="1:3" x14ac:dyDescent="0.25">
      <c r="A4519">
        <v>37</v>
      </c>
      <c r="B4519" t="str">
        <f>"3:47:24.182482"</f>
        <v>3:47:24.182482</v>
      </c>
      <c r="C4519">
        <v>-70</v>
      </c>
    </row>
    <row r="4520" spans="1:3" x14ac:dyDescent="0.25">
      <c r="A4520">
        <v>38</v>
      </c>
      <c r="B4520" t="str">
        <f>"3:47:24.183179"</f>
        <v>3:47:24.183179</v>
      </c>
      <c r="C4520">
        <v>-63</v>
      </c>
    </row>
    <row r="4521" spans="1:3" x14ac:dyDescent="0.25">
      <c r="A4521">
        <v>39</v>
      </c>
      <c r="B4521" t="str">
        <f>"3:47:24.183876"</f>
        <v>3:47:24.183876</v>
      </c>
      <c r="C4521">
        <v>-61</v>
      </c>
    </row>
    <row r="4522" spans="1:3" x14ac:dyDescent="0.25">
      <c r="A4522">
        <v>37</v>
      </c>
      <c r="B4522" t="str">
        <f>"3:47:25.423636"</f>
        <v>3:47:25.423636</v>
      </c>
      <c r="C4522">
        <v>-73</v>
      </c>
    </row>
    <row r="4523" spans="1:3" x14ac:dyDescent="0.25">
      <c r="A4523">
        <v>38</v>
      </c>
      <c r="B4523" t="str">
        <f>"3:47:25.424333"</f>
        <v>3:47:25.424333</v>
      </c>
      <c r="C4523">
        <v>-63</v>
      </c>
    </row>
    <row r="4524" spans="1:3" x14ac:dyDescent="0.25">
      <c r="A4524">
        <v>39</v>
      </c>
      <c r="B4524" t="str">
        <f>"3:47:25.425030"</f>
        <v>3:47:25.425030</v>
      </c>
      <c r="C4524">
        <v>-61</v>
      </c>
    </row>
    <row r="4525" spans="1:3" x14ac:dyDescent="0.25">
      <c r="A4525">
        <v>37</v>
      </c>
      <c r="B4525" t="str">
        <f>"3:47:26.669611"</f>
        <v>3:47:26.669611</v>
      </c>
      <c r="C4525">
        <v>-73</v>
      </c>
    </row>
    <row r="4526" spans="1:3" x14ac:dyDescent="0.25">
      <c r="A4526">
        <v>38</v>
      </c>
      <c r="B4526" t="str">
        <f>"3:47:26.670308"</f>
        <v>3:47:26.670308</v>
      </c>
      <c r="C4526">
        <v>-63</v>
      </c>
    </row>
    <row r="4527" spans="1:3" x14ac:dyDescent="0.25">
      <c r="A4527">
        <v>39</v>
      </c>
      <c r="B4527" t="str">
        <f>"3:47:26.671005"</f>
        <v>3:47:26.671005</v>
      </c>
      <c r="C4527">
        <v>-61</v>
      </c>
    </row>
    <row r="4528" spans="1:3" x14ac:dyDescent="0.25">
      <c r="A4528">
        <v>37</v>
      </c>
      <c r="B4528" t="str">
        <f>"3:47:27.911680"</f>
        <v>3:47:27.911680</v>
      </c>
      <c r="C4528">
        <v>-73</v>
      </c>
    </row>
    <row r="4529" spans="1:3" x14ac:dyDescent="0.25">
      <c r="A4529">
        <v>38</v>
      </c>
      <c r="B4529" t="str">
        <f>"3:47:27.912377"</f>
        <v>3:47:27.912377</v>
      </c>
      <c r="C4529">
        <v>-63</v>
      </c>
    </row>
    <row r="4530" spans="1:3" x14ac:dyDescent="0.25">
      <c r="A4530">
        <v>39</v>
      </c>
      <c r="B4530" t="str">
        <f>"3:47:27.913074"</f>
        <v>3:47:27.913074</v>
      </c>
      <c r="C4530">
        <v>-61</v>
      </c>
    </row>
    <row r="4531" spans="1:3" x14ac:dyDescent="0.25">
      <c r="A4531">
        <v>37</v>
      </c>
      <c r="B4531" t="str">
        <f>"3:47:29.164812"</f>
        <v>3:47:29.164812</v>
      </c>
      <c r="C4531">
        <v>-73</v>
      </c>
    </row>
    <row r="4532" spans="1:3" x14ac:dyDescent="0.25">
      <c r="A4532">
        <v>38</v>
      </c>
      <c r="B4532" t="str">
        <f>"3:47:29.165509"</f>
        <v>3:47:29.165509</v>
      </c>
      <c r="C4532">
        <v>-63</v>
      </c>
    </row>
    <row r="4533" spans="1:3" x14ac:dyDescent="0.25">
      <c r="A4533">
        <v>39</v>
      </c>
      <c r="B4533" t="str">
        <f>"3:47:29.166206"</f>
        <v>3:47:29.166206</v>
      </c>
      <c r="C4533">
        <v>-61</v>
      </c>
    </row>
    <row r="4534" spans="1:3" x14ac:dyDescent="0.25">
      <c r="A4534">
        <v>37</v>
      </c>
      <c r="B4534" t="str">
        <f>"3:47:30.435183"</f>
        <v>3:47:30.435183</v>
      </c>
      <c r="C4534">
        <v>-73</v>
      </c>
    </row>
    <row r="4535" spans="1:3" x14ac:dyDescent="0.25">
      <c r="A4535">
        <v>38</v>
      </c>
      <c r="B4535" t="str">
        <f>"3:47:30.435880"</f>
        <v>3:47:30.435880</v>
      </c>
      <c r="C4535">
        <v>-63</v>
      </c>
    </row>
    <row r="4536" spans="1:3" x14ac:dyDescent="0.25">
      <c r="A4536">
        <v>39</v>
      </c>
      <c r="B4536" t="str">
        <f>"3:47:30.436577"</f>
        <v>3:47:30.436577</v>
      </c>
      <c r="C4536">
        <v>-61</v>
      </c>
    </row>
    <row r="4537" spans="1:3" x14ac:dyDescent="0.25">
      <c r="A4537">
        <v>37</v>
      </c>
      <c r="B4537" t="str">
        <f>"3:47:31.648595"</f>
        <v>3:47:31.648595</v>
      </c>
      <c r="C4537">
        <v>-73</v>
      </c>
    </row>
    <row r="4538" spans="1:3" x14ac:dyDescent="0.25">
      <c r="A4538">
        <v>38</v>
      </c>
      <c r="B4538" t="str">
        <f>"3:47:31.649292"</f>
        <v>3:47:31.649292</v>
      </c>
      <c r="C4538">
        <v>-63</v>
      </c>
    </row>
    <row r="4539" spans="1:3" x14ac:dyDescent="0.25">
      <c r="A4539">
        <v>39</v>
      </c>
      <c r="B4539" t="str">
        <f>"3:47:31.649989"</f>
        <v>3:47:31.649989</v>
      </c>
      <c r="C4539">
        <v>-61</v>
      </c>
    </row>
    <row r="4540" spans="1:3" x14ac:dyDescent="0.25">
      <c r="A4540">
        <v>37</v>
      </c>
      <c r="B4540" t="str">
        <f>"3:47:32.888591"</f>
        <v>3:47:32.888591</v>
      </c>
      <c r="C4540">
        <v>-73</v>
      </c>
    </row>
    <row r="4541" spans="1:3" x14ac:dyDescent="0.25">
      <c r="A4541">
        <v>38</v>
      </c>
      <c r="B4541" t="str">
        <f>"3:47:32.889287"</f>
        <v>3:47:32.889287</v>
      </c>
      <c r="C4541">
        <v>-63</v>
      </c>
    </row>
    <row r="4542" spans="1:3" x14ac:dyDescent="0.25">
      <c r="A4542">
        <v>39</v>
      </c>
      <c r="B4542" t="str">
        <f>"3:47:32.889985"</f>
        <v>3:47:32.889985</v>
      </c>
      <c r="C4542">
        <v>-61</v>
      </c>
    </row>
    <row r="4543" spans="1:3" x14ac:dyDescent="0.25">
      <c r="A4543">
        <v>37</v>
      </c>
      <c r="B4543" t="str">
        <f>"3:47:34.134223"</f>
        <v>3:47:34.134223</v>
      </c>
      <c r="C4543">
        <v>-73</v>
      </c>
    </row>
    <row r="4544" spans="1:3" x14ac:dyDescent="0.25">
      <c r="A4544">
        <v>38</v>
      </c>
      <c r="B4544" t="str">
        <f>"3:47:34.134920"</f>
        <v>3:47:34.134920</v>
      </c>
      <c r="C4544">
        <v>-63</v>
      </c>
    </row>
    <row r="4545" spans="1:3" x14ac:dyDescent="0.25">
      <c r="A4545">
        <v>39</v>
      </c>
      <c r="B4545" t="str">
        <f>"3:47:34.135617"</f>
        <v>3:47:34.135617</v>
      </c>
      <c r="C4545">
        <v>-61</v>
      </c>
    </row>
    <row r="4546" spans="1:3" x14ac:dyDescent="0.25">
      <c r="A4546">
        <v>37</v>
      </c>
      <c r="B4546" t="str">
        <f>"3:47:35.386763"</f>
        <v>3:47:35.386763</v>
      </c>
      <c r="C4546">
        <v>-73</v>
      </c>
    </row>
    <row r="4547" spans="1:3" x14ac:dyDescent="0.25">
      <c r="A4547">
        <v>38</v>
      </c>
      <c r="B4547" t="str">
        <f>"3:47:35.387460"</f>
        <v>3:47:35.387460</v>
      </c>
      <c r="C4547">
        <v>-63</v>
      </c>
    </row>
    <row r="4548" spans="1:3" x14ac:dyDescent="0.25">
      <c r="A4548">
        <v>39</v>
      </c>
      <c r="B4548" t="str">
        <f>"3:47:35.388157"</f>
        <v>3:47:35.388157</v>
      </c>
      <c r="C4548">
        <v>-61</v>
      </c>
    </row>
    <row r="4549" spans="1:3" x14ac:dyDescent="0.25">
      <c r="A4549">
        <v>37</v>
      </c>
      <c r="B4549" t="str">
        <f>"3:47:36.628039"</f>
        <v>3:47:36.628039</v>
      </c>
      <c r="C4549">
        <v>-73</v>
      </c>
    </row>
    <row r="4550" spans="1:3" x14ac:dyDescent="0.25">
      <c r="A4550">
        <v>38</v>
      </c>
      <c r="B4550" t="str">
        <f>"3:47:36.628736"</f>
        <v>3:47:36.628736</v>
      </c>
      <c r="C4550">
        <v>-63</v>
      </c>
    </row>
    <row r="4551" spans="1:3" x14ac:dyDescent="0.25">
      <c r="A4551">
        <v>39</v>
      </c>
      <c r="B4551" t="str">
        <f>"3:47:36.629433"</f>
        <v>3:47:36.629433</v>
      </c>
      <c r="C4551">
        <v>-61</v>
      </c>
    </row>
    <row r="4552" spans="1:3" x14ac:dyDescent="0.25">
      <c r="A4552">
        <v>39</v>
      </c>
      <c r="B4552" t="str">
        <f>"3:47:37.875627"</f>
        <v>3:47:37.875627</v>
      </c>
      <c r="C4552">
        <v>-61</v>
      </c>
    </row>
    <row r="4553" spans="1:3" x14ac:dyDescent="0.25">
      <c r="A4553">
        <v>37</v>
      </c>
      <c r="B4553" t="str">
        <f>"3:47:39.147762"</f>
        <v>3:47:39.147762</v>
      </c>
      <c r="C4553">
        <v>-73</v>
      </c>
    </row>
    <row r="4554" spans="1:3" x14ac:dyDescent="0.25">
      <c r="A4554">
        <v>38</v>
      </c>
      <c r="B4554" t="str">
        <f>"3:47:39.148459"</f>
        <v>3:47:39.148459</v>
      </c>
      <c r="C4554">
        <v>-63</v>
      </c>
    </row>
    <row r="4555" spans="1:3" x14ac:dyDescent="0.25">
      <c r="A4555">
        <v>39</v>
      </c>
      <c r="B4555" t="str">
        <f>"3:47:39.149156"</f>
        <v>3:47:39.149156</v>
      </c>
      <c r="C4555">
        <v>-61</v>
      </c>
    </row>
    <row r="4556" spans="1:3" x14ac:dyDescent="0.25">
      <c r="A4556">
        <v>38</v>
      </c>
      <c r="B4556" t="str">
        <f>"3:47:40.400164"</f>
        <v>3:47:40.400164</v>
      </c>
      <c r="C4556">
        <v>-64</v>
      </c>
    </row>
    <row r="4557" spans="1:3" x14ac:dyDescent="0.25">
      <c r="A4557">
        <v>39</v>
      </c>
      <c r="B4557" t="str">
        <f>"3:47:40.400861"</f>
        <v>3:47:40.400861</v>
      </c>
      <c r="C4557">
        <v>-61</v>
      </c>
    </row>
    <row r="4558" spans="1:3" x14ac:dyDescent="0.25">
      <c r="A4558">
        <v>37</v>
      </c>
      <c r="B4558" t="str">
        <f>"3:47:41.607425"</f>
        <v>3:47:41.607425</v>
      </c>
      <c r="C4558">
        <v>-73</v>
      </c>
    </row>
    <row r="4559" spans="1:3" x14ac:dyDescent="0.25">
      <c r="A4559">
        <v>38</v>
      </c>
      <c r="B4559" t="str">
        <f>"3:47:41.608122"</f>
        <v>3:47:41.608122</v>
      </c>
      <c r="C4559">
        <v>-63</v>
      </c>
    </row>
    <row r="4560" spans="1:3" x14ac:dyDescent="0.25">
      <c r="A4560">
        <v>39</v>
      </c>
      <c r="B4560" t="str">
        <f>"3:47:41.608819"</f>
        <v>3:47:41.608819</v>
      </c>
      <c r="C4560">
        <v>-61</v>
      </c>
    </row>
    <row r="4561" spans="1:3" x14ac:dyDescent="0.25">
      <c r="A4561">
        <v>37</v>
      </c>
      <c r="B4561" t="str">
        <f>"3:47:42.882766"</f>
        <v>3:47:42.882766</v>
      </c>
      <c r="C4561">
        <v>-73</v>
      </c>
    </row>
    <row r="4562" spans="1:3" x14ac:dyDescent="0.25">
      <c r="A4562">
        <v>38</v>
      </c>
      <c r="B4562" t="str">
        <f>"3:47:42.883463"</f>
        <v>3:47:42.883463</v>
      </c>
      <c r="C4562">
        <v>-63</v>
      </c>
    </row>
    <row r="4563" spans="1:3" x14ac:dyDescent="0.25">
      <c r="A4563">
        <v>39</v>
      </c>
      <c r="B4563" t="str">
        <f>"3:47:42.884160"</f>
        <v>3:47:42.884160</v>
      </c>
      <c r="C4563">
        <v>-61</v>
      </c>
    </row>
    <row r="4564" spans="1:3" x14ac:dyDescent="0.25">
      <c r="A4564">
        <v>37</v>
      </c>
      <c r="B4564" t="str">
        <f>"3:47:44.105137"</f>
        <v>3:47:44.105137</v>
      </c>
      <c r="C4564">
        <v>-73</v>
      </c>
    </row>
    <row r="4565" spans="1:3" x14ac:dyDescent="0.25">
      <c r="A4565">
        <v>38</v>
      </c>
      <c r="B4565" t="str">
        <f>"3:47:44.105834"</f>
        <v>3:47:44.105834</v>
      </c>
      <c r="C4565">
        <v>-63</v>
      </c>
    </row>
    <row r="4566" spans="1:3" x14ac:dyDescent="0.25">
      <c r="A4566">
        <v>39</v>
      </c>
      <c r="B4566" t="str">
        <f>"3:47:44.106531"</f>
        <v>3:47:44.106531</v>
      </c>
      <c r="C4566">
        <v>-61</v>
      </c>
    </row>
    <row r="4567" spans="1:3" x14ac:dyDescent="0.25">
      <c r="A4567">
        <v>37</v>
      </c>
      <c r="B4567" t="str">
        <f>"3:47:45.349263"</f>
        <v>3:47:45.349263</v>
      </c>
      <c r="C4567">
        <v>-73</v>
      </c>
    </row>
    <row r="4568" spans="1:3" x14ac:dyDescent="0.25">
      <c r="A4568">
        <v>38</v>
      </c>
      <c r="B4568" t="str">
        <f>"3:47:45.349960"</f>
        <v>3:47:45.349960</v>
      </c>
      <c r="C4568">
        <v>-63</v>
      </c>
    </row>
    <row r="4569" spans="1:3" x14ac:dyDescent="0.25">
      <c r="A4569">
        <v>39</v>
      </c>
      <c r="B4569" t="str">
        <f>"3:47:45.350657"</f>
        <v>3:47:45.350657</v>
      </c>
      <c r="C4569">
        <v>-61</v>
      </c>
    </row>
    <row r="4570" spans="1:3" x14ac:dyDescent="0.25">
      <c r="A4570">
        <v>37</v>
      </c>
      <c r="B4570" t="str">
        <f>"3:47:46.594488"</f>
        <v>3:47:46.594488</v>
      </c>
      <c r="C4570">
        <v>-72</v>
      </c>
    </row>
    <row r="4571" spans="1:3" x14ac:dyDescent="0.25">
      <c r="A4571">
        <v>38</v>
      </c>
      <c r="B4571" t="str">
        <f>"3:47:46.595185"</f>
        <v>3:47:46.595185</v>
      </c>
      <c r="C4571">
        <v>-63</v>
      </c>
    </row>
    <row r="4572" spans="1:3" x14ac:dyDescent="0.25">
      <c r="A4572">
        <v>38</v>
      </c>
      <c r="B4572" t="str">
        <f>"3:47:46.595688"</f>
        <v>3:47:46.595688</v>
      </c>
      <c r="C4572">
        <v>-64</v>
      </c>
    </row>
    <row r="4573" spans="1:3" x14ac:dyDescent="0.25">
      <c r="A4573">
        <v>38</v>
      </c>
      <c r="B4573" t="str">
        <f>"3:47:46.596013"</f>
        <v>3:47:46.596013</v>
      </c>
      <c r="C4573">
        <v>-63</v>
      </c>
    </row>
    <row r="4574" spans="1:3" x14ac:dyDescent="0.25">
      <c r="A4574">
        <v>39</v>
      </c>
      <c r="B4574" t="str">
        <f>"3:47:46.596284"</f>
        <v>3:47:46.596284</v>
      </c>
      <c r="C4574">
        <v>-61</v>
      </c>
    </row>
    <row r="4575" spans="1:3" x14ac:dyDescent="0.25">
      <c r="A4575">
        <v>37</v>
      </c>
      <c r="B4575" t="str">
        <f>"3:47:47.845095"</f>
        <v>3:47:47.845095</v>
      </c>
      <c r="C4575">
        <v>-73</v>
      </c>
    </row>
    <row r="4576" spans="1:3" x14ac:dyDescent="0.25">
      <c r="A4576">
        <v>39</v>
      </c>
      <c r="B4576" t="str">
        <f>"3:47:47.846489"</f>
        <v>3:47:47.846489</v>
      </c>
      <c r="C4576">
        <v>-61</v>
      </c>
    </row>
    <row r="4577" spans="1:3" x14ac:dyDescent="0.25">
      <c r="A4577">
        <v>37</v>
      </c>
      <c r="B4577" t="str">
        <f>"3:47:49.090363"</f>
        <v>3:47:49.090363</v>
      </c>
      <c r="C4577">
        <v>-73</v>
      </c>
    </row>
    <row r="4578" spans="1:3" x14ac:dyDescent="0.25">
      <c r="A4578">
        <v>38</v>
      </c>
      <c r="B4578" t="str">
        <f>"3:47:49.091060"</f>
        <v>3:47:49.091060</v>
      </c>
      <c r="C4578">
        <v>-64</v>
      </c>
    </row>
    <row r="4579" spans="1:3" x14ac:dyDescent="0.25">
      <c r="A4579">
        <v>39</v>
      </c>
      <c r="B4579" t="str">
        <f>"3:47:49.091757"</f>
        <v>3:47:49.091757</v>
      </c>
      <c r="C4579">
        <v>-61</v>
      </c>
    </row>
    <row r="4580" spans="1:3" x14ac:dyDescent="0.25">
      <c r="A4580">
        <v>37</v>
      </c>
      <c r="B4580" t="str">
        <f>"3:47:50.331411"</f>
        <v>3:47:50.331411</v>
      </c>
      <c r="C4580">
        <v>-72</v>
      </c>
    </row>
    <row r="4581" spans="1:3" x14ac:dyDescent="0.25">
      <c r="A4581">
        <v>38</v>
      </c>
      <c r="B4581" t="str">
        <f>"3:47:50.332108"</f>
        <v>3:47:50.332108</v>
      </c>
      <c r="C4581">
        <v>-63</v>
      </c>
    </row>
    <row r="4582" spans="1:3" x14ac:dyDescent="0.25">
      <c r="A4582">
        <v>39</v>
      </c>
      <c r="B4582" t="str">
        <f>"3:47:50.332805"</f>
        <v>3:47:50.332805</v>
      </c>
      <c r="C4582">
        <v>-61</v>
      </c>
    </row>
    <row r="4583" spans="1:3" x14ac:dyDescent="0.25">
      <c r="A4583">
        <v>37</v>
      </c>
      <c r="B4583" t="str">
        <f>"3:47:51.599714"</f>
        <v>3:47:51.599714</v>
      </c>
      <c r="C4583">
        <v>-74</v>
      </c>
    </row>
    <row r="4584" spans="1:3" x14ac:dyDescent="0.25">
      <c r="A4584">
        <v>38</v>
      </c>
      <c r="B4584" t="str">
        <f>"3:47:51.600411"</f>
        <v>3:47:51.600411</v>
      </c>
      <c r="C4584">
        <v>-63</v>
      </c>
    </row>
    <row r="4585" spans="1:3" x14ac:dyDescent="0.25">
      <c r="A4585">
        <v>39</v>
      </c>
      <c r="B4585" t="str">
        <f>"3:47:51.601108"</f>
        <v>3:47:51.601108</v>
      </c>
      <c r="C4585">
        <v>-61</v>
      </c>
    </row>
    <row r="4586" spans="1:3" x14ac:dyDescent="0.25">
      <c r="A4586">
        <v>37</v>
      </c>
      <c r="B4586" t="str">
        <f>"3:47:52.822587"</f>
        <v>3:47:52.822587</v>
      </c>
      <c r="C4586">
        <v>-73</v>
      </c>
    </row>
    <row r="4587" spans="1:3" x14ac:dyDescent="0.25">
      <c r="A4587">
        <v>37</v>
      </c>
      <c r="B4587" t="str">
        <f>"3:47:52.823090"</f>
        <v>3:47:52.823090</v>
      </c>
      <c r="C4587">
        <v>-64</v>
      </c>
    </row>
    <row r="4588" spans="1:3" x14ac:dyDescent="0.25">
      <c r="A4588">
        <v>37</v>
      </c>
      <c r="B4588" t="str">
        <f>"3:47:52.823416"</f>
        <v>3:47:52.823416</v>
      </c>
      <c r="C4588">
        <v>-73</v>
      </c>
    </row>
    <row r="4589" spans="1:3" x14ac:dyDescent="0.25">
      <c r="A4589">
        <v>38</v>
      </c>
      <c r="B4589" t="str">
        <f>"3:47:52.823687"</f>
        <v>3:47:52.823687</v>
      </c>
      <c r="C4589">
        <v>-63</v>
      </c>
    </row>
    <row r="4590" spans="1:3" x14ac:dyDescent="0.25">
      <c r="A4590">
        <v>39</v>
      </c>
      <c r="B4590" t="str">
        <f>"3:47:52.824384"</f>
        <v>3:47:52.824384</v>
      </c>
      <c r="C4590">
        <v>-61</v>
      </c>
    </row>
    <row r="4591" spans="1:3" x14ac:dyDescent="0.25">
      <c r="A4591">
        <v>38</v>
      </c>
      <c r="B4591" t="str">
        <f>"3:47:54.069960"</f>
        <v>3:47:54.069960</v>
      </c>
      <c r="C4591">
        <v>-63</v>
      </c>
    </row>
    <row r="4592" spans="1:3" x14ac:dyDescent="0.25">
      <c r="A4592">
        <v>37</v>
      </c>
      <c r="B4592" t="str">
        <f>"3:47:55.318288"</f>
        <v>3:47:55.318288</v>
      </c>
      <c r="C4592">
        <v>-73</v>
      </c>
    </row>
    <row r="4593" spans="1:3" x14ac:dyDescent="0.25">
      <c r="A4593">
        <v>38</v>
      </c>
      <c r="B4593" t="str">
        <f>"3:47:55.318985"</f>
        <v>3:47:55.318985</v>
      </c>
      <c r="C4593">
        <v>-63</v>
      </c>
    </row>
    <row r="4594" spans="1:3" x14ac:dyDescent="0.25">
      <c r="A4594">
        <v>39</v>
      </c>
      <c r="B4594" t="str">
        <f>"3:47:55.319682"</f>
        <v>3:47:55.319682</v>
      </c>
      <c r="C4594">
        <v>-61</v>
      </c>
    </row>
    <row r="4595" spans="1:3" x14ac:dyDescent="0.25">
      <c r="A4595">
        <v>37</v>
      </c>
      <c r="B4595" t="str">
        <f>"3:47:56.558264"</f>
        <v>3:47:56.558264</v>
      </c>
      <c r="C4595">
        <v>-73</v>
      </c>
    </row>
    <row r="4596" spans="1:3" x14ac:dyDescent="0.25">
      <c r="A4596">
        <v>38</v>
      </c>
      <c r="B4596" t="str">
        <f>"3:47:56.558961"</f>
        <v>3:47:56.558961</v>
      </c>
      <c r="C4596">
        <v>-63</v>
      </c>
    </row>
    <row r="4597" spans="1:3" x14ac:dyDescent="0.25">
      <c r="A4597">
        <v>39</v>
      </c>
      <c r="B4597" t="str">
        <f>"3:47:56.559658"</f>
        <v>3:47:56.559658</v>
      </c>
      <c r="C4597">
        <v>-61</v>
      </c>
    </row>
    <row r="4598" spans="1:3" x14ac:dyDescent="0.25">
      <c r="A4598">
        <v>37</v>
      </c>
      <c r="B4598" t="str">
        <f>"3:47:57.837738"</f>
        <v>3:47:57.837738</v>
      </c>
      <c r="C4598">
        <v>-73</v>
      </c>
    </row>
    <row r="4599" spans="1:3" x14ac:dyDescent="0.25">
      <c r="A4599">
        <v>38</v>
      </c>
      <c r="B4599" t="str">
        <f>"3:47:57.838435"</f>
        <v>3:47:57.838435</v>
      </c>
      <c r="C4599">
        <v>-63</v>
      </c>
    </row>
    <row r="4600" spans="1:3" x14ac:dyDescent="0.25">
      <c r="A4600">
        <v>39</v>
      </c>
      <c r="B4600" t="str">
        <f>"3:47:57.839132"</f>
        <v>3:47:57.839132</v>
      </c>
      <c r="C4600">
        <v>-61</v>
      </c>
    </row>
    <row r="4601" spans="1:3" x14ac:dyDescent="0.25">
      <c r="A4601">
        <v>37</v>
      </c>
      <c r="B4601" t="str">
        <f>"3:47:59.058941"</f>
        <v>3:47:59.058941</v>
      </c>
      <c r="C4601">
        <v>-73</v>
      </c>
    </row>
    <row r="4602" spans="1:3" x14ac:dyDescent="0.25">
      <c r="A4602">
        <v>38</v>
      </c>
      <c r="B4602" t="str">
        <f>"3:47:59.059637"</f>
        <v>3:47:59.059637</v>
      </c>
      <c r="C4602">
        <v>-63</v>
      </c>
    </row>
    <row r="4603" spans="1:3" x14ac:dyDescent="0.25">
      <c r="A4603">
        <v>39</v>
      </c>
      <c r="B4603" t="str">
        <f>"3:47:59.060335"</f>
        <v>3:47:59.060335</v>
      </c>
      <c r="C4603">
        <v>-61</v>
      </c>
    </row>
    <row r="4604" spans="1:3" x14ac:dyDescent="0.25">
      <c r="A4604">
        <v>39</v>
      </c>
      <c r="B4604" t="str">
        <f>"3:47:59.060836"</f>
        <v>3:47:59.060836</v>
      </c>
      <c r="C4604">
        <v>-67</v>
      </c>
    </row>
    <row r="4605" spans="1:3" x14ac:dyDescent="0.25">
      <c r="A4605">
        <v>39</v>
      </c>
      <c r="B4605" t="str">
        <f>"3:47:59.061163"</f>
        <v>3:47:59.061163</v>
      </c>
      <c r="C4605">
        <v>-61</v>
      </c>
    </row>
    <row r="4606" spans="1:3" x14ac:dyDescent="0.25">
      <c r="A4606">
        <v>38</v>
      </c>
      <c r="B4606" t="str">
        <f>"3:48:00.306802"</f>
        <v>3:48:00.306802</v>
      </c>
      <c r="C4606">
        <v>-63</v>
      </c>
    </row>
    <row r="4607" spans="1:3" x14ac:dyDescent="0.25">
      <c r="A4607">
        <v>39</v>
      </c>
      <c r="B4607" t="str">
        <f>"3:48:00.307499"</f>
        <v>3:48:00.307499</v>
      </c>
      <c r="C4607">
        <v>-61</v>
      </c>
    </row>
    <row r="4608" spans="1:3" x14ac:dyDescent="0.25">
      <c r="A4608">
        <v>39</v>
      </c>
      <c r="B4608" t="str">
        <f>"3:48:01.557815"</f>
        <v>3:48:01.557815</v>
      </c>
      <c r="C4608">
        <v>-59</v>
      </c>
    </row>
    <row r="4609" spans="1:3" x14ac:dyDescent="0.25">
      <c r="A4609">
        <v>38</v>
      </c>
      <c r="B4609" t="str">
        <f>"3:48:02.799196"</f>
        <v>3:48:02.799196</v>
      </c>
      <c r="C4609">
        <v>-63</v>
      </c>
    </row>
    <row r="4610" spans="1:3" x14ac:dyDescent="0.25">
      <c r="A4610">
        <v>39</v>
      </c>
      <c r="B4610" t="str">
        <f>"3:48:02.799893"</f>
        <v>3:48:02.799893</v>
      </c>
      <c r="C4610">
        <v>-61</v>
      </c>
    </row>
    <row r="4611" spans="1:3" x14ac:dyDescent="0.25">
      <c r="A4611">
        <v>37</v>
      </c>
      <c r="B4611" t="str">
        <f>"3:48:04.038974"</f>
        <v>3:48:04.038974</v>
      </c>
      <c r="C4611">
        <v>-73</v>
      </c>
    </row>
    <row r="4612" spans="1:3" x14ac:dyDescent="0.25">
      <c r="A4612">
        <v>38</v>
      </c>
      <c r="B4612" t="str">
        <f>"3:48:04.039671"</f>
        <v>3:48:04.039671</v>
      </c>
      <c r="C4612">
        <v>-63</v>
      </c>
    </row>
    <row r="4613" spans="1:3" x14ac:dyDescent="0.25">
      <c r="A4613">
        <v>39</v>
      </c>
      <c r="B4613" t="str">
        <f>"3:48:04.040368"</f>
        <v>3:48:04.040368</v>
      </c>
      <c r="C4613">
        <v>-61</v>
      </c>
    </row>
    <row r="4614" spans="1:3" x14ac:dyDescent="0.25">
      <c r="A4614">
        <v>37</v>
      </c>
      <c r="B4614" t="str">
        <f>"3:48:05.295650"</f>
        <v>3:48:05.295650</v>
      </c>
      <c r="C4614">
        <v>-73</v>
      </c>
    </row>
    <row r="4615" spans="1:3" x14ac:dyDescent="0.25">
      <c r="A4615">
        <v>38</v>
      </c>
      <c r="B4615" t="str">
        <f>"3:48:05.296347"</f>
        <v>3:48:05.296347</v>
      </c>
      <c r="C4615">
        <v>-63</v>
      </c>
    </row>
    <row r="4616" spans="1:3" x14ac:dyDescent="0.25">
      <c r="A4616">
        <v>38</v>
      </c>
      <c r="B4616" t="str">
        <f>"3:48:05.296849"</f>
        <v>3:48:05.296849</v>
      </c>
      <c r="C4616">
        <v>-64</v>
      </c>
    </row>
    <row r="4617" spans="1:3" x14ac:dyDescent="0.25">
      <c r="A4617">
        <v>38</v>
      </c>
      <c r="B4617" t="str">
        <f>"3:48:05.297175"</f>
        <v>3:48:05.297175</v>
      </c>
      <c r="C4617">
        <v>-63</v>
      </c>
    </row>
    <row r="4618" spans="1:3" x14ac:dyDescent="0.25">
      <c r="A4618">
        <v>39</v>
      </c>
      <c r="B4618" t="str">
        <f>"3:48:05.297446"</f>
        <v>3:48:05.297446</v>
      </c>
      <c r="C4618">
        <v>-61</v>
      </c>
    </row>
    <row r="4619" spans="1:3" x14ac:dyDescent="0.25">
      <c r="A4619">
        <v>37</v>
      </c>
      <c r="B4619" t="str">
        <f>"3:48:06.530975"</f>
        <v>3:48:06.530975</v>
      </c>
      <c r="C4619">
        <v>-72</v>
      </c>
    </row>
    <row r="4620" spans="1:3" x14ac:dyDescent="0.25">
      <c r="A4620">
        <v>38</v>
      </c>
      <c r="B4620" t="str">
        <f>"3:48:06.531672"</f>
        <v>3:48:06.531672</v>
      </c>
      <c r="C4620">
        <v>-64</v>
      </c>
    </row>
    <row r="4621" spans="1:3" x14ac:dyDescent="0.25">
      <c r="A4621">
        <v>39</v>
      </c>
      <c r="B4621" t="str">
        <f>"3:48:06.532369"</f>
        <v>3:48:06.532369</v>
      </c>
      <c r="C4621">
        <v>-61</v>
      </c>
    </row>
    <row r="4622" spans="1:3" x14ac:dyDescent="0.25">
      <c r="A4622">
        <v>37</v>
      </c>
      <c r="B4622" t="str">
        <f>"3:48:07.808562"</f>
        <v>3:48:07.808562</v>
      </c>
      <c r="C4622">
        <v>-73</v>
      </c>
    </row>
    <row r="4623" spans="1:3" x14ac:dyDescent="0.25">
      <c r="A4623">
        <v>38</v>
      </c>
      <c r="B4623" t="str">
        <f>"3:48:07.809259"</f>
        <v>3:48:07.809259</v>
      </c>
      <c r="C4623">
        <v>-63</v>
      </c>
    </row>
    <row r="4624" spans="1:3" x14ac:dyDescent="0.25">
      <c r="A4624">
        <v>39</v>
      </c>
      <c r="B4624" t="str">
        <f>"3:48:07.809956"</f>
        <v>3:48:07.809956</v>
      </c>
      <c r="C4624">
        <v>-61</v>
      </c>
    </row>
    <row r="4625" spans="1:3" x14ac:dyDescent="0.25">
      <c r="A4625">
        <v>37</v>
      </c>
      <c r="B4625" t="str">
        <f>"3:48:09.030800"</f>
        <v>3:48:09.030800</v>
      </c>
      <c r="C4625">
        <v>-73</v>
      </c>
    </row>
    <row r="4626" spans="1:3" x14ac:dyDescent="0.25">
      <c r="A4626">
        <v>38</v>
      </c>
      <c r="B4626" t="str">
        <f>"3:48:09.031497"</f>
        <v>3:48:09.031497</v>
      </c>
      <c r="C4626">
        <v>-63</v>
      </c>
    </row>
    <row r="4627" spans="1:3" x14ac:dyDescent="0.25">
      <c r="A4627">
        <v>39</v>
      </c>
      <c r="B4627" t="str">
        <f>"3:48:09.032194"</f>
        <v>3:48:09.032194</v>
      </c>
      <c r="C4627">
        <v>-61</v>
      </c>
    </row>
    <row r="4628" spans="1:3" x14ac:dyDescent="0.25">
      <c r="A4628">
        <v>38</v>
      </c>
      <c r="B4628" t="str">
        <f>"3:48:10.305819"</f>
        <v>3:48:10.305819</v>
      </c>
      <c r="C4628">
        <v>-64</v>
      </c>
    </row>
    <row r="4629" spans="1:3" x14ac:dyDescent="0.25">
      <c r="A4629">
        <v>39</v>
      </c>
      <c r="B4629" t="str">
        <f>"3:48:10.306516"</f>
        <v>3:48:10.306516</v>
      </c>
      <c r="C4629">
        <v>-61</v>
      </c>
    </row>
    <row r="4630" spans="1:3" x14ac:dyDescent="0.25">
      <c r="A4630">
        <v>37</v>
      </c>
      <c r="B4630" t="str">
        <f>"3:48:11.516725"</f>
        <v>3:48:11.516725</v>
      </c>
      <c r="C4630">
        <v>-73</v>
      </c>
    </row>
    <row r="4631" spans="1:3" x14ac:dyDescent="0.25">
      <c r="A4631">
        <v>37</v>
      </c>
      <c r="B4631" t="str">
        <f>"3:48:11.517227"</f>
        <v>3:48:11.517227</v>
      </c>
      <c r="C4631">
        <v>-64</v>
      </c>
    </row>
    <row r="4632" spans="1:3" x14ac:dyDescent="0.25">
      <c r="A4632">
        <v>37</v>
      </c>
      <c r="B4632" t="str">
        <f>"3:48:11.517553"</f>
        <v>3:48:11.517553</v>
      </c>
      <c r="C4632">
        <v>-73</v>
      </c>
    </row>
    <row r="4633" spans="1:3" x14ac:dyDescent="0.25">
      <c r="A4633">
        <v>38</v>
      </c>
      <c r="B4633" t="str">
        <f>"3:48:11.517824"</f>
        <v>3:48:11.517824</v>
      </c>
      <c r="C4633">
        <v>-63</v>
      </c>
    </row>
    <row r="4634" spans="1:3" x14ac:dyDescent="0.25">
      <c r="A4634">
        <v>39</v>
      </c>
      <c r="B4634" t="str">
        <f>"3:48:11.518521"</f>
        <v>3:48:11.518521</v>
      </c>
      <c r="C4634">
        <v>-61</v>
      </c>
    </row>
    <row r="4635" spans="1:3" x14ac:dyDescent="0.25">
      <c r="A4635">
        <v>38</v>
      </c>
      <c r="B4635" t="str">
        <f>"3:48:12.759766"</f>
        <v>3:48:12.759766</v>
      </c>
      <c r="C4635">
        <v>-63</v>
      </c>
    </row>
    <row r="4636" spans="1:3" x14ac:dyDescent="0.25">
      <c r="A4636">
        <v>39</v>
      </c>
      <c r="B4636" t="str">
        <f>"3:48:12.760463"</f>
        <v>3:48:12.760463</v>
      </c>
      <c r="C4636">
        <v>-61</v>
      </c>
    </row>
    <row r="4637" spans="1:3" x14ac:dyDescent="0.25">
      <c r="A4637">
        <v>37</v>
      </c>
      <c r="B4637" t="str">
        <f>"3:48:14.003450"</f>
        <v>3:48:14.003450</v>
      </c>
      <c r="C4637">
        <v>-73</v>
      </c>
    </row>
    <row r="4638" spans="1:3" x14ac:dyDescent="0.25">
      <c r="A4638">
        <v>38</v>
      </c>
      <c r="B4638" t="str">
        <f>"3:48:14.004146"</f>
        <v>3:48:14.004146</v>
      </c>
      <c r="C4638">
        <v>-63</v>
      </c>
    </row>
    <row r="4639" spans="1:3" x14ac:dyDescent="0.25">
      <c r="A4639">
        <v>39</v>
      </c>
      <c r="B4639" t="str">
        <f>"3:48:14.004844"</f>
        <v>3:48:14.004844</v>
      </c>
      <c r="C4639">
        <v>-61</v>
      </c>
    </row>
    <row r="4640" spans="1:3" x14ac:dyDescent="0.25">
      <c r="A4640">
        <v>37</v>
      </c>
      <c r="B4640" t="str">
        <f>"3:48:15.247175"</f>
        <v>3:48:15.247175</v>
      </c>
      <c r="C4640">
        <v>-73</v>
      </c>
    </row>
    <row r="4641" spans="1:3" x14ac:dyDescent="0.25">
      <c r="A4641">
        <v>38</v>
      </c>
      <c r="B4641" t="str">
        <f>"3:48:15.247872"</f>
        <v>3:48:15.247872</v>
      </c>
      <c r="C4641">
        <v>-63</v>
      </c>
    </row>
    <row r="4642" spans="1:3" x14ac:dyDescent="0.25">
      <c r="A4642">
        <v>39</v>
      </c>
      <c r="B4642" t="str">
        <f>"3:48:15.248569"</f>
        <v>3:48:15.248569</v>
      </c>
      <c r="C4642">
        <v>-61</v>
      </c>
    </row>
    <row r="4643" spans="1:3" x14ac:dyDescent="0.25">
      <c r="A4643">
        <v>37</v>
      </c>
      <c r="B4643" t="str">
        <f>"3:48:16.494154"</f>
        <v>3:48:16.494154</v>
      </c>
      <c r="C4643">
        <v>-74</v>
      </c>
    </row>
    <row r="4644" spans="1:3" x14ac:dyDescent="0.25">
      <c r="A4644">
        <v>38</v>
      </c>
      <c r="B4644" t="str">
        <f>"3:48:16.494851"</f>
        <v>3:48:16.494851</v>
      </c>
      <c r="C4644">
        <v>-63</v>
      </c>
    </row>
    <row r="4645" spans="1:3" x14ac:dyDescent="0.25">
      <c r="A4645">
        <v>39</v>
      </c>
      <c r="B4645" t="str">
        <f>"3:48:16.495548"</f>
        <v>3:48:16.495548</v>
      </c>
      <c r="C4645">
        <v>-61</v>
      </c>
    </row>
    <row r="4646" spans="1:3" x14ac:dyDescent="0.25">
      <c r="A4646">
        <v>37</v>
      </c>
      <c r="B4646" t="str">
        <f>"3:48:17.728200"</f>
        <v>3:48:17.728200</v>
      </c>
      <c r="C4646">
        <v>-73</v>
      </c>
    </row>
    <row r="4647" spans="1:3" x14ac:dyDescent="0.25">
      <c r="A4647">
        <v>39</v>
      </c>
      <c r="B4647" t="str">
        <f>"3:48:17.729594"</f>
        <v>3:48:17.729594</v>
      </c>
      <c r="C4647">
        <v>-61</v>
      </c>
    </row>
    <row r="4648" spans="1:3" x14ac:dyDescent="0.25">
      <c r="A4648">
        <v>37</v>
      </c>
      <c r="B4648" t="str">
        <f>"3:48:18.979775"</f>
        <v>3:48:18.979775</v>
      </c>
      <c r="C4648">
        <v>-73</v>
      </c>
    </row>
    <row r="4649" spans="1:3" x14ac:dyDescent="0.25">
      <c r="A4649">
        <v>38</v>
      </c>
      <c r="B4649" t="str">
        <f>"3:48:18.980472"</f>
        <v>3:48:18.980472</v>
      </c>
      <c r="C4649">
        <v>-63</v>
      </c>
    </row>
    <row r="4650" spans="1:3" x14ac:dyDescent="0.25">
      <c r="A4650">
        <v>39</v>
      </c>
      <c r="B4650" t="str">
        <f>"3:48:18.981169"</f>
        <v>3:48:18.981169</v>
      </c>
      <c r="C4650">
        <v>-61</v>
      </c>
    </row>
    <row r="4651" spans="1:3" x14ac:dyDescent="0.25">
      <c r="A4651">
        <v>37</v>
      </c>
      <c r="B4651" t="str">
        <f>"3:48:20.229851"</f>
        <v>3:48:20.229851</v>
      </c>
      <c r="C4651">
        <v>-73</v>
      </c>
    </row>
    <row r="4652" spans="1:3" x14ac:dyDescent="0.25">
      <c r="A4652">
        <v>38</v>
      </c>
      <c r="B4652" t="str">
        <f>"3:48:20.230547"</f>
        <v>3:48:20.230547</v>
      </c>
      <c r="C4652">
        <v>-63</v>
      </c>
    </row>
    <row r="4653" spans="1:3" x14ac:dyDescent="0.25">
      <c r="A4653">
        <v>39</v>
      </c>
      <c r="B4653" t="str">
        <f>"3:48:20.231245"</f>
        <v>3:48:20.231245</v>
      </c>
      <c r="C4653">
        <v>-61</v>
      </c>
    </row>
    <row r="4654" spans="1:3" x14ac:dyDescent="0.25">
      <c r="A4654">
        <v>37</v>
      </c>
      <c r="B4654" t="str">
        <f>"3:48:21.472576"</f>
        <v>3:48:21.472576</v>
      </c>
      <c r="C4654">
        <v>-73</v>
      </c>
    </row>
    <row r="4655" spans="1:3" x14ac:dyDescent="0.25">
      <c r="A4655">
        <v>38</v>
      </c>
      <c r="B4655" t="str">
        <f>"3:48:21.473273"</f>
        <v>3:48:21.473273</v>
      </c>
      <c r="C4655">
        <v>-63</v>
      </c>
    </row>
    <row r="4656" spans="1:3" x14ac:dyDescent="0.25">
      <c r="A4656">
        <v>39</v>
      </c>
      <c r="B4656" t="str">
        <f>"3:48:21.473970"</f>
        <v>3:48:21.473970</v>
      </c>
      <c r="C4656">
        <v>-61</v>
      </c>
    </row>
    <row r="4657" spans="1:3" x14ac:dyDescent="0.25">
      <c r="A4657">
        <v>37</v>
      </c>
      <c r="B4657" t="str">
        <f>"3:48:22.728161"</f>
        <v>3:48:22.728161</v>
      </c>
      <c r="C4657">
        <v>-73</v>
      </c>
    </row>
    <row r="4658" spans="1:3" x14ac:dyDescent="0.25">
      <c r="A4658">
        <v>38</v>
      </c>
      <c r="B4658" t="str">
        <f>"3:48:22.728858"</f>
        <v>3:48:22.728858</v>
      </c>
      <c r="C4658">
        <v>-63</v>
      </c>
    </row>
    <row r="4659" spans="1:3" x14ac:dyDescent="0.25">
      <c r="A4659">
        <v>39</v>
      </c>
      <c r="B4659" t="str">
        <f>"3:48:22.729555"</f>
        <v>3:48:22.729555</v>
      </c>
      <c r="C4659">
        <v>-61</v>
      </c>
    </row>
    <row r="4660" spans="1:3" x14ac:dyDescent="0.25">
      <c r="A4660">
        <v>37</v>
      </c>
      <c r="B4660" t="str">
        <f>"3:48:23.949751"</f>
        <v>3:48:23.949751</v>
      </c>
      <c r="C4660">
        <v>-74</v>
      </c>
    </row>
    <row r="4661" spans="1:3" x14ac:dyDescent="0.25">
      <c r="A4661">
        <v>38</v>
      </c>
      <c r="B4661" t="str">
        <f>"3:48:23.950448"</f>
        <v>3:48:23.950448</v>
      </c>
      <c r="C4661">
        <v>-63</v>
      </c>
    </row>
    <row r="4662" spans="1:3" x14ac:dyDescent="0.25">
      <c r="A4662">
        <v>39</v>
      </c>
      <c r="B4662" t="str">
        <f>"3:48:23.951145"</f>
        <v>3:48:23.951145</v>
      </c>
      <c r="C4662">
        <v>-61</v>
      </c>
    </row>
    <row r="4663" spans="1:3" x14ac:dyDescent="0.25">
      <c r="A4663">
        <v>37</v>
      </c>
      <c r="B4663" t="str">
        <f>"3:48:26.438104"</f>
        <v>3:48:26.438104</v>
      </c>
      <c r="C4663">
        <v>-73</v>
      </c>
    </row>
    <row r="4664" spans="1:3" x14ac:dyDescent="0.25">
      <c r="A4664">
        <v>38</v>
      </c>
      <c r="B4664" t="str">
        <f>"3:48:26.438800"</f>
        <v>3:48:26.438800</v>
      </c>
      <c r="C4664">
        <v>-63</v>
      </c>
    </row>
    <row r="4665" spans="1:3" x14ac:dyDescent="0.25">
      <c r="A4665">
        <v>39</v>
      </c>
      <c r="B4665" t="str">
        <f>"3:48:26.439498"</f>
        <v>3:48:26.439498</v>
      </c>
      <c r="C4665">
        <v>-61</v>
      </c>
    </row>
    <row r="4666" spans="1:3" x14ac:dyDescent="0.25">
      <c r="A4666">
        <v>37</v>
      </c>
      <c r="B4666" t="str">
        <f>"3:48:27.691029"</f>
        <v>3:48:27.691029</v>
      </c>
      <c r="C4666">
        <v>-73</v>
      </c>
    </row>
    <row r="4667" spans="1:3" x14ac:dyDescent="0.25">
      <c r="A4667">
        <v>38</v>
      </c>
      <c r="B4667" t="str">
        <f>"3:48:27.691726"</f>
        <v>3:48:27.691726</v>
      </c>
      <c r="C4667">
        <v>-63</v>
      </c>
    </row>
    <row r="4668" spans="1:3" x14ac:dyDescent="0.25">
      <c r="A4668">
        <v>39</v>
      </c>
      <c r="B4668" t="str">
        <f>"3:48:27.692423"</f>
        <v>3:48:27.692423</v>
      </c>
      <c r="C4668">
        <v>-62</v>
      </c>
    </row>
    <row r="4669" spans="1:3" x14ac:dyDescent="0.25">
      <c r="A4669">
        <v>37</v>
      </c>
      <c r="B4669" t="str">
        <f>"3:48:28.934074"</f>
        <v>3:48:28.934074</v>
      </c>
      <c r="C4669">
        <v>-73</v>
      </c>
    </row>
    <row r="4670" spans="1:3" x14ac:dyDescent="0.25">
      <c r="A4670">
        <v>38</v>
      </c>
      <c r="B4670" t="str">
        <f>"3:48:28.934771"</f>
        <v>3:48:28.934771</v>
      </c>
      <c r="C4670">
        <v>-63</v>
      </c>
    </row>
    <row r="4671" spans="1:3" x14ac:dyDescent="0.25">
      <c r="A4671">
        <v>39</v>
      </c>
      <c r="B4671" t="str">
        <f>"3:48:28.935468"</f>
        <v>3:48:28.935468</v>
      </c>
      <c r="C4671">
        <v>-61</v>
      </c>
    </row>
    <row r="4672" spans="1:3" x14ac:dyDescent="0.25">
      <c r="A4672">
        <v>37</v>
      </c>
      <c r="B4672" t="str">
        <f>"3:48:30.182400"</f>
        <v>3:48:30.182400</v>
      </c>
      <c r="C4672">
        <v>-73</v>
      </c>
    </row>
    <row r="4673" spans="1:3" x14ac:dyDescent="0.25">
      <c r="A4673">
        <v>38</v>
      </c>
      <c r="B4673" t="str">
        <f>"3:48:30.183097"</f>
        <v>3:48:30.183097</v>
      </c>
      <c r="C4673">
        <v>-63</v>
      </c>
    </row>
    <row r="4674" spans="1:3" x14ac:dyDescent="0.25">
      <c r="A4674">
        <v>39</v>
      </c>
      <c r="B4674" t="str">
        <f>"3:48:30.183794"</f>
        <v>3:48:30.183794</v>
      </c>
      <c r="C4674">
        <v>-61</v>
      </c>
    </row>
    <row r="4675" spans="1:3" x14ac:dyDescent="0.25">
      <c r="A4675">
        <v>37</v>
      </c>
      <c r="B4675" t="str">
        <f>"3:48:31.419065"</f>
        <v>3:48:31.419065</v>
      </c>
      <c r="C4675">
        <v>-73</v>
      </c>
    </row>
    <row r="4676" spans="1:3" x14ac:dyDescent="0.25">
      <c r="A4676">
        <v>38</v>
      </c>
      <c r="B4676" t="str">
        <f>"3:48:31.419762"</f>
        <v>3:48:31.419762</v>
      </c>
      <c r="C4676">
        <v>-63</v>
      </c>
    </row>
    <row r="4677" spans="1:3" x14ac:dyDescent="0.25">
      <c r="A4677">
        <v>39</v>
      </c>
      <c r="B4677" t="str">
        <f>"3:48:31.420459"</f>
        <v>3:48:31.420459</v>
      </c>
      <c r="C4677">
        <v>-61</v>
      </c>
    </row>
    <row r="4678" spans="1:3" x14ac:dyDescent="0.25">
      <c r="A4678">
        <v>37</v>
      </c>
      <c r="B4678" t="str">
        <f>"3:48:32.676580"</f>
        <v>3:48:32.676580</v>
      </c>
      <c r="C4678">
        <v>-74</v>
      </c>
    </row>
    <row r="4679" spans="1:3" x14ac:dyDescent="0.25">
      <c r="A4679">
        <v>38</v>
      </c>
      <c r="B4679" t="str">
        <f>"3:48:32.677276"</f>
        <v>3:48:32.677276</v>
      </c>
      <c r="C4679">
        <v>-63</v>
      </c>
    </row>
    <row r="4680" spans="1:3" x14ac:dyDescent="0.25">
      <c r="A4680">
        <v>39</v>
      </c>
      <c r="B4680" t="str">
        <f>"3:48:32.677974"</f>
        <v>3:48:32.677974</v>
      </c>
      <c r="C4680">
        <v>-61</v>
      </c>
    </row>
    <row r="4681" spans="1:3" x14ac:dyDescent="0.25">
      <c r="A4681">
        <v>38</v>
      </c>
      <c r="B4681" t="str">
        <f>"3:48:33.915195"</f>
        <v>3:48:33.915195</v>
      </c>
      <c r="C4681">
        <v>-63</v>
      </c>
    </row>
    <row r="4682" spans="1:3" x14ac:dyDescent="0.25">
      <c r="A4682">
        <v>39</v>
      </c>
      <c r="B4682" t="str">
        <f>"3:48:33.915892"</f>
        <v>3:48:33.915892</v>
      </c>
      <c r="C4682">
        <v>-61</v>
      </c>
    </row>
    <row r="4683" spans="1:3" x14ac:dyDescent="0.25">
      <c r="A4683">
        <v>37</v>
      </c>
      <c r="B4683" t="str">
        <f>"3:48:35.158073"</f>
        <v>3:48:35.158073</v>
      </c>
      <c r="C4683">
        <v>-73</v>
      </c>
    </row>
    <row r="4684" spans="1:3" x14ac:dyDescent="0.25">
      <c r="A4684">
        <v>38</v>
      </c>
      <c r="B4684" t="str">
        <f>"3:48:35.158770"</f>
        <v>3:48:35.158770</v>
      </c>
      <c r="C4684">
        <v>-63</v>
      </c>
    </row>
    <row r="4685" spans="1:3" x14ac:dyDescent="0.25">
      <c r="A4685">
        <v>39</v>
      </c>
      <c r="B4685" t="str">
        <f>"3:48:35.159467"</f>
        <v>3:48:35.159467</v>
      </c>
      <c r="C4685">
        <v>-61</v>
      </c>
    </row>
    <row r="4686" spans="1:3" x14ac:dyDescent="0.25">
      <c r="A4686">
        <v>37</v>
      </c>
      <c r="B4686" t="str">
        <f>"3:48:36.404549"</f>
        <v>3:48:36.404549</v>
      </c>
      <c r="C4686">
        <v>-73</v>
      </c>
    </row>
    <row r="4687" spans="1:3" x14ac:dyDescent="0.25">
      <c r="A4687">
        <v>38</v>
      </c>
      <c r="B4687" t="str">
        <f>"3:48:36.405246"</f>
        <v>3:48:36.405246</v>
      </c>
      <c r="C4687">
        <v>-64</v>
      </c>
    </row>
    <row r="4688" spans="1:3" x14ac:dyDescent="0.25">
      <c r="A4688">
        <v>39</v>
      </c>
      <c r="B4688" t="str">
        <f>"3:48:36.405943"</f>
        <v>3:48:36.405943</v>
      </c>
      <c r="C4688">
        <v>-61</v>
      </c>
    </row>
    <row r="4689" spans="1:3" x14ac:dyDescent="0.25">
      <c r="A4689">
        <v>39</v>
      </c>
      <c r="B4689" t="str">
        <f>"3:48:37.647368"</f>
        <v>3:48:37.647368</v>
      </c>
      <c r="C4689">
        <v>-59</v>
      </c>
    </row>
    <row r="4690" spans="1:3" x14ac:dyDescent="0.25">
      <c r="A4690">
        <v>37</v>
      </c>
      <c r="B4690" t="str">
        <f>"3:48:38.937968"</f>
        <v>3:48:38.937968</v>
      </c>
      <c r="C4690">
        <v>-73</v>
      </c>
    </row>
    <row r="4691" spans="1:3" x14ac:dyDescent="0.25">
      <c r="A4691">
        <v>38</v>
      </c>
      <c r="B4691" t="str">
        <f>"3:48:38.938665"</f>
        <v>3:48:38.938665</v>
      </c>
      <c r="C4691">
        <v>-63</v>
      </c>
    </row>
    <row r="4692" spans="1:3" x14ac:dyDescent="0.25">
      <c r="A4692">
        <v>39</v>
      </c>
      <c r="B4692" t="str">
        <f>"3:48:38.939362"</f>
        <v>3:48:38.939362</v>
      </c>
      <c r="C4692">
        <v>-61</v>
      </c>
    </row>
    <row r="4693" spans="1:3" x14ac:dyDescent="0.25">
      <c r="A4693">
        <v>37</v>
      </c>
      <c r="B4693" t="str">
        <f>"3:48:40.151660"</f>
        <v>3:48:40.151660</v>
      </c>
      <c r="C4693">
        <v>-73</v>
      </c>
    </row>
    <row r="4694" spans="1:3" x14ac:dyDescent="0.25">
      <c r="A4694">
        <v>38</v>
      </c>
      <c r="B4694" t="str">
        <f>"3:48:40.152357"</f>
        <v>3:48:40.152357</v>
      </c>
      <c r="C4694">
        <v>-63</v>
      </c>
    </row>
    <row r="4695" spans="1:3" x14ac:dyDescent="0.25">
      <c r="A4695">
        <v>39</v>
      </c>
      <c r="B4695" t="str">
        <f>"3:48:40.153054"</f>
        <v>3:48:40.153054</v>
      </c>
      <c r="C4695">
        <v>-61</v>
      </c>
    </row>
    <row r="4696" spans="1:3" x14ac:dyDescent="0.25">
      <c r="A4696">
        <v>37</v>
      </c>
      <c r="B4696" t="str">
        <f>"3:48:41.383501"</f>
        <v>3:48:41.383501</v>
      </c>
      <c r="C4696">
        <v>-73</v>
      </c>
    </row>
    <row r="4697" spans="1:3" x14ac:dyDescent="0.25">
      <c r="A4697">
        <v>38</v>
      </c>
      <c r="B4697" t="str">
        <f>"3:48:41.384198"</f>
        <v>3:48:41.384198</v>
      </c>
      <c r="C4697">
        <v>-63</v>
      </c>
    </row>
    <row r="4698" spans="1:3" x14ac:dyDescent="0.25">
      <c r="A4698">
        <v>39</v>
      </c>
      <c r="B4698" t="str">
        <f>"3:48:41.384895"</f>
        <v>3:48:41.384895</v>
      </c>
      <c r="C4698">
        <v>-61</v>
      </c>
    </row>
    <row r="4699" spans="1:3" x14ac:dyDescent="0.25">
      <c r="A4699">
        <v>37</v>
      </c>
      <c r="B4699" t="str">
        <f>"3:48:42.638279"</f>
        <v>3:48:42.638279</v>
      </c>
      <c r="C4699">
        <v>-74</v>
      </c>
    </row>
    <row r="4700" spans="1:3" x14ac:dyDescent="0.25">
      <c r="A4700">
        <v>38</v>
      </c>
      <c r="B4700" t="str">
        <f>"3:48:42.638976"</f>
        <v>3:48:42.638976</v>
      </c>
      <c r="C4700">
        <v>-63</v>
      </c>
    </row>
    <row r="4701" spans="1:3" x14ac:dyDescent="0.25">
      <c r="A4701">
        <v>39</v>
      </c>
      <c r="B4701" t="str">
        <f>"3:48:42.639673"</f>
        <v>3:48:42.639673</v>
      </c>
      <c r="C4701">
        <v>-61</v>
      </c>
    </row>
    <row r="4702" spans="1:3" x14ac:dyDescent="0.25">
      <c r="A4702">
        <v>37</v>
      </c>
      <c r="B4702" t="str">
        <f>"3:48:43.887647"</f>
        <v>3:48:43.887647</v>
      </c>
      <c r="C4702">
        <v>-73</v>
      </c>
    </row>
    <row r="4703" spans="1:3" x14ac:dyDescent="0.25">
      <c r="A4703">
        <v>38</v>
      </c>
      <c r="B4703" t="str">
        <f>"3:48:43.888344"</f>
        <v>3:48:43.888344</v>
      </c>
      <c r="C4703">
        <v>-63</v>
      </c>
    </row>
    <row r="4704" spans="1:3" x14ac:dyDescent="0.25">
      <c r="A4704">
        <v>39</v>
      </c>
      <c r="B4704" t="str">
        <f>"3:48:43.889041"</f>
        <v>3:48:43.889041</v>
      </c>
      <c r="C4704">
        <v>-61</v>
      </c>
    </row>
    <row r="4705" spans="1:3" x14ac:dyDescent="0.25">
      <c r="A4705">
        <v>37</v>
      </c>
      <c r="B4705" t="str">
        <f>"3:48:45.139440"</f>
        <v>3:48:45.139440</v>
      </c>
      <c r="C4705">
        <v>-73</v>
      </c>
    </row>
    <row r="4706" spans="1:3" x14ac:dyDescent="0.25">
      <c r="A4706">
        <v>38</v>
      </c>
      <c r="B4706" t="str">
        <f>"3:48:45.140137"</f>
        <v>3:48:45.140137</v>
      </c>
      <c r="C4706">
        <v>-63</v>
      </c>
    </row>
    <row r="4707" spans="1:3" x14ac:dyDescent="0.25">
      <c r="A4707">
        <v>39</v>
      </c>
      <c r="B4707" t="str">
        <f>"3:48:45.140834"</f>
        <v>3:48:45.140834</v>
      </c>
      <c r="C4707">
        <v>-61</v>
      </c>
    </row>
    <row r="4708" spans="1:3" x14ac:dyDescent="0.25">
      <c r="A4708">
        <v>38</v>
      </c>
      <c r="B4708" t="str">
        <f>"3:48:46.374081"</f>
        <v>3:48:46.374081</v>
      </c>
      <c r="C4708">
        <v>-63</v>
      </c>
    </row>
    <row r="4709" spans="1:3" x14ac:dyDescent="0.25">
      <c r="A4709">
        <v>39</v>
      </c>
      <c r="B4709" t="str">
        <f>"3:48:46.374778"</f>
        <v>3:48:46.374778</v>
      </c>
      <c r="C4709">
        <v>-61</v>
      </c>
    </row>
    <row r="4710" spans="1:3" x14ac:dyDescent="0.25">
      <c r="A4710">
        <v>38</v>
      </c>
      <c r="B4710" t="str">
        <f>"3:48:47.619643"</f>
        <v>3:48:47.619643</v>
      </c>
      <c r="C4710">
        <v>-65</v>
      </c>
    </row>
    <row r="4711" spans="1:3" x14ac:dyDescent="0.25">
      <c r="A4711">
        <v>39</v>
      </c>
      <c r="B4711" t="str">
        <f>"3:48:47.620340"</f>
        <v>3:48:47.620340</v>
      </c>
      <c r="C4711">
        <v>-61</v>
      </c>
    </row>
    <row r="4712" spans="1:3" x14ac:dyDescent="0.25">
      <c r="A4712">
        <v>38</v>
      </c>
      <c r="B4712" t="str">
        <f>"3:48:48.909024"</f>
        <v>3:48:48.909024</v>
      </c>
      <c r="C4712">
        <v>-63</v>
      </c>
    </row>
    <row r="4713" spans="1:3" x14ac:dyDescent="0.25">
      <c r="A4713">
        <v>39</v>
      </c>
      <c r="B4713" t="str">
        <f>"3:48:48.909721"</f>
        <v>3:48:48.909721</v>
      </c>
      <c r="C4713">
        <v>-61</v>
      </c>
    </row>
    <row r="4714" spans="1:3" x14ac:dyDescent="0.25">
      <c r="A4714">
        <v>37</v>
      </c>
      <c r="B4714" t="str">
        <f>"3:48:50.117839"</f>
        <v>3:48:50.117839</v>
      </c>
      <c r="C4714">
        <v>-73</v>
      </c>
    </row>
    <row r="4715" spans="1:3" x14ac:dyDescent="0.25">
      <c r="A4715">
        <v>38</v>
      </c>
      <c r="B4715" t="str">
        <f>"3:48:50.118536"</f>
        <v>3:48:50.118536</v>
      </c>
      <c r="C4715">
        <v>-63</v>
      </c>
    </row>
    <row r="4716" spans="1:3" x14ac:dyDescent="0.25">
      <c r="A4716">
        <v>39</v>
      </c>
      <c r="B4716" t="str">
        <f>"3:48:50.119233"</f>
        <v>3:48:50.119233</v>
      </c>
      <c r="C4716">
        <v>-61</v>
      </c>
    </row>
    <row r="4717" spans="1:3" x14ac:dyDescent="0.25">
      <c r="A4717">
        <v>37</v>
      </c>
      <c r="B4717" t="str">
        <f>"3:48:51.396321"</f>
        <v>3:48:51.396321</v>
      </c>
      <c r="C4717">
        <v>-73</v>
      </c>
    </row>
    <row r="4718" spans="1:3" x14ac:dyDescent="0.25">
      <c r="A4718">
        <v>38</v>
      </c>
      <c r="B4718" t="str">
        <f>"3:48:51.397018"</f>
        <v>3:48:51.397018</v>
      </c>
      <c r="C4718">
        <v>-63</v>
      </c>
    </row>
    <row r="4719" spans="1:3" x14ac:dyDescent="0.25">
      <c r="A4719">
        <v>39</v>
      </c>
      <c r="B4719" t="str">
        <f>"3:48:51.397715"</f>
        <v>3:48:51.397715</v>
      </c>
      <c r="C4719">
        <v>-61</v>
      </c>
    </row>
    <row r="4720" spans="1:3" x14ac:dyDescent="0.25">
      <c r="A4720">
        <v>37</v>
      </c>
      <c r="B4720" t="str">
        <f>"3:48:52.605773"</f>
        <v>3:48:52.605773</v>
      </c>
      <c r="C4720">
        <v>-73</v>
      </c>
    </row>
    <row r="4721" spans="1:3" x14ac:dyDescent="0.25">
      <c r="A4721">
        <v>38</v>
      </c>
      <c r="B4721" t="str">
        <f>"3:48:52.606470"</f>
        <v>3:48:52.606470</v>
      </c>
      <c r="C4721">
        <v>-63</v>
      </c>
    </row>
    <row r="4722" spans="1:3" x14ac:dyDescent="0.25">
      <c r="A4722">
        <v>39</v>
      </c>
      <c r="B4722" t="str">
        <f>"3:48:52.607167"</f>
        <v>3:48:52.607167</v>
      </c>
      <c r="C4722">
        <v>-61</v>
      </c>
    </row>
    <row r="4723" spans="1:3" x14ac:dyDescent="0.25">
      <c r="A4723">
        <v>37</v>
      </c>
      <c r="B4723" t="str">
        <f>"3:48:53.881838"</f>
        <v>3:48:53.881838</v>
      </c>
      <c r="C4723">
        <v>-73</v>
      </c>
    </row>
    <row r="4724" spans="1:3" x14ac:dyDescent="0.25">
      <c r="A4724">
        <v>38</v>
      </c>
      <c r="B4724" t="str">
        <f>"3:48:53.882535"</f>
        <v>3:48:53.882535</v>
      </c>
      <c r="C4724">
        <v>-63</v>
      </c>
    </row>
    <row r="4725" spans="1:3" x14ac:dyDescent="0.25">
      <c r="A4725">
        <v>39</v>
      </c>
      <c r="B4725" t="str">
        <f>"3:48:53.883232"</f>
        <v>3:48:53.883232</v>
      </c>
      <c r="C4725">
        <v>-61</v>
      </c>
    </row>
    <row r="4726" spans="1:3" x14ac:dyDescent="0.25">
      <c r="A4726">
        <v>37</v>
      </c>
      <c r="B4726" t="str">
        <f>"3:48:55.083998"</f>
        <v>3:48:55.083998</v>
      </c>
      <c r="C4726">
        <v>-73</v>
      </c>
    </row>
    <row r="4727" spans="1:3" x14ac:dyDescent="0.25">
      <c r="A4727">
        <v>39</v>
      </c>
      <c r="B4727" t="str">
        <f>"3:48:55.085392"</f>
        <v>3:48:55.085392</v>
      </c>
      <c r="C4727">
        <v>-61</v>
      </c>
    </row>
    <row r="4728" spans="1:3" x14ac:dyDescent="0.25">
      <c r="A4728">
        <v>37</v>
      </c>
      <c r="B4728" t="str">
        <f>"3:48:56.343817"</f>
        <v>3:48:56.343817</v>
      </c>
      <c r="C4728">
        <v>-73</v>
      </c>
    </row>
    <row r="4729" spans="1:3" x14ac:dyDescent="0.25">
      <c r="A4729">
        <v>38</v>
      </c>
      <c r="B4729" t="str">
        <f>"3:48:56.344514"</f>
        <v>3:48:56.344514</v>
      </c>
      <c r="C4729">
        <v>-63</v>
      </c>
    </row>
    <row r="4730" spans="1:3" x14ac:dyDescent="0.25">
      <c r="A4730">
        <v>39</v>
      </c>
      <c r="B4730" t="str">
        <f>"3:48:56.345211"</f>
        <v>3:48:56.345211</v>
      </c>
      <c r="C4730">
        <v>-61</v>
      </c>
    </row>
    <row r="4731" spans="1:3" x14ac:dyDescent="0.25">
      <c r="A4731">
        <v>37</v>
      </c>
      <c r="B4731" t="str">
        <f>"3:48:57.583542"</f>
        <v>3:48:57.583542</v>
      </c>
      <c r="C4731">
        <v>-74</v>
      </c>
    </row>
    <row r="4732" spans="1:3" x14ac:dyDescent="0.25">
      <c r="A4732">
        <v>38</v>
      </c>
      <c r="B4732" t="str">
        <f>"3:48:57.584239"</f>
        <v>3:48:57.584239</v>
      </c>
      <c r="C4732">
        <v>-63</v>
      </c>
    </row>
    <row r="4733" spans="1:3" x14ac:dyDescent="0.25">
      <c r="A4733">
        <v>39</v>
      </c>
      <c r="B4733" t="str">
        <f>"3:48:57.584936"</f>
        <v>3:48:57.584936</v>
      </c>
      <c r="C4733">
        <v>-61</v>
      </c>
    </row>
    <row r="4734" spans="1:3" x14ac:dyDescent="0.25">
      <c r="A4734">
        <v>37</v>
      </c>
      <c r="B4734" t="str">
        <f>"3:48:58.841547"</f>
        <v>3:48:58.841547</v>
      </c>
      <c r="C4734">
        <v>-73</v>
      </c>
    </row>
    <row r="4735" spans="1:3" x14ac:dyDescent="0.25">
      <c r="A4735">
        <v>38</v>
      </c>
      <c r="B4735" t="str">
        <f>"3:48:58.842244"</f>
        <v>3:48:58.842244</v>
      </c>
      <c r="C4735">
        <v>-63</v>
      </c>
    </row>
    <row r="4736" spans="1:3" x14ac:dyDescent="0.25">
      <c r="A4736">
        <v>39</v>
      </c>
      <c r="B4736" t="str">
        <f>"3:48:58.842941"</f>
        <v>3:48:58.842941</v>
      </c>
      <c r="C4736">
        <v>-61</v>
      </c>
    </row>
    <row r="4737" spans="1:3" x14ac:dyDescent="0.25">
      <c r="A4737">
        <v>37</v>
      </c>
      <c r="B4737" t="str">
        <f>"3:49:00.071045"</f>
        <v>3:49:00.071045</v>
      </c>
      <c r="C4737">
        <v>-73</v>
      </c>
    </row>
    <row r="4738" spans="1:3" x14ac:dyDescent="0.25">
      <c r="A4738">
        <v>38</v>
      </c>
      <c r="B4738" t="str">
        <f>"3:49:00.071742"</f>
        <v>3:49:00.071742</v>
      </c>
      <c r="C4738">
        <v>-63</v>
      </c>
    </row>
    <row r="4739" spans="1:3" x14ac:dyDescent="0.25">
      <c r="A4739">
        <v>39</v>
      </c>
      <c r="B4739" t="str">
        <f>"3:49:00.072439"</f>
        <v>3:49:00.072439</v>
      </c>
      <c r="C4739">
        <v>-61</v>
      </c>
    </row>
    <row r="4740" spans="1:3" x14ac:dyDescent="0.25">
      <c r="A4740">
        <v>38</v>
      </c>
      <c r="B4740" t="str">
        <f>"3:49:01.300667"</f>
        <v>3:49:01.300667</v>
      </c>
      <c r="C4740">
        <v>-62</v>
      </c>
    </row>
    <row r="4741" spans="1:3" x14ac:dyDescent="0.25">
      <c r="A4741">
        <v>39</v>
      </c>
      <c r="B4741" t="str">
        <f>"3:49:01.301364"</f>
        <v>3:49:01.301364</v>
      </c>
      <c r="C4741">
        <v>-60</v>
      </c>
    </row>
    <row r="4742" spans="1:3" x14ac:dyDescent="0.25">
      <c r="A4742">
        <v>38</v>
      </c>
      <c r="B4742" t="str">
        <f>"3:49:02.591351"</f>
        <v>3:49:02.591351</v>
      </c>
      <c r="C4742">
        <v>-63</v>
      </c>
    </row>
    <row r="4743" spans="1:3" x14ac:dyDescent="0.25">
      <c r="A4743">
        <v>39</v>
      </c>
      <c r="B4743" t="str">
        <f>"3:49:02.592048"</f>
        <v>3:49:02.592048</v>
      </c>
      <c r="C4743">
        <v>-61</v>
      </c>
    </row>
    <row r="4744" spans="1:3" x14ac:dyDescent="0.25">
      <c r="A4744">
        <v>37</v>
      </c>
      <c r="B4744" t="str">
        <f>"3:49:03.812781"</f>
        <v>3:49:03.812781</v>
      </c>
      <c r="C4744">
        <v>-73</v>
      </c>
    </row>
    <row r="4745" spans="1:3" x14ac:dyDescent="0.25">
      <c r="A4745">
        <v>38</v>
      </c>
      <c r="B4745" t="str">
        <f>"3:49:03.813478"</f>
        <v>3:49:03.813478</v>
      </c>
      <c r="C4745">
        <v>-63</v>
      </c>
    </row>
    <row r="4746" spans="1:3" x14ac:dyDescent="0.25">
      <c r="A4746">
        <v>39</v>
      </c>
      <c r="B4746" t="str">
        <f>"3:49:03.814175"</f>
        <v>3:49:03.814175</v>
      </c>
      <c r="C4746">
        <v>-61</v>
      </c>
    </row>
    <row r="4747" spans="1:3" x14ac:dyDescent="0.25">
      <c r="A4747">
        <v>37</v>
      </c>
      <c r="B4747" t="str">
        <f>"3:49:05.039894"</f>
        <v>3:49:05.039894</v>
      </c>
      <c r="C4747">
        <v>-74</v>
      </c>
    </row>
    <row r="4748" spans="1:3" x14ac:dyDescent="0.25">
      <c r="A4748">
        <v>38</v>
      </c>
      <c r="B4748" t="str">
        <f>"3:49:05.040591"</f>
        <v>3:49:05.040591</v>
      </c>
      <c r="C4748">
        <v>-63</v>
      </c>
    </row>
    <row r="4749" spans="1:3" x14ac:dyDescent="0.25">
      <c r="A4749">
        <v>39</v>
      </c>
      <c r="B4749" t="str">
        <f>"3:49:05.041288"</f>
        <v>3:49:05.041288</v>
      </c>
      <c r="C4749">
        <v>-61</v>
      </c>
    </row>
    <row r="4750" spans="1:3" x14ac:dyDescent="0.25">
      <c r="A4750">
        <v>37</v>
      </c>
      <c r="B4750" t="str">
        <f>"3:49:06.290791"</f>
        <v>3:49:06.290791</v>
      </c>
      <c r="C4750">
        <v>-73</v>
      </c>
    </row>
    <row r="4751" spans="1:3" x14ac:dyDescent="0.25">
      <c r="A4751">
        <v>38</v>
      </c>
      <c r="B4751" t="str">
        <f>"3:49:06.291488"</f>
        <v>3:49:06.291488</v>
      </c>
      <c r="C4751">
        <v>-63</v>
      </c>
    </row>
    <row r="4752" spans="1:3" x14ac:dyDescent="0.25">
      <c r="A4752">
        <v>39</v>
      </c>
      <c r="B4752" t="str">
        <f>"3:49:06.292185"</f>
        <v>3:49:06.292185</v>
      </c>
      <c r="C4752">
        <v>-61</v>
      </c>
    </row>
    <row r="4753" spans="1:3" x14ac:dyDescent="0.25">
      <c r="A4753">
        <v>37</v>
      </c>
      <c r="B4753" t="str">
        <f>"3:49:07.554411"</f>
        <v>3:49:07.554411</v>
      </c>
      <c r="C4753">
        <v>-73</v>
      </c>
    </row>
    <row r="4754" spans="1:3" x14ac:dyDescent="0.25">
      <c r="A4754">
        <v>38</v>
      </c>
      <c r="B4754" t="str">
        <f>"3:49:07.555108"</f>
        <v>3:49:07.555108</v>
      </c>
      <c r="C4754">
        <v>-63</v>
      </c>
    </row>
    <row r="4755" spans="1:3" x14ac:dyDescent="0.25">
      <c r="A4755">
        <v>39</v>
      </c>
      <c r="B4755" t="str">
        <f>"3:49:07.555805"</f>
        <v>3:49:07.555805</v>
      </c>
      <c r="C4755">
        <v>-61</v>
      </c>
    </row>
    <row r="4756" spans="1:3" x14ac:dyDescent="0.25">
      <c r="A4756">
        <v>37</v>
      </c>
      <c r="B4756" t="str">
        <f>"3:49:08.796083"</f>
        <v>3:49:08.796083</v>
      </c>
      <c r="C4756">
        <v>-73</v>
      </c>
    </row>
    <row r="4757" spans="1:3" x14ac:dyDescent="0.25">
      <c r="A4757">
        <v>38</v>
      </c>
      <c r="B4757" t="str">
        <f>"3:49:08.796779"</f>
        <v>3:49:08.796779</v>
      </c>
      <c r="C4757">
        <v>-63</v>
      </c>
    </row>
    <row r="4758" spans="1:3" x14ac:dyDescent="0.25">
      <c r="A4758">
        <v>39</v>
      </c>
      <c r="B4758" t="str">
        <f>"3:49:08.797477"</f>
        <v>3:49:08.797477</v>
      </c>
      <c r="C4758">
        <v>-61</v>
      </c>
    </row>
    <row r="4759" spans="1:3" x14ac:dyDescent="0.25">
      <c r="A4759">
        <v>39</v>
      </c>
      <c r="B4759" t="str">
        <f>"3:49:10.032412"</f>
        <v>3:49:10.032412</v>
      </c>
      <c r="C4759">
        <v>-61</v>
      </c>
    </row>
    <row r="4760" spans="1:3" x14ac:dyDescent="0.25">
      <c r="A4760">
        <v>37</v>
      </c>
      <c r="B4760" t="str">
        <f>"3:49:11.279793"</f>
        <v>3:49:11.279793</v>
      </c>
      <c r="C4760">
        <v>-73</v>
      </c>
    </row>
    <row r="4761" spans="1:3" x14ac:dyDescent="0.25">
      <c r="A4761">
        <v>38</v>
      </c>
      <c r="B4761" t="str">
        <f>"3:49:11.280490"</f>
        <v>3:49:11.280490</v>
      </c>
      <c r="C4761">
        <v>-63</v>
      </c>
    </row>
    <row r="4762" spans="1:3" x14ac:dyDescent="0.25">
      <c r="A4762">
        <v>39</v>
      </c>
      <c r="B4762" t="str">
        <f>"3:49:11.281187"</f>
        <v>3:49:11.281187</v>
      </c>
      <c r="C4762">
        <v>-61</v>
      </c>
    </row>
    <row r="4763" spans="1:3" x14ac:dyDescent="0.25">
      <c r="A4763">
        <v>37</v>
      </c>
      <c r="B4763" t="str">
        <f>"3:49:12.513325"</f>
        <v>3:49:12.513325</v>
      </c>
      <c r="C4763">
        <v>-73</v>
      </c>
    </row>
    <row r="4764" spans="1:3" x14ac:dyDescent="0.25">
      <c r="A4764">
        <v>38</v>
      </c>
      <c r="B4764" t="str">
        <f>"3:49:12.514022"</f>
        <v>3:49:12.514022</v>
      </c>
      <c r="C4764">
        <v>-63</v>
      </c>
    </row>
    <row r="4765" spans="1:3" x14ac:dyDescent="0.25">
      <c r="A4765">
        <v>39</v>
      </c>
      <c r="B4765" t="str">
        <f>"3:49:12.514719"</f>
        <v>3:49:12.514719</v>
      </c>
      <c r="C4765">
        <v>-61</v>
      </c>
    </row>
    <row r="4766" spans="1:3" x14ac:dyDescent="0.25">
      <c r="A4766">
        <v>37</v>
      </c>
      <c r="B4766" t="str">
        <f>"3:49:13.788094"</f>
        <v>3:49:13.788094</v>
      </c>
      <c r="C4766">
        <v>-73</v>
      </c>
    </row>
    <row r="4767" spans="1:3" x14ac:dyDescent="0.25">
      <c r="A4767">
        <v>37</v>
      </c>
      <c r="B4767" t="str">
        <f>"3:49:16.257267"</f>
        <v>3:49:16.257267</v>
      </c>
      <c r="C4767">
        <v>-74</v>
      </c>
    </row>
    <row r="4768" spans="1:3" x14ac:dyDescent="0.25">
      <c r="A4768">
        <v>38</v>
      </c>
      <c r="B4768" t="str">
        <f>"3:49:16.257964"</f>
        <v>3:49:16.257964</v>
      </c>
      <c r="C4768">
        <v>-63</v>
      </c>
    </row>
    <row r="4769" spans="1:3" x14ac:dyDescent="0.25">
      <c r="A4769">
        <v>39</v>
      </c>
      <c r="B4769" t="str">
        <f>"3:49:16.258661"</f>
        <v>3:49:16.258661</v>
      </c>
      <c r="C4769">
        <v>-61</v>
      </c>
    </row>
    <row r="4770" spans="1:3" x14ac:dyDescent="0.25">
      <c r="A4770">
        <v>37</v>
      </c>
      <c r="B4770" t="str">
        <f>"3:49:17.527315"</f>
        <v>3:49:17.527315</v>
      </c>
      <c r="C4770">
        <v>-73</v>
      </c>
    </row>
    <row r="4771" spans="1:3" x14ac:dyDescent="0.25">
      <c r="A4771">
        <v>38</v>
      </c>
      <c r="B4771" t="str">
        <f>"3:49:17.528012"</f>
        <v>3:49:17.528012</v>
      </c>
      <c r="C4771">
        <v>-63</v>
      </c>
    </row>
    <row r="4772" spans="1:3" x14ac:dyDescent="0.25">
      <c r="A4772">
        <v>39</v>
      </c>
      <c r="B4772" t="str">
        <f>"3:49:17.528709"</f>
        <v>3:49:17.528709</v>
      </c>
      <c r="C4772">
        <v>-61</v>
      </c>
    </row>
    <row r="4773" spans="1:3" x14ac:dyDescent="0.25">
      <c r="A4773">
        <v>39</v>
      </c>
      <c r="B4773" t="str">
        <f>"3:49:18.741336"</f>
        <v>3:49:18.741336</v>
      </c>
      <c r="C4773">
        <v>-61</v>
      </c>
    </row>
    <row r="4774" spans="1:3" x14ac:dyDescent="0.25">
      <c r="A4774">
        <v>37</v>
      </c>
      <c r="B4774" t="str">
        <f>"3:49:19.991017"</f>
        <v>3:49:19.991017</v>
      </c>
      <c r="C4774">
        <v>-74</v>
      </c>
    </row>
    <row r="4775" spans="1:3" x14ac:dyDescent="0.25">
      <c r="A4775">
        <v>38</v>
      </c>
      <c r="B4775" t="str">
        <f>"3:49:19.991714"</f>
        <v>3:49:19.991714</v>
      </c>
      <c r="C4775">
        <v>-63</v>
      </c>
    </row>
    <row r="4776" spans="1:3" x14ac:dyDescent="0.25">
      <c r="A4776">
        <v>39</v>
      </c>
      <c r="B4776" t="str">
        <f>"3:49:19.992411"</f>
        <v>3:49:19.992411</v>
      </c>
      <c r="C4776">
        <v>-61</v>
      </c>
    </row>
    <row r="4777" spans="1:3" x14ac:dyDescent="0.25">
      <c r="A4777">
        <v>37</v>
      </c>
      <c r="B4777" t="str">
        <f>"3:49:21.247560"</f>
        <v>3:49:21.247560</v>
      </c>
      <c r="C4777">
        <v>-73</v>
      </c>
    </row>
    <row r="4778" spans="1:3" x14ac:dyDescent="0.25">
      <c r="A4778">
        <v>38</v>
      </c>
      <c r="B4778" t="str">
        <f>"3:49:21.248257"</f>
        <v>3:49:21.248257</v>
      </c>
      <c r="C4778">
        <v>-63</v>
      </c>
    </row>
    <row r="4779" spans="1:3" x14ac:dyDescent="0.25">
      <c r="A4779">
        <v>39</v>
      </c>
      <c r="B4779" t="str">
        <f>"3:49:21.248954"</f>
        <v>3:49:21.248954</v>
      </c>
      <c r="C4779">
        <v>-61</v>
      </c>
    </row>
    <row r="4780" spans="1:3" x14ac:dyDescent="0.25">
      <c r="A4780">
        <v>37</v>
      </c>
      <c r="B4780" t="str">
        <f>"3:49:22.477322"</f>
        <v>3:49:22.477322</v>
      </c>
      <c r="C4780">
        <v>-73</v>
      </c>
    </row>
    <row r="4781" spans="1:3" x14ac:dyDescent="0.25">
      <c r="A4781">
        <v>38</v>
      </c>
      <c r="B4781" t="str">
        <f>"3:49:22.478018"</f>
        <v>3:49:22.478018</v>
      </c>
      <c r="C4781">
        <v>-63</v>
      </c>
    </row>
    <row r="4782" spans="1:3" x14ac:dyDescent="0.25">
      <c r="A4782">
        <v>39</v>
      </c>
      <c r="B4782" t="str">
        <f>"3:49:22.478716"</f>
        <v>3:49:22.478716</v>
      </c>
      <c r="C4782">
        <v>-61</v>
      </c>
    </row>
    <row r="4783" spans="1:3" x14ac:dyDescent="0.25">
      <c r="A4783">
        <v>37</v>
      </c>
      <c r="B4783" t="str">
        <f>"3:49:23.723919"</f>
        <v>3:49:23.723919</v>
      </c>
      <c r="C4783">
        <v>-73</v>
      </c>
    </row>
    <row r="4784" spans="1:3" x14ac:dyDescent="0.25">
      <c r="A4784">
        <v>38</v>
      </c>
      <c r="B4784" t="str">
        <f>"3:49:23.724616"</f>
        <v>3:49:23.724616</v>
      </c>
      <c r="C4784">
        <v>-63</v>
      </c>
    </row>
    <row r="4785" spans="1:3" x14ac:dyDescent="0.25">
      <c r="A4785">
        <v>39</v>
      </c>
      <c r="B4785" t="str">
        <f>"3:49:23.725313"</f>
        <v>3:49:23.725313</v>
      </c>
      <c r="C4785">
        <v>-61</v>
      </c>
    </row>
    <row r="4786" spans="1:3" x14ac:dyDescent="0.25">
      <c r="A4786">
        <v>39</v>
      </c>
      <c r="B4786" t="str">
        <f>"3:49:24.991377"</f>
        <v>3:49:24.991377</v>
      </c>
      <c r="C4786">
        <v>-60</v>
      </c>
    </row>
    <row r="4787" spans="1:3" x14ac:dyDescent="0.25">
      <c r="A4787">
        <v>37</v>
      </c>
      <c r="B4787" t="str">
        <f>"3:49:26.231208"</f>
        <v>3:49:26.231208</v>
      </c>
      <c r="C4787">
        <v>-73</v>
      </c>
    </row>
    <row r="4788" spans="1:3" x14ac:dyDescent="0.25">
      <c r="A4788">
        <v>38</v>
      </c>
      <c r="B4788" t="str">
        <f>"3:49:26.231905"</f>
        <v>3:49:26.231905</v>
      </c>
      <c r="C4788">
        <v>-63</v>
      </c>
    </row>
    <row r="4789" spans="1:3" x14ac:dyDescent="0.25">
      <c r="A4789">
        <v>39</v>
      </c>
      <c r="B4789" t="str">
        <f>"3:49:26.232602"</f>
        <v>3:49:26.232602</v>
      </c>
      <c r="C4789">
        <v>-61</v>
      </c>
    </row>
    <row r="4790" spans="1:3" x14ac:dyDescent="0.25">
      <c r="A4790">
        <v>37</v>
      </c>
      <c r="B4790" t="str">
        <f>"3:49:27.458615"</f>
        <v>3:49:27.458615</v>
      </c>
      <c r="C4790">
        <v>-73</v>
      </c>
    </row>
    <row r="4791" spans="1:3" x14ac:dyDescent="0.25">
      <c r="A4791">
        <v>38</v>
      </c>
      <c r="B4791" t="str">
        <f>"3:49:27.459312"</f>
        <v>3:49:27.459312</v>
      </c>
      <c r="C4791">
        <v>-63</v>
      </c>
    </row>
    <row r="4792" spans="1:3" x14ac:dyDescent="0.25">
      <c r="A4792">
        <v>39</v>
      </c>
      <c r="B4792" t="str">
        <f>"3:49:27.460009"</f>
        <v>3:49:27.460009</v>
      </c>
      <c r="C4792">
        <v>-61</v>
      </c>
    </row>
    <row r="4793" spans="1:3" x14ac:dyDescent="0.25">
      <c r="A4793">
        <v>37</v>
      </c>
      <c r="B4793" t="str">
        <f>"3:49:29.950223"</f>
        <v>3:49:29.950223</v>
      </c>
      <c r="C4793">
        <v>-73</v>
      </c>
    </row>
    <row r="4794" spans="1:3" x14ac:dyDescent="0.25">
      <c r="A4794">
        <v>38</v>
      </c>
      <c r="B4794" t="str">
        <f>"3:49:29.950920"</f>
        <v>3:49:29.950920</v>
      </c>
      <c r="C4794">
        <v>-63</v>
      </c>
    </row>
    <row r="4795" spans="1:3" x14ac:dyDescent="0.25">
      <c r="A4795">
        <v>39</v>
      </c>
      <c r="B4795" t="str">
        <f>"3:49:29.951617"</f>
        <v>3:49:29.951617</v>
      </c>
      <c r="C4795">
        <v>-61</v>
      </c>
    </row>
    <row r="4796" spans="1:3" x14ac:dyDescent="0.25">
      <c r="A4796">
        <v>38</v>
      </c>
      <c r="B4796" t="str">
        <f>"3:49:31.195788"</f>
        <v>3:49:31.195788</v>
      </c>
      <c r="C4796">
        <v>-64</v>
      </c>
    </row>
    <row r="4797" spans="1:3" x14ac:dyDescent="0.25">
      <c r="A4797">
        <v>39</v>
      </c>
      <c r="B4797" t="str">
        <f>"3:49:31.196485"</f>
        <v>3:49:31.196485</v>
      </c>
      <c r="C4797">
        <v>-61</v>
      </c>
    </row>
    <row r="4798" spans="1:3" x14ac:dyDescent="0.25">
      <c r="A4798">
        <v>37</v>
      </c>
      <c r="B4798" t="str">
        <f>"3:49:32.439958"</f>
        <v>3:49:32.439958</v>
      </c>
      <c r="C4798">
        <v>-73</v>
      </c>
    </row>
    <row r="4799" spans="1:3" x14ac:dyDescent="0.25">
      <c r="A4799">
        <v>38</v>
      </c>
      <c r="B4799" t="str">
        <f>"3:49:32.440655"</f>
        <v>3:49:32.440655</v>
      </c>
      <c r="C4799">
        <v>-63</v>
      </c>
    </row>
    <row r="4800" spans="1:3" x14ac:dyDescent="0.25">
      <c r="A4800">
        <v>39</v>
      </c>
      <c r="B4800" t="str">
        <f>"3:49:32.441352"</f>
        <v>3:49:32.441352</v>
      </c>
      <c r="C4800">
        <v>-61</v>
      </c>
    </row>
    <row r="4801" spans="1:3" x14ac:dyDescent="0.25">
      <c r="A4801">
        <v>37</v>
      </c>
      <c r="B4801" t="str">
        <f>"3:49:33.707551"</f>
        <v>3:49:33.707551</v>
      </c>
      <c r="C4801">
        <v>-74</v>
      </c>
    </row>
    <row r="4802" spans="1:3" x14ac:dyDescent="0.25">
      <c r="A4802">
        <v>38</v>
      </c>
      <c r="B4802" t="str">
        <f>"3:49:33.708248"</f>
        <v>3:49:33.708248</v>
      </c>
      <c r="C4802">
        <v>-63</v>
      </c>
    </row>
    <row r="4803" spans="1:3" x14ac:dyDescent="0.25">
      <c r="A4803">
        <v>39</v>
      </c>
      <c r="B4803" t="str">
        <f>"3:49:33.708945"</f>
        <v>3:49:33.708945</v>
      </c>
      <c r="C4803">
        <v>-61</v>
      </c>
    </row>
    <row r="4804" spans="1:3" x14ac:dyDescent="0.25">
      <c r="A4804">
        <v>37</v>
      </c>
      <c r="B4804" t="str">
        <f>"3:49:34.937443"</f>
        <v>3:49:34.937443</v>
      </c>
      <c r="C4804">
        <v>-73</v>
      </c>
    </row>
    <row r="4805" spans="1:3" x14ac:dyDescent="0.25">
      <c r="A4805">
        <v>38</v>
      </c>
      <c r="B4805" t="str">
        <f>"3:49:34.938140"</f>
        <v>3:49:34.938140</v>
      </c>
      <c r="C4805">
        <v>-63</v>
      </c>
    </row>
    <row r="4806" spans="1:3" x14ac:dyDescent="0.25">
      <c r="A4806">
        <v>39</v>
      </c>
      <c r="B4806" t="str">
        <f>"3:49:34.938837"</f>
        <v>3:49:34.938837</v>
      </c>
      <c r="C4806">
        <v>-61</v>
      </c>
    </row>
    <row r="4807" spans="1:3" x14ac:dyDescent="0.25">
      <c r="A4807">
        <v>38</v>
      </c>
      <c r="B4807" t="str">
        <f>"3:49:36.163345"</f>
        <v>3:49:36.163345</v>
      </c>
      <c r="C4807">
        <v>-63</v>
      </c>
    </row>
    <row r="4808" spans="1:3" x14ac:dyDescent="0.25">
      <c r="A4808">
        <v>39</v>
      </c>
      <c r="B4808" t="str">
        <f>"3:49:36.164042"</f>
        <v>3:49:36.164042</v>
      </c>
      <c r="C4808">
        <v>-61</v>
      </c>
    </row>
    <row r="4809" spans="1:3" x14ac:dyDescent="0.25">
      <c r="A4809">
        <v>37</v>
      </c>
      <c r="B4809" t="str">
        <f>"3:49:37.419562"</f>
        <v>3:49:37.419562</v>
      </c>
      <c r="C4809">
        <v>-73</v>
      </c>
    </row>
    <row r="4810" spans="1:3" x14ac:dyDescent="0.25">
      <c r="A4810">
        <v>38</v>
      </c>
      <c r="B4810" t="str">
        <f>"3:49:37.420259"</f>
        <v>3:49:37.420259</v>
      </c>
      <c r="C4810">
        <v>-63</v>
      </c>
    </row>
    <row r="4811" spans="1:3" x14ac:dyDescent="0.25">
      <c r="A4811">
        <v>39</v>
      </c>
      <c r="B4811" t="str">
        <f>"3:49:37.420956"</f>
        <v>3:49:37.420956</v>
      </c>
      <c r="C4811">
        <v>-61</v>
      </c>
    </row>
    <row r="4812" spans="1:3" x14ac:dyDescent="0.25">
      <c r="A4812">
        <v>37</v>
      </c>
      <c r="B4812" t="str">
        <f>"3:49:38.655801"</f>
        <v>3:49:38.655801</v>
      </c>
      <c r="C4812">
        <v>-73</v>
      </c>
    </row>
    <row r="4813" spans="1:3" x14ac:dyDescent="0.25">
      <c r="A4813">
        <v>38</v>
      </c>
      <c r="B4813" t="str">
        <f>"3:49:38.656498"</f>
        <v>3:49:38.656498</v>
      </c>
      <c r="C4813">
        <v>-63</v>
      </c>
    </row>
    <row r="4814" spans="1:3" x14ac:dyDescent="0.25">
      <c r="A4814">
        <v>39</v>
      </c>
      <c r="B4814" t="str">
        <f>"3:49:38.657195"</f>
        <v>3:49:38.657195</v>
      </c>
      <c r="C4814">
        <v>-61</v>
      </c>
    </row>
    <row r="4815" spans="1:3" x14ac:dyDescent="0.25">
      <c r="A4815">
        <v>37</v>
      </c>
      <c r="B4815" t="str">
        <f>"3:49:39.932199"</f>
        <v>3:49:39.932199</v>
      </c>
      <c r="C4815">
        <v>-73</v>
      </c>
    </row>
    <row r="4816" spans="1:3" x14ac:dyDescent="0.25">
      <c r="A4816">
        <v>38</v>
      </c>
      <c r="B4816" t="str">
        <f>"3:49:39.932895"</f>
        <v>3:49:39.932895</v>
      </c>
      <c r="C4816">
        <v>-63</v>
      </c>
    </row>
    <row r="4817" spans="1:3" x14ac:dyDescent="0.25">
      <c r="A4817">
        <v>39</v>
      </c>
      <c r="B4817" t="str">
        <f>"3:49:39.933592"</f>
        <v>3:49:39.933592</v>
      </c>
      <c r="C4817">
        <v>-61</v>
      </c>
    </row>
    <row r="4818" spans="1:3" x14ac:dyDescent="0.25">
      <c r="A4818">
        <v>37</v>
      </c>
      <c r="B4818" t="str">
        <f>"3:49:41.149870"</f>
        <v>3:49:41.149870</v>
      </c>
      <c r="C4818">
        <v>-73</v>
      </c>
    </row>
    <row r="4819" spans="1:3" x14ac:dyDescent="0.25">
      <c r="A4819">
        <v>38</v>
      </c>
      <c r="B4819" t="str">
        <f>"3:49:41.150567"</f>
        <v>3:49:41.150567</v>
      </c>
      <c r="C4819">
        <v>-63</v>
      </c>
    </row>
    <row r="4820" spans="1:3" x14ac:dyDescent="0.25">
      <c r="A4820">
        <v>39</v>
      </c>
      <c r="B4820" t="str">
        <f>"3:49:41.151264"</f>
        <v>3:49:41.151264</v>
      </c>
      <c r="C4820">
        <v>-61</v>
      </c>
    </row>
    <row r="4821" spans="1:3" x14ac:dyDescent="0.25">
      <c r="A4821">
        <v>37</v>
      </c>
      <c r="B4821" t="str">
        <f>"3:49:43.636294"</f>
        <v>3:49:43.636294</v>
      </c>
      <c r="C4821">
        <v>-74</v>
      </c>
    </row>
    <row r="4822" spans="1:3" x14ac:dyDescent="0.25">
      <c r="A4822">
        <v>38</v>
      </c>
      <c r="B4822" t="str">
        <f>"3:49:43.636990"</f>
        <v>3:49:43.636990</v>
      </c>
      <c r="C4822">
        <v>-63</v>
      </c>
    </row>
    <row r="4823" spans="1:3" x14ac:dyDescent="0.25">
      <c r="A4823">
        <v>39</v>
      </c>
      <c r="B4823" t="str">
        <f>"3:49:43.637688"</f>
        <v>3:49:43.637688</v>
      </c>
      <c r="C4823">
        <v>-61</v>
      </c>
    </row>
    <row r="4824" spans="1:3" x14ac:dyDescent="0.25">
      <c r="A4824">
        <v>37</v>
      </c>
      <c r="B4824" t="str">
        <f>"3:49:44.893459"</f>
        <v>3:49:44.893459</v>
      </c>
      <c r="C4824">
        <v>-73</v>
      </c>
    </row>
    <row r="4825" spans="1:3" x14ac:dyDescent="0.25">
      <c r="A4825">
        <v>38</v>
      </c>
      <c r="B4825" t="str">
        <f>"3:49:44.894156"</f>
        <v>3:49:44.894156</v>
      </c>
      <c r="C4825">
        <v>-63</v>
      </c>
    </row>
    <row r="4826" spans="1:3" x14ac:dyDescent="0.25">
      <c r="A4826">
        <v>39</v>
      </c>
      <c r="B4826" t="str">
        <f>"3:49:44.894853"</f>
        <v>3:49:44.894853</v>
      </c>
      <c r="C4826">
        <v>-61</v>
      </c>
    </row>
    <row r="4827" spans="1:3" x14ac:dyDescent="0.25">
      <c r="A4827">
        <v>37</v>
      </c>
      <c r="B4827" t="str">
        <f>"3:49:46.127395"</f>
        <v>3:49:46.127395</v>
      </c>
      <c r="C4827">
        <v>-73</v>
      </c>
    </row>
    <row r="4828" spans="1:3" x14ac:dyDescent="0.25">
      <c r="A4828">
        <v>38</v>
      </c>
      <c r="B4828" t="str">
        <f>"3:49:46.128092"</f>
        <v>3:49:46.128092</v>
      </c>
      <c r="C4828">
        <v>-63</v>
      </c>
    </row>
    <row r="4829" spans="1:3" x14ac:dyDescent="0.25">
      <c r="A4829">
        <v>39</v>
      </c>
      <c r="B4829" t="str">
        <f>"3:49:46.128789"</f>
        <v>3:49:46.128789</v>
      </c>
      <c r="C4829">
        <v>-61</v>
      </c>
    </row>
    <row r="4830" spans="1:3" x14ac:dyDescent="0.25">
      <c r="A4830">
        <v>37</v>
      </c>
      <c r="B4830" t="str">
        <f>"3:49:47.363865"</f>
        <v>3:49:47.363865</v>
      </c>
      <c r="C4830">
        <v>-73</v>
      </c>
    </row>
    <row r="4831" spans="1:3" x14ac:dyDescent="0.25">
      <c r="A4831">
        <v>38</v>
      </c>
      <c r="B4831" t="str">
        <f>"3:49:47.364561"</f>
        <v>3:49:47.364561</v>
      </c>
      <c r="C4831">
        <v>-63</v>
      </c>
    </row>
    <row r="4832" spans="1:3" x14ac:dyDescent="0.25">
      <c r="A4832">
        <v>39</v>
      </c>
      <c r="B4832" t="str">
        <f>"3:49:47.365259"</f>
        <v>3:49:47.365259</v>
      </c>
      <c r="C4832">
        <v>-61</v>
      </c>
    </row>
    <row r="4833" spans="1:3" x14ac:dyDescent="0.25">
      <c r="A4833">
        <v>37</v>
      </c>
      <c r="B4833" t="str">
        <f>"3:49:48.615046"</f>
        <v>3:49:48.615046</v>
      </c>
      <c r="C4833">
        <v>-73</v>
      </c>
    </row>
    <row r="4834" spans="1:3" x14ac:dyDescent="0.25">
      <c r="A4834">
        <v>38</v>
      </c>
      <c r="B4834" t="str">
        <f>"3:49:48.615743"</f>
        <v>3:49:48.615743</v>
      </c>
      <c r="C4834">
        <v>-63</v>
      </c>
    </row>
    <row r="4835" spans="1:3" x14ac:dyDescent="0.25">
      <c r="A4835">
        <v>39</v>
      </c>
      <c r="B4835" t="str">
        <f>"3:49:48.616440"</f>
        <v>3:49:48.616440</v>
      </c>
      <c r="C4835">
        <v>-61</v>
      </c>
    </row>
    <row r="4836" spans="1:3" x14ac:dyDescent="0.25">
      <c r="A4836">
        <v>37</v>
      </c>
      <c r="B4836" t="str">
        <f>"3:49:49.862171"</f>
        <v>3:49:49.862171</v>
      </c>
      <c r="C4836">
        <v>-73</v>
      </c>
    </row>
    <row r="4837" spans="1:3" x14ac:dyDescent="0.25">
      <c r="A4837">
        <v>38</v>
      </c>
      <c r="B4837" t="str">
        <f>"3:49:49.862868"</f>
        <v>3:49:49.862868</v>
      </c>
      <c r="C4837">
        <v>-63</v>
      </c>
    </row>
    <row r="4838" spans="1:3" x14ac:dyDescent="0.25">
      <c r="A4838">
        <v>39</v>
      </c>
      <c r="B4838" t="str">
        <f>"3:49:49.863565"</f>
        <v>3:49:49.863565</v>
      </c>
      <c r="C4838">
        <v>-61</v>
      </c>
    </row>
    <row r="4839" spans="1:3" x14ac:dyDescent="0.25">
      <c r="A4839">
        <v>37</v>
      </c>
      <c r="B4839" t="str">
        <f>"3:49:51.101147"</f>
        <v>3:49:51.101147</v>
      </c>
      <c r="C4839">
        <v>-73</v>
      </c>
    </row>
    <row r="4840" spans="1:3" x14ac:dyDescent="0.25">
      <c r="A4840">
        <v>38</v>
      </c>
      <c r="B4840" t="str">
        <f>"3:49:51.101844"</f>
        <v>3:49:51.101844</v>
      </c>
      <c r="C4840">
        <v>-63</v>
      </c>
    </row>
    <row r="4841" spans="1:3" x14ac:dyDescent="0.25">
      <c r="A4841">
        <v>39</v>
      </c>
      <c r="B4841" t="str">
        <f>"3:49:51.102541"</f>
        <v>3:49:51.102541</v>
      </c>
      <c r="C4841">
        <v>-61</v>
      </c>
    </row>
    <row r="4842" spans="1:3" x14ac:dyDescent="0.25">
      <c r="A4842">
        <v>37</v>
      </c>
      <c r="B4842" t="str">
        <f>"3:49:52.346052"</f>
        <v>3:49:52.346052</v>
      </c>
      <c r="C4842">
        <v>-72</v>
      </c>
    </row>
    <row r="4843" spans="1:3" x14ac:dyDescent="0.25">
      <c r="A4843">
        <v>38</v>
      </c>
      <c r="B4843" t="str">
        <f>"3:49:52.346749"</f>
        <v>3:49:52.346749</v>
      </c>
      <c r="C4843">
        <v>-63</v>
      </c>
    </row>
    <row r="4844" spans="1:3" x14ac:dyDescent="0.25">
      <c r="A4844">
        <v>39</v>
      </c>
      <c r="B4844" t="str">
        <f>"3:49:52.347446"</f>
        <v>3:49:52.347446</v>
      </c>
      <c r="C4844">
        <v>-61</v>
      </c>
    </row>
    <row r="4845" spans="1:3" x14ac:dyDescent="0.25">
      <c r="A4845">
        <v>37</v>
      </c>
      <c r="B4845" t="str">
        <f>"3:49:53.591120"</f>
        <v>3:49:53.591120</v>
      </c>
      <c r="C4845">
        <v>-73</v>
      </c>
    </row>
    <row r="4846" spans="1:3" x14ac:dyDescent="0.25">
      <c r="A4846">
        <v>38</v>
      </c>
      <c r="B4846" t="str">
        <f>"3:49:53.591817"</f>
        <v>3:49:53.591817</v>
      </c>
      <c r="C4846">
        <v>-63</v>
      </c>
    </row>
    <row r="4847" spans="1:3" x14ac:dyDescent="0.25">
      <c r="A4847">
        <v>39</v>
      </c>
      <c r="B4847" t="str">
        <f>"3:49:53.592514"</f>
        <v>3:49:53.592514</v>
      </c>
      <c r="C4847">
        <v>-61</v>
      </c>
    </row>
    <row r="4848" spans="1:3" x14ac:dyDescent="0.25">
      <c r="A4848">
        <v>38</v>
      </c>
      <c r="B4848" t="str">
        <f>"3:49:56.087998"</f>
        <v>3:49:56.087998</v>
      </c>
      <c r="C4848">
        <v>-62</v>
      </c>
    </row>
    <row r="4849" spans="1:3" x14ac:dyDescent="0.25">
      <c r="A4849">
        <v>39</v>
      </c>
      <c r="B4849" t="str">
        <f>"3:49:56.088695"</f>
        <v>3:49:56.088695</v>
      </c>
      <c r="C4849">
        <v>-61</v>
      </c>
    </row>
    <row r="4850" spans="1:3" x14ac:dyDescent="0.25">
      <c r="A4850">
        <v>37</v>
      </c>
      <c r="B4850" t="str">
        <f>"3:49:57.370678"</f>
        <v>3:49:57.370678</v>
      </c>
      <c r="C4850">
        <v>-73</v>
      </c>
    </row>
    <row r="4851" spans="1:3" x14ac:dyDescent="0.25">
      <c r="A4851">
        <v>38</v>
      </c>
      <c r="B4851" t="str">
        <f>"3:49:57.371375"</f>
        <v>3:49:57.371375</v>
      </c>
      <c r="C4851">
        <v>-63</v>
      </c>
    </row>
    <row r="4852" spans="1:3" x14ac:dyDescent="0.25">
      <c r="A4852">
        <v>39</v>
      </c>
      <c r="B4852" t="str">
        <f>"3:49:57.372072"</f>
        <v>3:49:57.372072</v>
      </c>
      <c r="C4852">
        <v>-61</v>
      </c>
    </row>
    <row r="4853" spans="1:3" x14ac:dyDescent="0.25">
      <c r="A4853">
        <v>37</v>
      </c>
      <c r="B4853" t="str">
        <f>"3:49:58.578048"</f>
        <v>3:49:58.578048</v>
      </c>
      <c r="C4853">
        <v>-73</v>
      </c>
    </row>
    <row r="4854" spans="1:3" x14ac:dyDescent="0.25">
      <c r="A4854">
        <v>38</v>
      </c>
      <c r="B4854" t="str">
        <f>"3:49:58.578745"</f>
        <v>3:49:58.578745</v>
      </c>
      <c r="C4854">
        <v>-63</v>
      </c>
    </row>
    <row r="4855" spans="1:3" x14ac:dyDescent="0.25">
      <c r="A4855">
        <v>39</v>
      </c>
      <c r="B4855" t="str">
        <f>"3:49:58.579442"</f>
        <v>3:49:58.579442</v>
      </c>
      <c r="C4855">
        <v>-61</v>
      </c>
    </row>
    <row r="4856" spans="1:3" x14ac:dyDescent="0.25">
      <c r="A4856">
        <v>37</v>
      </c>
      <c r="B4856" t="str">
        <f>"3:49:59.826191"</f>
        <v>3:49:59.826191</v>
      </c>
      <c r="C4856">
        <v>-74</v>
      </c>
    </row>
    <row r="4857" spans="1:3" x14ac:dyDescent="0.25">
      <c r="A4857">
        <v>38</v>
      </c>
      <c r="B4857" t="str">
        <f>"3:49:59.826888"</f>
        <v>3:49:59.826888</v>
      </c>
      <c r="C4857">
        <v>-63</v>
      </c>
    </row>
    <row r="4858" spans="1:3" x14ac:dyDescent="0.25">
      <c r="A4858">
        <v>39</v>
      </c>
      <c r="B4858" t="str">
        <f>"3:49:59.827585"</f>
        <v>3:49:59.827585</v>
      </c>
      <c r="C4858">
        <v>-61</v>
      </c>
    </row>
    <row r="4859" spans="1:3" x14ac:dyDescent="0.25">
      <c r="A4859">
        <v>37</v>
      </c>
      <c r="B4859" t="str">
        <f>"3:50:01.083076"</f>
        <v>3:50:01.083076</v>
      </c>
      <c r="C4859">
        <v>-73</v>
      </c>
    </row>
    <row r="4860" spans="1:3" x14ac:dyDescent="0.25">
      <c r="A4860">
        <v>38</v>
      </c>
      <c r="B4860" t="str">
        <f>"3:50:01.083773"</f>
        <v>3:50:01.083773</v>
      </c>
      <c r="C4860">
        <v>-64</v>
      </c>
    </row>
    <row r="4861" spans="1:3" x14ac:dyDescent="0.25">
      <c r="A4861">
        <v>39</v>
      </c>
      <c r="B4861" t="str">
        <f>"3:50:01.084470"</f>
        <v>3:50:01.084470</v>
      </c>
      <c r="C4861">
        <v>-61</v>
      </c>
    </row>
    <row r="4862" spans="1:3" x14ac:dyDescent="0.25">
      <c r="A4862">
        <v>37</v>
      </c>
      <c r="B4862" t="str">
        <f>"3:50:02.310872"</f>
        <v>3:50:02.310872</v>
      </c>
      <c r="C4862">
        <v>-73</v>
      </c>
    </row>
    <row r="4863" spans="1:3" x14ac:dyDescent="0.25">
      <c r="A4863">
        <v>38</v>
      </c>
      <c r="B4863" t="str">
        <f>"3:50:02.311569"</f>
        <v>3:50:02.311569</v>
      </c>
      <c r="C4863">
        <v>-63</v>
      </c>
    </row>
    <row r="4864" spans="1:3" x14ac:dyDescent="0.25">
      <c r="A4864">
        <v>39</v>
      </c>
      <c r="B4864" t="str">
        <f>"3:50:02.312266"</f>
        <v>3:50:02.312266</v>
      </c>
      <c r="C4864">
        <v>-61</v>
      </c>
    </row>
    <row r="4865" spans="1:3" x14ac:dyDescent="0.25">
      <c r="A4865">
        <v>38</v>
      </c>
      <c r="B4865" t="str">
        <f>"3:50:03.555423"</f>
        <v>3:50:03.555423</v>
      </c>
      <c r="C4865">
        <v>-63</v>
      </c>
    </row>
    <row r="4866" spans="1:3" x14ac:dyDescent="0.25">
      <c r="A4866">
        <v>39</v>
      </c>
      <c r="B4866" t="str">
        <f>"3:50:03.556120"</f>
        <v>3:50:03.556120</v>
      </c>
      <c r="C4866">
        <v>-61</v>
      </c>
    </row>
    <row r="4867" spans="1:3" x14ac:dyDescent="0.25">
      <c r="A4867">
        <v>38</v>
      </c>
      <c r="B4867" t="str">
        <f>"3:50:04.808149"</f>
        <v>3:50:04.808149</v>
      </c>
      <c r="C4867">
        <v>-63</v>
      </c>
    </row>
    <row r="4868" spans="1:3" x14ac:dyDescent="0.25">
      <c r="A4868">
        <v>39</v>
      </c>
      <c r="B4868" t="str">
        <f>"3:50:04.808846"</f>
        <v>3:50:04.808846</v>
      </c>
      <c r="C4868">
        <v>-60</v>
      </c>
    </row>
    <row r="4869" spans="1:3" x14ac:dyDescent="0.25">
      <c r="A4869">
        <v>37</v>
      </c>
      <c r="B4869" t="str">
        <f>"3:50:06.055500"</f>
        <v>3:50:06.055500</v>
      </c>
      <c r="C4869">
        <v>-73</v>
      </c>
    </row>
    <row r="4870" spans="1:3" x14ac:dyDescent="0.25">
      <c r="A4870">
        <v>38</v>
      </c>
      <c r="B4870" t="str">
        <f>"3:50:06.056197"</f>
        <v>3:50:06.056197</v>
      </c>
      <c r="C4870">
        <v>-63</v>
      </c>
    </row>
    <row r="4871" spans="1:3" x14ac:dyDescent="0.25">
      <c r="A4871">
        <v>39</v>
      </c>
      <c r="B4871" t="str">
        <f>"3:50:06.056894"</f>
        <v>3:50:06.056894</v>
      </c>
      <c r="C4871">
        <v>-61</v>
      </c>
    </row>
    <row r="4872" spans="1:3" x14ac:dyDescent="0.25">
      <c r="A4872">
        <v>38</v>
      </c>
      <c r="B4872" t="str">
        <f>"3:50:07.319723"</f>
        <v>3:50:07.319723</v>
      </c>
      <c r="C4872">
        <v>-63</v>
      </c>
    </row>
    <row r="4873" spans="1:3" x14ac:dyDescent="0.25">
      <c r="A4873">
        <v>39</v>
      </c>
      <c r="B4873" t="str">
        <f>"3:50:07.320420"</f>
        <v>3:50:07.320420</v>
      </c>
      <c r="C4873">
        <v>-61</v>
      </c>
    </row>
    <row r="4874" spans="1:3" x14ac:dyDescent="0.25">
      <c r="A4874">
        <v>37</v>
      </c>
      <c r="B4874" t="str">
        <f>"3:50:08.545524"</f>
        <v>3:50:08.545524</v>
      </c>
      <c r="C4874">
        <v>-73</v>
      </c>
    </row>
    <row r="4875" spans="1:3" x14ac:dyDescent="0.25">
      <c r="A4875">
        <v>38</v>
      </c>
      <c r="B4875" t="str">
        <f>"3:50:08.546221"</f>
        <v>3:50:08.546221</v>
      </c>
      <c r="C4875">
        <v>-63</v>
      </c>
    </row>
    <row r="4876" spans="1:3" x14ac:dyDescent="0.25">
      <c r="A4876">
        <v>39</v>
      </c>
      <c r="B4876" t="str">
        <f>"3:50:08.546918"</f>
        <v>3:50:08.546918</v>
      </c>
      <c r="C4876">
        <v>-61</v>
      </c>
    </row>
    <row r="4877" spans="1:3" x14ac:dyDescent="0.25">
      <c r="A4877">
        <v>37</v>
      </c>
      <c r="B4877" t="str">
        <f>"3:50:09.805846"</f>
        <v>3:50:09.805846</v>
      </c>
      <c r="C4877">
        <v>-74</v>
      </c>
    </row>
    <row r="4878" spans="1:3" x14ac:dyDescent="0.25">
      <c r="A4878">
        <v>38</v>
      </c>
      <c r="B4878" t="str">
        <f>"3:50:09.806543"</f>
        <v>3:50:09.806543</v>
      </c>
      <c r="C4878">
        <v>-63</v>
      </c>
    </row>
    <row r="4879" spans="1:3" x14ac:dyDescent="0.25">
      <c r="A4879">
        <v>39</v>
      </c>
      <c r="B4879" t="str">
        <f>"3:50:09.807240"</f>
        <v>3:50:09.807240</v>
      </c>
      <c r="C4879">
        <v>-61</v>
      </c>
    </row>
    <row r="4880" spans="1:3" x14ac:dyDescent="0.25">
      <c r="A4880">
        <v>39</v>
      </c>
      <c r="B4880" t="str">
        <f>"3:50:12.283018"</f>
        <v>3:50:12.283018</v>
      </c>
      <c r="C4880">
        <v>-61</v>
      </c>
    </row>
    <row r="4881" spans="1:3" x14ac:dyDescent="0.25">
      <c r="A4881">
        <v>37</v>
      </c>
      <c r="B4881" t="str">
        <f>"3:50:13.536804"</f>
        <v>3:50:13.536804</v>
      </c>
      <c r="C4881">
        <v>-73</v>
      </c>
    </row>
    <row r="4882" spans="1:3" x14ac:dyDescent="0.25">
      <c r="A4882">
        <v>38</v>
      </c>
      <c r="B4882" t="str">
        <f>"3:50:13.537500"</f>
        <v>3:50:13.537500</v>
      </c>
      <c r="C4882">
        <v>-63</v>
      </c>
    </row>
    <row r="4883" spans="1:3" x14ac:dyDescent="0.25">
      <c r="A4883">
        <v>39</v>
      </c>
      <c r="B4883" t="str">
        <f>"3:50:13.538198"</f>
        <v>3:50:13.538198</v>
      </c>
      <c r="C4883">
        <v>-61</v>
      </c>
    </row>
    <row r="4884" spans="1:3" x14ac:dyDescent="0.25">
      <c r="A4884">
        <v>37</v>
      </c>
      <c r="B4884" t="str">
        <f>"3:50:14.793734"</f>
        <v>3:50:14.793734</v>
      </c>
      <c r="C4884">
        <v>-73</v>
      </c>
    </row>
    <row r="4885" spans="1:3" x14ac:dyDescent="0.25">
      <c r="A4885">
        <v>38</v>
      </c>
      <c r="B4885" t="str">
        <f>"3:50:14.794431"</f>
        <v>3:50:14.794431</v>
      </c>
      <c r="C4885">
        <v>-63</v>
      </c>
    </row>
    <row r="4886" spans="1:3" x14ac:dyDescent="0.25">
      <c r="A4886">
        <v>39</v>
      </c>
      <c r="B4886" t="str">
        <f>"3:50:14.795128"</f>
        <v>3:50:14.795128</v>
      </c>
      <c r="C4886">
        <v>-61</v>
      </c>
    </row>
    <row r="4887" spans="1:3" x14ac:dyDescent="0.25">
      <c r="A4887">
        <v>37</v>
      </c>
      <c r="B4887" t="str">
        <f>"3:50:16.011998"</f>
        <v>3:50:16.011998</v>
      </c>
      <c r="C4887">
        <v>-73</v>
      </c>
    </row>
    <row r="4888" spans="1:3" x14ac:dyDescent="0.25">
      <c r="A4888">
        <v>38</v>
      </c>
      <c r="B4888" t="str">
        <f>"3:50:16.012695"</f>
        <v>3:50:16.012695</v>
      </c>
      <c r="C4888">
        <v>-63</v>
      </c>
    </row>
    <row r="4889" spans="1:3" x14ac:dyDescent="0.25">
      <c r="A4889">
        <v>39</v>
      </c>
      <c r="B4889" t="str">
        <f>"3:50:16.013392"</f>
        <v>3:50:16.013392</v>
      </c>
      <c r="C4889">
        <v>-61</v>
      </c>
    </row>
    <row r="4890" spans="1:3" x14ac:dyDescent="0.25">
      <c r="A4890">
        <v>39</v>
      </c>
      <c r="B4890" t="str">
        <f>"3:50:17.254164"</f>
        <v>3:50:17.254164</v>
      </c>
      <c r="C4890">
        <v>-61</v>
      </c>
    </row>
    <row r="4891" spans="1:3" x14ac:dyDescent="0.25">
      <c r="A4891">
        <v>37</v>
      </c>
      <c r="B4891" t="str">
        <f>"3:50:18.532249"</f>
        <v>3:50:18.532249</v>
      </c>
      <c r="C4891">
        <v>-73</v>
      </c>
    </row>
    <row r="4892" spans="1:3" x14ac:dyDescent="0.25">
      <c r="A4892">
        <v>38</v>
      </c>
      <c r="B4892" t="str">
        <f>"3:50:18.532946"</f>
        <v>3:50:18.532946</v>
      </c>
      <c r="C4892">
        <v>-63</v>
      </c>
    </row>
    <row r="4893" spans="1:3" x14ac:dyDescent="0.25">
      <c r="A4893">
        <v>39</v>
      </c>
      <c r="B4893" t="str">
        <f>"3:50:18.533643"</f>
        <v>3:50:18.533643</v>
      </c>
      <c r="C4893">
        <v>-61</v>
      </c>
    </row>
    <row r="4894" spans="1:3" x14ac:dyDescent="0.25">
      <c r="A4894">
        <v>37</v>
      </c>
      <c r="B4894" t="str">
        <f>"3:50:19.741872"</f>
        <v>3:50:19.741872</v>
      </c>
      <c r="C4894">
        <v>-73</v>
      </c>
    </row>
    <row r="4895" spans="1:3" x14ac:dyDescent="0.25">
      <c r="A4895">
        <v>38</v>
      </c>
      <c r="B4895" t="str">
        <f>"3:50:19.742569"</f>
        <v>3:50:19.742569</v>
      </c>
      <c r="C4895">
        <v>-63</v>
      </c>
    </row>
    <row r="4896" spans="1:3" x14ac:dyDescent="0.25">
      <c r="A4896">
        <v>39</v>
      </c>
      <c r="B4896" t="str">
        <f>"3:50:19.743266"</f>
        <v>3:50:19.743266</v>
      </c>
      <c r="C4896">
        <v>-61</v>
      </c>
    </row>
    <row r="4897" spans="1:3" x14ac:dyDescent="0.25">
      <c r="A4897">
        <v>37</v>
      </c>
      <c r="B4897" t="str">
        <f>"3:50:20.991025"</f>
        <v>3:50:20.991025</v>
      </c>
      <c r="C4897">
        <v>-73</v>
      </c>
    </row>
    <row r="4898" spans="1:3" x14ac:dyDescent="0.25">
      <c r="A4898">
        <v>38</v>
      </c>
      <c r="B4898" t="str">
        <f>"3:50:20.991722"</f>
        <v>3:50:20.991722</v>
      </c>
      <c r="C4898">
        <v>-63</v>
      </c>
    </row>
    <row r="4899" spans="1:3" x14ac:dyDescent="0.25">
      <c r="A4899">
        <v>39</v>
      </c>
      <c r="B4899" t="str">
        <f>"3:50:20.992419"</f>
        <v>3:50:20.992419</v>
      </c>
      <c r="C4899">
        <v>-61</v>
      </c>
    </row>
    <row r="4900" spans="1:3" x14ac:dyDescent="0.25">
      <c r="A4900">
        <v>37</v>
      </c>
      <c r="B4900" t="str">
        <f>"3:50:22.245028"</f>
        <v>3:50:22.245028</v>
      </c>
      <c r="C4900">
        <v>-73</v>
      </c>
    </row>
    <row r="4901" spans="1:3" x14ac:dyDescent="0.25">
      <c r="A4901">
        <v>38</v>
      </c>
      <c r="B4901" t="str">
        <f>"3:50:22.245725"</f>
        <v>3:50:22.245725</v>
      </c>
      <c r="C4901">
        <v>-63</v>
      </c>
    </row>
    <row r="4902" spans="1:3" x14ac:dyDescent="0.25">
      <c r="A4902">
        <v>39</v>
      </c>
      <c r="B4902" t="str">
        <f>"3:50:22.246422"</f>
        <v>3:50:22.246422</v>
      </c>
      <c r="C4902">
        <v>-61</v>
      </c>
    </row>
    <row r="4903" spans="1:3" x14ac:dyDescent="0.25">
      <c r="A4903">
        <v>37</v>
      </c>
      <c r="B4903" t="str">
        <f>"3:50:23.481150"</f>
        <v>3:50:23.481150</v>
      </c>
      <c r="C4903">
        <v>-73</v>
      </c>
    </row>
    <row r="4904" spans="1:3" x14ac:dyDescent="0.25">
      <c r="A4904">
        <v>38</v>
      </c>
      <c r="B4904" t="str">
        <f>"3:50:23.481847"</f>
        <v>3:50:23.481847</v>
      </c>
      <c r="C4904">
        <v>-63</v>
      </c>
    </row>
    <row r="4905" spans="1:3" x14ac:dyDescent="0.25">
      <c r="A4905">
        <v>39</v>
      </c>
      <c r="B4905" t="str">
        <f>"3:50:23.482544"</f>
        <v>3:50:23.482544</v>
      </c>
      <c r="C4905">
        <v>-61</v>
      </c>
    </row>
    <row r="4906" spans="1:3" x14ac:dyDescent="0.25">
      <c r="A4906">
        <v>37</v>
      </c>
      <c r="B4906" t="str">
        <f>"3:50:24.728997"</f>
        <v>3:50:24.728997</v>
      </c>
      <c r="C4906">
        <v>-74</v>
      </c>
    </row>
    <row r="4907" spans="1:3" x14ac:dyDescent="0.25">
      <c r="A4907">
        <v>38</v>
      </c>
      <c r="B4907" t="str">
        <f>"3:50:24.729694"</f>
        <v>3:50:24.729694</v>
      </c>
      <c r="C4907">
        <v>-63</v>
      </c>
    </row>
    <row r="4908" spans="1:3" x14ac:dyDescent="0.25">
      <c r="A4908">
        <v>39</v>
      </c>
      <c r="B4908" t="str">
        <f>"3:50:24.730391"</f>
        <v>3:50:24.730391</v>
      </c>
      <c r="C4908">
        <v>-61</v>
      </c>
    </row>
    <row r="4909" spans="1:3" x14ac:dyDescent="0.25">
      <c r="A4909">
        <v>37</v>
      </c>
      <c r="B4909" t="str">
        <f>"3:50:27.246967"</f>
        <v>3:50:27.246967</v>
      </c>
      <c r="C4909">
        <v>-73</v>
      </c>
    </row>
    <row r="4910" spans="1:3" x14ac:dyDescent="0.25">
      <c r="A4910">
        <v>38</v>
      </c>
      <c r="B4910" t="str">
        <f>"3:50:27.247664"</f>
        <v>3:50:27.247664</v>
      </c>
      <c r="C4910">
        <v>-63</v>
      </c>
    </row>
    <row r="4911" spans="1:3" x14ac:dyDescent="0.25">
      <c r="A4911">
        <v>39</v>
      </c>
      <c r="B4911" t="str">
        <f>"3:50:27.248361"</f>
        <v>3:50:27.248361</v>
      </c>
      <c r="C4911">
        <v>-61</v>
      </c>
    </row>
    <row r="4912" spans="1:3" x14ac:dyDescent="0.25">
      <c r="A4912">
        <v>37</v>
      </c>
      <c r="B4912" t="str">
        <f>"3:50:28.458773"</f>
        <v>3:50:28.458773</v>
      </c>
      <c r="C4912">
        <v>-73</v>
      </c>
    </row>
    <row r="4913" spans="1:3" x14ac:dyDescent="0.25">
      <c r="A4913">
        <v>38</v>
      </c>
      <c r="B4913" t="str">
        <f>"3:50:28.459470"</f>
        <v>3:50:28.459470</v>
      </c>
      <c r="C4913">
        <v>-63</v>
      </c>
    </row>
    <row r="4914" spans="1:3" x14ac:dyDescent="0.25">
      <c r="A4914">
        <v>39</v>
      </c>
      <c r="B4914" t="str">
        <f>"3:50:28.460167"</f>
        <v>3:50:28.460167</v>
      </c>
      <c r="C4914">
        <v>-61</v>
      </c>
    </row>
    <row r="4915" spans="1:3" x14ac:dyDescent="0.25">
      <c r="A4915">
        <v>38</v>
      </c>
      <c r="B4915" t="str">
        <f>"3:50:29.714177"</f>
        <v>3:50:29.714177</v>
      </c>
      <c r="C4915">
        <v>-63</v>
      </c>
    </row>
    <row r="4916" spans="1:3" x14ac:dyDescent="0.25">
      <c r="A4916">
        <v>39</v>
      </c>
      <c r="B4916" t="str">
        <f>"3:50:29.714874"</f>
        <v>3:50:29.714874</v>
      </c>
      <c r="C4916">
        <v>-61</v>
      </c>
    </row>
    <row r="4917" spans="1:3" x14ac:dyDescent="0.25">
      <c r="A4917">
        <v>37</v>
      </c>
      <c r="B4917" t="str">
        <f>"3:50:30.953522"</f>
        <v>3:50:30.953522</v>
      </c>
      <c r="C4917">
        <v>-73</v>
      </c>
    </row>
    <row r="4918" spans="1:3" x14ac:dyDescent="0.25">
      <c r="A4918">
        <v>38</v>
      </c>
      <c r="B4918" t="str">
        <f>"3:50:30.954219"</f>
        <v>3:50:30.954219</v>
      </c>
      <c r="C4918">
        <v>-63</v>
      </c>
    </row>
    <row r="4919" spans="1:3" x14ac:dyDescent="0.25">
      <c r="A4919">
        <v>39</v>
      </c>
      <c r="B4919" t="str">
        <f>"3:50:30.954916"</f>
        <v>3:50:30.954916</v>
      </c>
      <c r="C4919">
        <v>-61</v>
      </c>
    </row>
    <row r="4920" spans="1:3" x14ac:dyDescent="0.25">
      <c r="A4920">
        <v>37</v>
      </c>
      <c r="B4920" t="str">
        <f>"3:50:32.193147"</f>
        <v>3:50:32.193147</v>
      </c>
      <c r="C4920">
        <v>-74</v>
      </c>
    </row>
    <row r="4921" spans="1:3" x14ac:dyDescent="0.25">
      <c r="A4921">
        <v>38</v>
      </c>
      <c r="B4921" t="str">
        <f>"3:50:32.193844"</f>
        <v>3:50:32.193844</v>
      </c>
      <c r="C4921">
        <v>-63</v>
      </c>
    </row>
    <row r="4922" spans="1:3" x14ac:dyDescent="0.25">
      <c r="A4922">
        <v>39</v>
      </c>
      <c r="B4922" t="str">
        <f>"3:50:32.194541"</f>
        <v>3:50:32.194541</v>
      </c>
      <c r="C4922">
        <v>-61</v>
      </c>
    </row>
    <row r="4923" spans="1:3" x14ac:dyDescent="0.25">
      <c r="A4923">
        <v>39</v>
      </c>
      <c r="B4923" t="str">
        <f>"3:50:33.441617"</f>
        <v>3:50:33.441617</v>
      </c>
      <c r="C4923">
        <v>-60</v>
      </c>
    </row>
    <row r="4924" spans="1:3" x14ac:dyDescent="0.25">
      <c r="A4924">
        <v>37</v>
      </c>
      <c r="B4924" t="str">
        <f>"3:50:34.678148"</f>
        <v>3:50:34.678148</v>
      </c>
      <c r="C4924">
        <v>-73</v>
      </c>
    </row>
    <row r="4925" spans="1:3" x14ac:dyDescent="0.25">
      <c r="A4925">
        <v>38</v>
      </c>
      <c r="B4925" t="str">
        <f>"3:50:34.678845"</f>
        <v>3:50:34.678845</v>
      </c>
      <c r="C4925">
        <v>-63</v>
      </c>
    </row>
    <row r="4926" spans="1:3" x14ac:dyDescent="0.25">
      <c r="A4926">
        <v>39</v>
      </c>
      <c r="B4926" t="str">
        <f>"3:50:34.679542"</f>
        <v>3:50:34.679542</v>
      </c>
      <c r="C4926">
        <v>-61</v>
      </c>
    </row>
    <row r="4927" spans="1:3" x14ac:dyDescent="0.25">
      <c r="A4927">
        <v>37</v>
      </c>
      <c r="B4927" t="str">
        <f>"3:50:35.945950"</f>
        <v>3:50:35.945950</v>
      </c>
      <c r="C4927">
        <v>-74</v>
      </c>
    </row>
    <row r="4928" spans="1:3" x14ac:dyDescent="0.25">
      <c r="A4928">
        <v>38</v>
      </c>
      <c r="B4928" t="str">
        <f>"3:50:35.946647"</f>
        <v>3:50:35.946647</v>
      </c>
      <c r="C4928">
        <v>-63</v>
      </c>
    </row>
    <row r="4929" spans="1:3" x14ac:dyDescent="0.25">
      <c r="A4929">
        <v>39</v>
      </c>
      <c r="B4929" t="str">
        <f>"3:50:35.947344"</f>
        <v>3:50:35.947344</v>
      </c>
      <c r="C4929">
        <v>-61</v>
      </c>
    </row>
    <row r="4930" spans="1:3" x14ac:dyDescent="0.25">
      <c r="A4930">
        <v>37</v>
      </c>
      <c r="B4930" t="str">
        <f>"3:50:37.172060"</f>
        <v>3:50:37.172060</v>
      </c>
      <c r="C4930">
        <v>-73</v>
      </c>
    </row>
    <row r="4931" spans="1:3" x14ac:dyDescent="0.25">
      <c r="A4931">
        <v>38</v>
      </c>
      <c r="B4931" t="str">
        <f>"3:50:37.172756"</f>
        <v>3:50:37.172756</v>
      </c>
      <c r="C4931">
        <v>-63</v>
      </c>
    </row>
    <row r="4932" spans="1:3" x14ac:dyDescent="0.25">
      <c r="A4932">
        <v>39</v>
      </c>
      <c r="B4932" t="str">
        <f>"3:50:37.173454"</f>
        <v>3:50:37.173454</v>
      </c>
      <c r="C4932">
        <v>-61</v>
      </c>
    </row>
    <row r="4933" spans="1:3" x14ac:dyDescent="0.25">
      <c r="A4933">
        <v>37</v>
      </c>
      <c r="B4933" t="str">
        <f>"3:50:38.460939"</f>
        <v>3:50:38.460939</v>
      </c>
      <c r="C4933">
        <v>-74</v>
      </c>
    </row>
    <row r="4934" spans="1:3" x14ac:dyDescent="0.25">
      <c r="A4934">
        <v>38</v>
      </c>
      <c r="B4934" t="str">
        <f>"3:50:38.461636"</f>
        <v>3:50:38.461636</v>
      </c>
      <c r="C4934">
        <v>-63</v>
      </c>
    </row>
    <row r="4935" spans="1:3" x14ac:dyDescent="0.25">
      <c r="A4935">
        <v>39</v>
      </c>
      <c r="B4935" t="str">
        <f>"3:50:38.462333"</f>
        <v>3:50:38.462333</v>
      </c>
      <c r="C4935">
        <v>-61</v>
      </c>
    </row>
    <row r="4936" spans="1:3" x14ac:dyDescent="0.25">
      <c r="A4936">
        <v>38</v>
      </c>
      <c r="B4936" t="str">
        <f>"3:50:39.687398"</f>
        <v>3:50:39.687398</v>
      </c>
      <c r="C4936">
        <v>-63</v>
      </c>
    </row>
    <row r="4937" spans="1:3" x14ac:dyDescent="0.25">
      <c r="A4937">
        <v>39</v>
      </c>
      <c r="B4937" t="str">
        <f>"3:50:39.688095"</f>
        <v>3:50:39.688095</v>
      </c>
      <c r="C4937">
        <v>-61</v>
      </c>
    </row>
    <row r="4938" spans="1:3" x14ac:dyDescent="0.25">
      <c r="A4938">
        <v>37</v>
      </c>
      <c r="B4938" t="str">
        <f>"3:50:40.932714"</f>
        <v>3:50:40.932714</v>
      </c>
      <c r="C4938">
        <v>-73</v>
      </c>
    </row>
    <row r="4939" spans="1:3" x14ac:dyDescent="0.25">
      <c r="A4939">
        <v>38</v>
      </c>
      <c r="B4939" t="str">
        <f>"3:50:40.933411"</f>
        <v>3:50:40.933411</v>
      </c>
      <c r="C4939">
        <v>-63</v>
      </c>
    </row>
    <row r="4940" spans="1:3" x14ac:dyDescent="0.25">
      <c r="A4940">
        <v>39</v>
      </c>
      <c r="B4940" t="str">
        <f>"3:50:40.934108"</f>
        <v>3:50:40.934108</v>
      </c>
      <c r="C4940">
        <v>-61</v>
      </c>
    </row>
    <row r="4941" spans="1:3" x14ac:dyDescent="0.25">
      <c r="A4941">
        <v>37</v>
      </c>
      <c r="B4941" t="str">
        <f>"3:50:42.193594"</f>
        <v>3:50:42.193594</v>
      </c>
      <c r="C4941">
        <v>-73</v>
      </c>
    </row>
    <row r="4942" spans="1:3" x14ac:dyDescent="0.25">
      <c r="A4942">
        <v>38</v>
      </c>
      <c r="B4942" t="str">
        <f>"3:50:42.194291"</f>
        <v>3:50:42.194291</v>
      </c>
      <c r="C4942">
        <v>-63</v>
      </c>
    </row>
    <row r="4943" spans="1:3" x14ac:dyDescent="0.25">
      <c r="A4943">
        <v>39</v>
      </c>
      <c r="B4943" t="str">
        <f>"3:50:42.194988"</f>
        <v>3:50:42.194988</v>
      </c>
      <c r="C4943">
        <v>-61</v>
      </c>
    </row>
    <row r="4944" spans="1:3" x14ac:dyDescent="0.25">
      <c r="A4944">
        <v>37</v>
      </c>
      <c r="B4944" t="str">
        <f>"3:50:43.402869"</f>
        <v>3:50:43.402869</v>
      </c>
      <c r="C4944">
        <v>-74</v>
      </c>
    </row>
    <row r="4945" spans="1:3" x14ac:dyDescent="0.25">
      <c r="A4945">
        <v>38</v>
      </c>
      <c r="B4945" t="str">
        <f>"3:50:43.403566"</f>
        <v>3:50:43.403566</v>
      </c>
      <c r="C4945">
        <v>-63</v>
      </c>
    </row>
    <row r="4946" spans="1:3" x14ac:dyDescent="0.25">
      <c r="A4946">
        <v>39</v>
      </c>
      <c r="B4946" t="str">
        <f>"3:50:43.404263"</f>
        <v>3:50:43.404263</v>
      </c>
      <c r="C4946">
        <v>-61</v>
      </c>
    </row>
    <row r="4947" spans="1:3" x14ac:dyDescent="0.25">
      <c r="A4947">
        <v>37</v>
      </c>
      <c r="B4947" t="str">
        <f>"3:50:44.654044"</f>
        <v>3:50:44.654044</v>
      </c>
      <c r="C4947">
        <v>-73</v>
      </c>
    </row>
    <row r="4948" spans="1:3" x14ac:dyDescent="0.25">
      <c r="A4948">
        <v>38</v>
      </c>
      <c r="B4948" t="str">
        <f>"3:50:44.654741"</f>
        <v>3:50:44.654741</v>
      </c>
      <c r="C4948">
        <v>-63</v>
      </c>
    </row>
    <row r="4949" spans="1:3" x14ac:dyDescent="0.25">
      <c r="A4949">
        <v>39</v>
      </c>
      <c r="B4949" t="str">
        <f>"3:50:44.655438"</f>
        <v>3:50:44.655438</v>
      </c>
      <c r="C4949">
        <v>-61</v>
      </c>
    </row>
    <row r="4950" spans="1:3" x14ac:dyDescent="0.25">
      <c r="A4950">
        <v>37</v>
      </c>
      <c r="B4950" t="str">
        <f>"3:50:45.890262"</f>
        <v>3:50:45.890262</v>
      </c>
      <c r="C4950">
        <v>-73</v>
      </c>
    </row>
    <row r="4951" spans="1:3" x14ac:dyDescent="0.25">
      <c r="A4951">
        <v>38</v>
      </c>
      <c r="B4951" t="str">
        <f>"3:50:45.890959"</f>
        <v>3:50:45.890959</v>
      </c>
      <c r="C4951">
        <v>-63</v>
      </c>
    </row>
    <row r="4952" spans="1:3" x14ac:dyDescent="0.25">
      <c r="A4952">
        <v>39</v>
      </c>
      <c r="B4952" t="str">
        <f>"3:50:45.891656"</f>
        <v>3:50:45.891656</v>
      </c>
      <c r="C4952">
        <v>-61</v>
      </c>
    </row>
    <row r="4953" spans="1:3" x14ac:dyDescent="0.25">
      <c r="A4953">
        <v>38</v>
      </c>
      <c r="B4953" t="str">
        <f>"3:50:47.142691"</f>
        <v>3:50:47.142691</v>
      </c>
      <c r="C4953">
        <v>-62</v>
      </c>
    </row>
    <row r="4954" spans="1:3" x14ac:dyDescent="0.25">
      <c r="A4954">
        <v>39</v>
      </c>
      <c r="B4954" t="str">
        <f>"3:50:47.143388"</f>
        <v>3:50:47.143388</v>
      </c>
      <c r="C4954">
        <v>-61</v>
      </c>
    </row>
    <row r="4955" spans="1:3" x14ac:dyDescent="0.25">
      <c r="A4955">
        <v>37</v>
      </c>
      <c r="B4955" t="str">
        <f>"3:50:48.412057"</f>
        <v>3:50:48.412057</v>
      </c>
      <c r="C4955">
        <v>-73</v>
      </c>
    </row>
    <row r="4956" spans="1:3" x14ac:dyDescent="0.25">
      <c r="A4956">
        <v>38</v>
      </c>
      <c r="B4956" t="str">
        <f>"3:50:48.412754"</f>
        <v>3:50:48.412754</v>
      </c>
      <c r="C4956">
        <v>-63</v>
      </c>
    </row>
    <row r="4957" spans="1:3" x14ac:dyDescent="0.25">
      <c r="A4957">
        <v>39</v>
      </c>
      <c r="B4957" t="str">
        <f>"3:50:48.413451"</f>
        <v>3:50:48.413451</v>
      </c>
      <c r="C4957">
        <v>-61</v>
      </c>
    </row>
    <row r="4958" spans="1:3" x14ac:dyDescent="0.25">
      <c r="A4958">
        <v>37</v>
      </c>
      <c r="B4958" t="str">
        <f>"3:50:49.614835"</f>
        <v>3:50:49.614835</v>
      </c>
      <c r="C4958">
        <v>-73</v>
      </c>
    </row>
    <row r="4959" spans="1:3" x14ac:dyDescent="0.25">
      <c r="A4959">
        <v>38</v>
      </c>
      <c r="B4959" t="str">
        <f>"3:50:49.615532"</f>
        <v>3:50:49.615532</v>
      </c>
      <c r="C4959">
        <v>-63</v>
      </c>
    </row>
    <row r="4960" spans="1:3" x14ac:dyDescent="0.25">
      <c r="A4960">
        <v>39</v>
      </c>
      <c r="B4960" t="str">
        <f>"3:50:49.616229"</f>
        <v>3:50:49.616229</v>
      </c>
      <c r="C4960">
        <v>-61</v>
      </c>
    </row>
    <row r="4961" spans="1:3" x14ac:dyDescent="0.25">
      <c r="A4961">
        <v>38</v>
      </c>
      <c r="B4961" t="str">
        <f>"3:50:50.885630"</f>
        <v>3:50:50.885630</v>
      </c>
      <c r="C4961">
        <v>-63</v>
      </c>
    </row>
    <row r="4962" spans="1:3" x14ac:dyDescent="0.25">
      <c r="A4962">
        <v>39</v>
      </c>
      <c r="B4962" t="str">
        <f>"3:50:50.886327"</f>
        <v>3:50:50.886327</v>
      </c>
      <c r="C4962">
        <v>-61</v>
      </c>
    </row>
    <row r="4963" spans="1:3" x14ac:dyDescent="0.25">
      <c r="A4963">
        <v>37</v>
      </c>
      <c r="B4963" t="str">
        <f>"3:50:52.113509"</f>
        <v>3:50:52.113509</v>
      </c>
      <c r="C4963">
        <v>-73</v>
      </c>
    </row>
    <row r="4964" spans="1:3" x14ac:dyDescent="0.25">
      <c r="A4964">
        <v>38</v>
      </c>
      <c r="B4964" t="str">
        <f>"3:50:52.114206"</f>
        <v>3:50:52.114206</v>
      </c>
      <c r="C4964">
        <v>-63</v>
      </c>
    </row>
    <row r="4965" spans="1:3" x14ac:dyDescent="0.25">
      <c r="A4965">
        <v>39</v>
      </c>
      <c r="B4965" t="str">
        <f>"3:50:52.114903"</f>
        <v>3:50:52.114903</v>
      </c>
      <c r="C4965">
        <v>-61</v>
      </c>
    </row>
    <row r="4966" spans="1:3" x14ac:dyDescent="0.25">
      <c r="A4966">
        <v>37</v>
      </c>
      <c r="B4966" t="str">
        <f>"3:50:53.346587"</f>
        <v>3:50:53.346587</v>
      </c>
      <c r="C4966">
        <v>-74</v>
      </c>
    </row>
    <row r="4967" spans="1:3" x14ac:dyDescent="0.25">
      <c r="A4967">
        <v>38</v>
      </c>
      <c r="B4967" t="str">
        <f>"3:50:53.347284"</f>
        <v>3:50:53.347284</v>
      </c>
      <c r="C4967">
        <v>-63</v>
      </c>
    </row>
    <row r="4968" spans="1:3" x14ac:dyDescent="0.25">
      <c r="A4968">
        <v>39</v>
      </c>
      <c r="B4968" t="str">
        <f>"3:50:53.347981"</f>
        <v>3:50:53.347981</v>
      </c>
      <c r="C4968">
        <v>-61</v>
      </c>
    </row>
    <row r="4969" spans="1:3" x14ac:dyDescent="0.25">
      <c r="A4969">
        <v>37</v>
      </c>
      <c r="B4969" t="str">
        <f>"3:50:54.606112"</f>
        <v>3:50:54.606112</v>
      </c>
      <c r="C4969">
        <v>-73</v>
      </c>
    </row>
    <row r="4970" spans="1:3" x14ac:dyDescent="0.25">
      <c r="A4970">
        <v>38</v>
      </c>
      <c r="B4970" t="str">
        <f>"3:50:54.606809"</f>
        <v>3:50:54.606809</v>
      </c>
      <c r="C4970">
        <v>-63</v>
      </c>
    </row>
    <row r="4971" spans="1:3" x14ac:dyDescent="0.25">
      <c r="A4971">
        <v>39</v>
      </c>
      <c r="B4971" t="str">
        <f>"3:50:54.607506"</f>
        <v>3:50:54.607506</v>
      </c>
      <c r="C4971">
        <v>-61</v>
      </c>
    </row>
    <row r="4972" spans="1:3" x14ac:dyDescent="0.25">
      <c r="A4972">
        <v>37</v>
      </c>
      <c r="B4972" t="str">
        <f>"3:50:55.864928"</f>
        <v>3:50:55.864928</v>
      </c>
      <c r="C4972">
        <v>-73</v>
      </c>
    </row>
    <row r="4973" spans="1:3" x14ac:dyDescent="0.25">
      <c r="A4973">
        <v>39</v>
      </c>
      <c r="B4973" t="str">
        <f>"3:50:55.866322"</f>
        <v>3:50:55.866322</v>
      </c>
      <c r="C4973">
        <v>-61</v>
      </c>
    </row>
    <row r="4974" spans="1:3" x14ac:dyDescent="0.25">
      <c r="A4974">
        <v>37</v>
      </c>
      <c r="B4974" t="str">
        <f>"3:50:57.092036"</f>
        <v>3:50:57.092036</v>
      </c>
      <c r="C4974">
        <v>-74</v>
      </c>
    </row>
    <row r="4975" spans="1:3" x14ac:dyDescent="0.25">
      <c r="A4975">
        <v>38</v>
      </c>
      <c r="B4975" t="str">
        <f>"3:50:57.092733"</f>
        <v>3:50:57.092733</v>
      </c>
      <c r="C4975">
        <v>-63</v>
      </c>
    </row>
    <row r="4976" spans="1:3" x14ac:dyDescent="0.25">
      <c r="A4976">
        <v>39</v>
      </c>
      <c r="B4976" t="str">
        <f>"3:50:57.093430"</f>
        <v>3:50:57.093430</v>
      </c>
      <c r="C4976">
        <v>-61</v>
      </c>
    </row>
    <row r="4977" spans="1:3" x14ac:dyDescent="0.25">
      <c r="A4977">
        <v>37</v>
      </c>
      <c r="B4977" t="str">
        <f>"3:50:58.348605"</f>
        <v>3:50:58.348605</v>
      </c>
      <c r="C4977">
        <v>-73</v>
      </c>
    </row>
    <row r="4978" spans="1:3" x14ac:dyDescent="0.25">
      <c r="A4978">
        <v>38</v>
      </c>
      <c r="B4978" t="str">
        <f>"3:50:58.349302"</f>
        <v>3:50:58.349302</v>
      </c>
      <c r="C4978">
        <v>-63</v>
      </c>
    </row>
    <row r="4979" spans="1:3" x14ac:dyDescent="0.25">
      <c r="A4979">
        <v>39</v>
      </c>
      <c r="B4979" t="str">
        <f>"3:50:58.349999"</f>
        <v>3:50:58.349999</v>
      </c>
      <c r="C4979">
        <v>-61</v>
      </c>
    </row>
    <row r="4980" spans="1:3" x14ac:dyDescent="0.25">
      <c r="A4980">
        <v>37</v>
      </c>
      <c r="B4980" t="str">
        <f>"3:50:59.614133"</f>
        <v>3:50:59.614133</v>
      </c>
      <c r="C4980">
        <v>-73</v>
      </c>
    </row>
    <row r="4981" spans="1:3" x14ac:dyDescent="0.25">
      <c r="A4981">
        <v>39</v>
      </c>
      <c r="B4981" t="str">
        <f>"3:50:59.615527"</f>
        <v>3:50:59.615527</v>
      </c>
      <c r="C4981">
        <v>-61</v>
      </c>
    </row>
    <row r="4982" spans="1:3" x14ac:dyDescent="0.25">
      <c r="A4982">
        <v>38</v>
      </c>
      <c r="B4982" t="str">
        <f>"3:51:00.829488"</f>
        <v>3:51:00.829488</v>
      </c>
      <c r="C4982">
        <v>-63</v>
      </c>
    </row>
    <row r="4983" spans="1:3" x14ac:dyDescent="0.25">
      <c r="A4983">
        <v>39</v>
      </c>
      <c r="B4983" t="str">
        <f>"3:51:00.830185"</f>
        <v>3:51:00.830185</v>
      </c>
      <c r="C4983">
        <v>-61</v>
      </c>
    </row>
    <row r="4984" spans="1:3" x14ac:dyDescent="0.25">
      <c r="A4984">
        <v>37</v>
      </c>
      <c r="B4984" t="str">
        <f>"3:51:02.084973"</f>
        <v>3:51:02.084973</v>
      </c>
      <c r="C4984">
        <v>-73</v>
      </c>
    </row>
    <row r="4985" spans="1:3" x14ac:dyDescent="0.25">
      <c r="A4985">
        <v>38</v>
      </c>
      <c r="B4985" t="str">
        <f>"3:51:02.085669"</f>
        <v>3:51:02.085669</v>
      </c>
      <c r="C4985">
        <v>-63</v>
      </c>
    </row>
    <row r="4986" spans="1:3" x14ac:dyDescent="0.25">
      <c r="A4986">
        <v>39</v>
      </c>
      <c r="B4986" t="str">
        <f>"3:51:02.086367"</f>
        <v>3:51:02.086367</v>
      </c>
      <c r="C4986">
        <v>-61</v>
      </c>
    </row>
    <row r="4987" spans="1:3" x14ac:dyDescent="0.25">
      <c r="A4987">
        <v>37</v>
      </c>
      <c r="B4987" t="str">
        <f>"3:51:04.578358"</f>
        <v>3:51:04.578358</v>
      </c>
      <c r="C4987">
        <v>-73</v>
      </c>
    </row>
    <row r="4988" spans="1:3" x14ac:dyDescent="0.25">
      <c r="A4988">
        <v>38</v>
      </c>
      <c r="B4988" t="str">
        <f>"3:51:04.579055"</f>
        <v>3:51:04.579055</v>
      </c>
      <c r="C4988">
        <v>-63</v>
      </c>
    </row>
    <row r="4989" spans="1:3" x14ac:dyDescent="0.25">
      <c r="A4989">
        <v>39</v>
      </c>
      <c r="B4989" t="str">
        <f>"3:51:04.579752"</f>
        <v>3:51:04.579752</v>
      </c>
      <c r="C4989">
        <v>-61</v>
      </c>
    </row>
    <row r="4990" spans="1:3" x14ac:dyDescent="0.25">
      <c r="A4990">
        <v>37</v>
      </c>
      <c r="B4990" t="str">
        <f>"3:51:05.842415"</f>
        <v>3:51:05.842415</v>
      </c>
      <c r="C4990">
        <v>-73</v>
      </c>
    </row>
    <row r="4991" spans="1:3" x14ac:dyDescent="0.25">
      <c r="A4991">
        <v>38</v>
      </c>
      <c r="B4991" t="str">
        <f>"3:51:05.843112"</f>
        <v>3:51:05.843112</v>
      </c>
      <c r="C4991">
        <v>-64</v>
      </c>
    </row>
    <row r="4992" spans="1:3" x14ac:dyDescent="0.25">
      <c r="A4992">
        <v>39</v>
      </c>
      <c r="B4992" t="str">
        <f>"3:51:05.843809"</f>
        <v>3:51:05.843809</v>
      </c>
      <c r="C4992">
        <v>-61</v>
      </c>
    </row>
    <row r="4993" spans="1:3" x14ac:dyDescent="0.25">
      <c r="A4993">
        <v>37</v>
      </c>
      <c r="B4993" t="str">
        <f>"3:51:07.064233"</f>
        <v>3:51:07.064233</v>
      </c>
      <c r="C4993">
        <v>-73</v>
      </c>
    </row>
    <row r="4994" spans="1:3" x14ac:dyDescent="0.25">
      <c r="A4994">
        <v>38</v>
      </c>
      <c r="B4994" t="str">
        <f>"3:51:07.064930"</f>
        <v>3:51:07.064930</v>
      </c>
      <c r="C4994">
        <v>-63</v>
      </c>
    </row>
    <row r="4995" spans="1:3" x14ac:dyDescent="0.25">
      <c r="A4995">
        <v>39</v>
      </c>
      <c r="B4995" t="str">
        <f>"3:51:07.065627"</f>
        <v>3:51:07.065627</v>
      </c>
      <c r="C4995">
        <v>-61</v>
      </c>
    </row>
    <row r="4996" spans="1:3" x14ac:dyDescent="0.25">
      <c r="A4996">
        <v>37</v>
      </c>
      <c r="B4996" t="str">
        <f>"3:51:08.314782"</f>
        <v>3:51:08.314782</v>
      </c>
      <c r="C4996">
        <v>-73</v>
      </c>
    </row>
    <row r="4997" spans="1:3" x14ac:dyDescent="0.25">
      <c r="A4997">
        <v>38</v>
      </c>
      <c r="B4997" t="str">
        <f>"3:51:08.315479"</f>
        <v>3:51:08.315479</v>
      </c>
      <c r="C4997">
        <v>-63</v>
      </c>
    </row>
    <row r="4998" spans="1:3" x14ac:dyDescent="0.25">
      <c r="A4998">
        <v>39</v>
      </c>
      <c r="B4998" t="str">
        <f>"3:51:08.316176"</f>
        <v>3:51:08.316176</v>
      </c>
      <c r="C4998">
        <v>-61</v>
      </c>
    </row>
    <row r="4999" spans="1:3" x14ac:dyDescent="0.25">
      <c r="A4999">
        <v>39</v>
      </c>
      <c r="B4999" t="str">
        <f>"3:51:09.550901"</f>
        <v>3:51:09.550901</v>
      </c>
      <c r="C4999">
        <v>-61</v>
      </c>
    </row>
    <row r="5000" spans="1:3" x14ac:dyDescent="0.25">
      <c r="A5000">
        <v>37</v>
      </c>
      <c r="B5000" t="str">
        <f>"3:51:10.833727"</f>
        <v>3:51:10.833727</v>
      </c>
      <c r="C5000">
        <v>-74</v>
      </c>
    </row>
    <row r="5001" spans="1:3" x14ac:dyDescent="0.25">
      <c r="A5001">
        <v>38</v>
      </c>
      <c r="B5001" t="str">
        <f>"3:51:10.834424"</f>
        <v>3:51:10.834424</v>
      </c>
      <c r="C5001">
        <v>-63</v>
      </c>
    </row>
    <row r="5002" spans="1:3" x14ac:dyDescent="0.25">
      <c r="A5002">
        <v>39</v>
      </c>
      <c r="B5002" t="str">
        <f>"3:51:10.835121"</f>
        <v>3:51:10.835121</v>
      </c>
      <c r="C5002">
        <v>-61</v>
      </c>
    </row>
    <row r="5003" spans="1:3" x14ac:dyDescent="0.25">
      <c r="A5003">
        <v>38</v>
      </c>
      <c r="B5003" t="str">
        <f>"3:51:12.038955"</f>
        <v>3:51:12.038955</v>
      </c>
      <c r="C5003">
        <v>-63</v>
      </c>
    </row>
    <row r="5004" spans="1:3" x14ac:dyDescent="0.25">
      <c r="A5004">
        <v>39</v>
      </c>
      <c r="B5004" t="str">
        <f>"3:51:12.039652"</f>
        <v>3:51:12.039652</v>
      </c>
      <c r="C5004">
        <v>-61</v>
      </c>
    </row>
    <row r="5005" spans="1:3" x14ac:dyDescent="0.25">
      <c r="A5005">
        <v>37</v>
      </c>
      <c r="B5005" t="str">
        <f>"3:51:13.310967"</f>
        <v>3:51:13.310967</v>
      </c>
      <c r="C5005">
        <v>-73</v>
      </c>
    </row>
    <row r="5006" spans="1:3" x14ac:dyDescent="0.25">
      <c r="A5006">
        <v>38</v>
      </c>
      <c r="B5006" t="str">
        <f>"3:51:13.311664"</f>
        <v>3:51:13.311664</v>
      </c>
      <c r="C5006">
        <v>-63</v>
      </c>
    </row>
    <row r="5007" spans="1:3" x14ac:dyDescent="0.25">
      <c r="A5007">
        <v>39</v>
      </c>
      <c r="B5007" t="str">
        <f>"3:51:13.312361"</f>
        <v>3:51:13.312361</v>
      </c>
      <c r="C5007">
        <v>-61</v>
      </c>
    </row>
    <row r="5008" spans="1:3" x14ac:dyDescent="0.25">
      <c r="A5008">
        <v>37</v>
      </c>
      <c r="B5008" t="str">
        <f>"3:51:14.526280"</f>
        <v>3:51:14.526280</v>
      </c>
      <c r="C5008">
        <v>-74</v>
      </c>
    </row>
    <row r="5009" spans="1:3" x14ac:dyDescent="0.25">
      <c r="A5009">
        <v>38</v>
      </c>
      <c r="B5009" t="str">
        <f>"3:51:14.526977"</f>
        <v>3:51:14.526977</v>
      </c>
      <c r="C5009">
        <v>-63</v>
      </c>
    </row>
    <row r="5010" spans="1:3" x14ac:dyDescent="0.25">
      <c r="A5010">
        <v>39</v>
      </c>
      <c r="B5010" t="str">
        <f>"3:51:14.527674"</f>
        <v>3:51:14.527674</v>
      </c>
      <c r="C5010">
        <v>-61</v>
      </c>
    </row>
    <row r="5011" spans="1:3" x14ac:dyDescent="0.25">
      <c r="A5011">
        <v>37</v>
      </c>
      <c r="B5011" t="str">
        <f>"3:51:15.772690"</f>
        <v>3:51:15.772690</v>
      </c>
      <c r="C5011">
        <v>-73</v>
      </c>
    </row>
    <row r="5012" spans="1:3" x14ac:dyDescent="0.25">
      <c r="A5012">
        <v>38</v>
      </c>
      <c r="B5012" t="str">
        <f>"3:51:15.773387"</f>
        <v>3:51:15.773387</v>
      </c>
      <c r="C5012">
        <v>-63</v>
      </c>
    </row>
    <row r="5013" spans="1:3" x14ac:dyDescent="0.25">
      <c r="A5013">
        <v>39</v>
      </c>
      <c r="B5013" t="str">
        <f>"3:51:15.774084"</f>
        <v>3:51:15.774084</v>
      </c>
      <c r="C5013">
        <v>-61</v>
      </c>
    </row>
    <row r="5014" spans="1:3" x14ac:dyDescent="0.25">
      <c r="A5014">
        <v>37</v>
      </c>
      <c r="B5014" t="str">
        <f>"3:51:17.020955"</f>
        <v>3:51:17.020955</v>
      </c>
      <c r="C5014">
        <v>-73</v>
      </c>
    </row>
    <row r="5015" spans="1:3" x14ac:dyDescent="0.25">
      <c r="A5015">
        <v>38</v>
      </c>
      <c r="B5015" t="str">
        <f>"3:51:17.021652"</f>
        <v>3:51:17.021652</v>
      </c>
      <c r="C5015">
        <v>-63</v>
      </c>
    </row>
    <row r="5016" spans="1:3" x14ac:dyDescent="0.25">
      <c r="A5016">
        <v>39</v>
      </c>
      <c r="B5016" t="str">
        <f>"3:51:17.022349"</f>
        <v>3:51:17.022349</v>
      </c>
      <c r="C5016">
        <v>-61</v>
      </c>
    </row>
    <row r="5017" spans="1:3" x14ac:dyDescent="0.25">
      <c r="A5017">
        <v>37</v>
      </c>
      <c r="B5017" t="str">
        <f>"3:51:18.258551"</f>
        <v>3:51:18.258551</v>
      </c>
      <c r="C5017">
        <v>-73</v>
      </c>
    </row>
    <row r="5018" spans="1:3" x14ac:dyDescent="0.25">
      <c r="A5018">
        <v>38</v>
      </c>
      <c r="B5018" t="str">
        <f>"3:51:18.259248"</f>
        <v>3:51:18.259248</v>
      </c>
      <c r="C5018">
        <v>-63</v>
      </c>
    </row>
    <row r="5019" spans="1:3" x14ac:dyDescent="0.25">
      <c r="A5019">
        <v>39</v>
      </c>
      <c r="B5019" t="str">
        <f>"3:51:18.259945"</f>
        <v>3:51:18.259945</v>
      </c>
      <c r="C5019">
        <v>-61</v>
      </c>
    </row>
    <row r="5020" spans="1:3" x14ac:dyDescent="0.25">
      <c r="A5020">
        <v>37</v>
      </c>
      <c r="B5020" t="str">
        <f>"3:51:19.515971"</f>
        <v>3:51:19.515971</v>
      </c>
      <c r="C5020">
        <v>-73</v>
      </c>
    </row>
    <row r="5021" spans="1:3" x14ac:dyDescent="0.25">
      <c r="A5021">
        <v>38</v>
      </c>
      <c r="B5021" t="str">
        <f>"3:51:19.516667"</f>
        <v>3:51:19.516667</v>
      </c>
      <c r="C5021">
        <v>-63</v>
      </c>
    </row>
    <row r="5022" spans="1:3" x14ac:dyDescent="0.25">
      <c r="A5022">
        <v>39</v>
      </c>
      <c r="B5022" t="str">
        <f>"3:51:19.517365"</f>
        <v>3:51:19.517365</v>
      </c>
      <c r="C5022">
        <v>-61</v>
      </c>
    </row>
    <row r="5023" spans="1:3" x14ac:dyDescent="0.25">
      <c r="A5023">
        <v>37</v>
      </c>
      <c r="B5023" t="str">
        <f>"3:51:20.745829"</f>
        <v>3:51:20.745829</v>
      </c>
      <c r="C5023">
        <v>-73</v>
      </c>
    </row>
    <row r="5024" spans="1:3" x14ac:dyDescent="0.25">
      <c r="A5024">
        <v>38</v>
      </c>
      <c r="B5024" t="str">
        <f>"3:51:20.746526"</f>
        <v>3:51:20.746526</v>
      </c>
      <c r="C5024">
        <v>-63</v>
      </c>
    </row>
    <row r="5025" spans="1:3" x14ac:dyDescent="0.25">
      <c r="A5025">
        <v>39</v>
      </c>
      <c r="B5025" t="str">
        <f>"3:51:20.747223"</f>
        <v>3:51:20.747223</v>
      </c>
      <c r="C5025">
        <v>-61</v>
      </c>
    </row>
    <row r="5026" spans="1:3" x14ac:dyDescent="0.25">
      <c r="A5026">
        <v>38</v>
      </c>
      <c r="B5026" t="str">
        <f>"3:51:21.996866"</f>
        <v>3:51:21.996866</v>
      </c>
      <c r="C5026">
        <v>-63</v>
      </c>
    </row>
    <row r="5027" spans="1:3" x14ac:dyDescent="0.25">
      <c r="A5027">
        <v>37</v>
      </c>
      <c r="B5027" t="str">
        <f>"3:51:23.236503"</f>
        <v>3:51:23.236503</v>
      </c>
      <c r="C5027">
        <v>-73</v>
      </c>
    </row>
    <row r="5028" spans="1:3" x14ac:dyDescent="0.25">
      <c r="A5028">
        <v>38</v>
      </c>
      <c r="B5028" t="str">
        <f>"3:51:23.237200"</f>
        <v>3:51:23.237200</v>
      </c>
      <c r="C5028">
        <v>-63</v>
      </c>
    </row>
    <row r="5029" spans="1:3" x14ac:dyDescent="0.25">
      <c r="A5029">
        <v>39</v>
      </c>
      <c r="B5029" t="str">
        <f>"3:51:23.237897"</f>
        <v>3:51:23.237897</v>
      </c>
      <c r="C5029">
        <v>-61</v>
      </c>
    </row>
    <row r="5030" spans="1:3" x14ac:dyDescent="0.25">
      <c r="A5030">
        <v>37</v>
      </c>
      <c r="B5030" t="str">
        <f>"3:51:24.489049"</f>
        <v>3:51:24.489049</v>
      </c>
      <c r="C5030">
        <v>-73</v>
      </c>
    </row>
    <row r="5031" spans="1:3" x14ac:dyDescent="0.25">
      <c r="A5031">
        <v>39</v>
      </c>
      <c r="B5031" t="str">
        <f>"3:51:24.490443"</f>
        <v>3:51:24.490443</v>
      </c>
      <c r="C5031">
        <v>-61</v>
      </c>
    </row>
    <row r="5032" spans="1:3" x14ac:dyDescent="0.25">
      <c r="A5032">
        <v>38</v>
      </c>
      <c r="B5032" t="str">
        <f>"3:51:25.730059"</f>
        <v>3:51:25.730059</v>
      </c>
      <c r="C5032">
        <v>-64</v>
      </c>
    </row>
    <row r="5033" spans="1:3" x14ac:dyDescent="0.25">
      <c r="A5033">
        <v>39</v>
      </c>
      <c r="B5033" t="str">
        <f>"3:51:25.730756"</f>
        <v>3:51:25.730756</v>
      </c>
      <c r="C5033">
        <v>-61</v>
      </c>
    </row>
    <row r="5034" spans="1:3" x14ac:dyDescent="0.25">
      <c r="A5034">
        <v>38</v>
      </c>
      <c r="B5034" t="str">
        <f>"3:51:26.976702"</f>
        <v>3:51:26.976702</v>
      </c>
      <c r="C5034">
        <v>-63</v>
      </c>
    </row>
    <row r="5035" spans="1:3" x14ac:dyDescent="0.25">
      <c r="A5035">
        <v>39</v>
      </c>
      <c r="B5035" t="str">
        <f>"3:51:26.977399"</f>
        <v>3:51:26.977399</v>
      </c>
      <c r="C5035">
        <v>-61</v>
      </c>
    </row>
    <row r="5036" spans="1:3" x14ac:dyDescent="0.25">
      <c r="A5036">
        <v>37</v>
      </c>
      <c r="B5036" t="str">
        <f>"3:51:28.223723"</f>
        <v>3:51:28.223723</v>
      </c>
      <c r="C5036">
        <v>-73</v>
      </c>
    </row>
    <row r="5037" spans="1:3" x14ac:dyDescent="0.25">
      <c r="A5037">
        <v>38</v>
      </c>
      <c r="B5037" t="str">
        <f>"3:51:28.224420"</f>
        <v>3:51:28.224420</v>
      </c>
      <c r="C5037">
        <v>-63</v>
      </c>
    </row>
    <row r="5038" spans="1:3" x14ac:dyDescent="0.25">
      <c r="A5038">
        <v>39</v>
      </c>
      <c r="B5038" t="str">
        <f>"3:51:28.225118"</f>
        <v>3:51:28.225118</v>
      </c>
      <c r="C5038">
        <v>-61</v>
      </c>
    </row>
    <row r="5039" spans="1:3" x14ac:dyDescent="0.25">
      <c r="A5039">
        <v>37</v>
      </c>
      <c r="B5039" t="str">
        <f>"3:51:29.466802"</f>
        <v>3:51:29.466802</v>
      </c>
      <c r="C5039">
        <v>-73</v>
      </c>
    </row>
    <row r="5040" spans="1:3" x14ac:dyDescent="0.25">
      <c r="A5040">
        <v>38</v>
      </c>
      <c r="B5040" t="str">
        <f>"3:51:29.467499"</f>
        <v>3:51:29.467499</v>
      </c>
      <c r="C5040">
        <v>-63</v>
      </c>
    </row>
    <row r="5041" spans="1:3" x14ac:dyDescent="0.25">
      <c r="A5041">
        <v>39</v>
      </c>
      <c r="B5041" t="str">
        <f>"3:51:29.468196"</f>
        <v>3:51:29.468196</v>
      </c>
      <c r="C5041">
        <v>-61</v>
      </c>
    </row>
    <row r="5042" spans="1:3" x14ac:dyDescent="0.25">
      <c r="A5042">
        <v>38</v>
      </c>
      <c r="B5042" t="str">
        <f>"3:51:30.718959"</f>
        <v>3:51:30.718959</v>
      </c>
      <c r="C5042">
        <v>-64</v>
      </c>
    </row>
    <row r="5043" spans="1:3" x14ac:dyDescent="0.25">
      <c r="A5043">
        <v>39</v>
      </c>
      <c r="B5043" t="str">
        <f>"3:51:30.719656"</f>
        <v>3:51:30.719656</v>
      </c>
      <c r="C5043">
        <v>-61</v>
      </c>
    </row>
    <row r="5044" spans="1:3" x14ac:dyDescent="0.25">
      <c r="A5044">
        <v>38</v>
      </c>
      <c r="B5044" t="str">
        <f>"3:51:31.962173"</f>
        <v>3:51:31.962173</v>
      </c>
      <c r="C5044">
        <v>-63</v>
      </c>
    </row>
    <row r="5045" spans="1:3" x14ac:dyDescent="0.25">
      <c r="A5045">
        <v>39</v>
      </c>
      <c r="B5045" t="str">
        <f>"3:51:31.962870"</f>
        <v>3:51:31.962870</v>
      </c>
      <c r="C5045">
        <v>-61</v>
      </c>
    </row>
    <row r="5046" spans="1:3" x14ac:dyDescent="0.25">
      <c r="A5046">
        <v>37</v>
      </c>
      <c r="B5046" t="str">
        <f>"3:51:33.223409"</f>
        <v>3:51:33.223409</v>
      </c>
      <c r="C5046">
        <v>-73</v>
      </c>
    </row>
    <row r="5047" spans="1:3" x14ac:dyDescent="0.25">
      <c r="A5047">
        <v>38</v>
      </c>
      <c r="B5047" t="str">
        <f>"3:51:33.224106"</f>
        <v>3:51:33.224106</v>
      </c>
      <c r="C5047">
        <v>-63</v>
      </c>
    </row>
    <row r="5048" spans="1:3" x14ac:dyDescent="0.25">
      <c r="A5048">
        <v>39</v>
      </c>
      <c r="B5048" t="str">
        <f>"3:51:33.224803"</f>
        <v>3:51:33.224803</v>
      </c>
      <c r="C5048">
        <v>-61</v>
      </c>
    </row>
    <row r="5049" spans="1:3" x14ac:dyDescent="0.25">
      <c r="A5049">
        <v>37</v>
      </c>
      <c r="B5049" t="str">
        <f>"3:51:34.437951"</f>
        <v>3:51:34.437951</v>
      </c>
      <c r="C5049">
        <v>-74</v>
      </c>
    </row>
    <row r="5050" spans="1:3" x14ac:dyDescent="0.25">
      <c r="A5050">
        <v>38</v>
      </c>
      <c r="B5050" t="str">
        <f>"3:51:34.438648"</f>
        <v>3:51:34.438648</v>
      </c>
      <c r="C5050">
        <v>-63</v>
      </c>
    </row>
    <row r="5051" spans="1:3" x14ac:dyDescent="0.25">
      <c r="A5051">
        <v>39</v>
      </c>
      <c r="B5051" t="str">
        <f>"3:51:34.439345"</f>
        <v>3:51:34.439345</v>
      </c>
      <c r="C5051">
        <v>-61</v>
      </c>
    </row>
    <row r="5052" spans="1:3" x14ac:dyDescent="0.25">
      <c r="A5052">
        <v>37</v>
      </c>
      <c r="B5052" t="str">
        <f>"3:51:35.689240"</f>
        <v>3:51:35.689240</v>
      </c>
      <c r="C5052">
        <v>-72</v>
      </c>
    </row>
    <row r="5053" spans="1:3" x14ac:dyDescent="0.25">
      <c r="A5053">
        <v>38</v>
      </c>
      <c r="B5053" t="str">
        <f>"3:51:35.689937"</f>
        <v>3:51:35.689937</v>
      </c>
      <c r="C5053">
        <v>-62</v>
      </c>
    </row>
    <row r="5054" spans="1:3" x14ac:dyDescent="0.25">
      <c r="A5054">
        <v>39</v>
      </c>
      <c r="B5054" t="str">
        <f>"3:51:35.690634"</f>
        <v>3:51:35.690634</v>
      </c>
      <c r="C5054">
        <v>-61</v>
      </c>
    </row>
    <row r="5055" spans="1:3" x14ac:dyDescent="0.25">
      <c r="A5055">
        <v>37</v>
      </c>
      <c r="B5055" t="str">
        <f>"3:51:36.931525"</f>
        <v>3:51:36.931525</v>
      </c>
      <c r="C5055">
        <v>-73</v>
      </c>
    </row>
    <row r="5056" spans="1:3" x14ac:dyDescent="0.25">
      <c r="A5056">
        <v>38</v>
      </c>
      <c r="B5056" t="str">
        <f>"3:51:36.932222"</f>
        <v>3:51:36.932222</v>
      </c>
      <c r="C5056">
        <v>-63</v>
      </c>
    </row>
    <row r="5057" spans="1:3" x14ac:dyDescent="0.25">
      <c r="A5057">
        <v>39</v>
      </c>
      <c r="B5057" t="str">
        <f>"3:51:36.932919"</f>
        <v>3:51:36.932919</v>
      </c>
      <c r="C5057">
        <v>-61</v>
      </c>
    </row>
    <row r="5058" spans="1:3" x14ac:dyDescent="0.25">
      <c r="A5058">
        <v>37</v>
      </c>
      <c r="B5058" t="str">
        <f>"3:51:38.176051"</f>
        <v>3:51:38.176051</v>
      </c>
      <c r="C5058">
        <v>-73</v>
      </c>
    </row>
    <row r="5059" spans="1:3" x14ac:dyDescent="0.25">
      <c r="A5059">
        <v>38</v>
      </c>
      <c r="B5059" t="str">
        <f>"3:51:38.176748"</f>
        <v>3:51:38.176748</v>
      </c>
      <c r="C5059">
        <v>-62</v>
      </c>
    </row>
    <row r="5060" spans="1:3" x14ac:dyDescent="0.25">
      <c r="A5060">
        <v>39</v>
      </c>
      <c r="B5060" t="str">
        <f>"3:51:38.177445"</f>
        <v>3:51:38.177445</v>
      </c>
      <c r="C5060">
        <v>-61</v>
      </c>
    </row>
    <row r="5061" spans="1:3" x14ac:dyDescent="0.25">
      <c r="A5061">
        <v>37</v>
      </c>
      <c r="B5061" t="str">
        <f>"3:51:39.420726"</f>
        <v>3:51:39.420726</v>
      </c>
      <c r="C5061">
        <v>-72</v>
      </c>
    </row>
    <row r="5062" spans="1:3" x14ac:dyDescent="0.25">
      <c r="A5062">
        <v>38</v>
      </c>
      <c r="B5062" t="str">
        <f>"3:51:39.421423"</f>
        <v>3:51:39.421423</v>
      </c>
      <c r="C5062">
        <v>-63</v>
      </c>
    </row>
    <row r="5063" spans="1:3" x14ac:dyDescent="0.25">
      <c r="A5063">
        <v>39</v>
      </c>
      <c r="B5063" t="str">
        <f>"3:51:39.422120"</f>
        <v>3:51:39.422120</v>
      </c>
      <c r="C5063">
        <v>-61</v>
      </c>
    </row>
    <row r="5064" spans="1:3" x14ac:dyDescent="0.25">
      <c r="A5064">
        <v>37</v>
      </c>
      <c r="B5064" t="str">
        <f>"3:51:40.679094"</f>
        <v>3:51:40.679094</v>
      </c>
      <c r="C5064">
        <v>-73</v>
      </c>
    </row>
    <row r="5065" spans="1:3" x14ac:dyDescent="0.25">
      <c r="A5065">
        <v>38</v>
      </c>
      <c r="B5065" t="str">
        <f>"3:51:40.679791"</f>
        <v>3:51:40.679791</v>
      </c>
      <c r="C5065">
        <v>-64</v>
      </c>
    </row>
    <row r="5066" spans="1:3" x14ac:dyDescent="0.25">
      <c r="A5066">
        <v>39</v>
      </c>
      <c r="B5066" t="str">
        <f>"3:51:40.680488"</f>
        <v>3:51:40.680488</v>
      </c>
      <c r="C5066">
        <v>-61</v>
      </c>
    </row>
    <row r="5067" spans="1:3" x14ac:dyDescent="0.25">
      <c r="A5067">
        <v>39</v>
      </c>
      <c r="B5067" t="str">
        <f>"3:51:41.914297"</f>
        <v>3:51:41.914297</v>
      </c>
      <c r="C5067">
        <v>-61</v>
      </c>
    </row>
    <row r="5068" spans="1:3" x14ac:dyDescent="0.25">
      <c r="A5068">
        <v>38</v>
      </c>
      <c r="B5068" t="str">
        <f>"3:51:43.185591"</f>
        <v>3:51:43.185591</v>
      </c>
      <c r="C5068">
        <v>-63</v>
      </c>
    </row>
    <row r="5069" spans="1:3" x14ac:dyDescent="0.25">
      <c r="A5069">
        <v>39</v>
      </c>
      <c r="B5069" t="str">
        <f>"3:51:43.186288"</f>
        <v>3:51:43.186288</v>
      </c>
      <c r="C5069">
        <v>-61</v>
      </c>
    </row>
    <row r="5070" spans="1:3" x14ac:dyDescent="0.25">
      <c r="A5070">
        <v>37</v>
      </c>
      <c r="B5070" t="str">
        <f>"3:51:44.399699"</f>
        <v>3:51:44.399699</v>
      </c>
      <c r="C5070">
        <v>-73</v>
      </c>
    </row>
    <row r="5071" spans="1:3" x14ac:dyDescent="0.25">
      <c r="A5071">
        <v>38</v>
      </c>
      <c r="B5071" t="str">
        <f>"3:51:44.400396"</f>
        <v>3:51:44.400396</v>
      </c>
      <c r="C5071">
        <v>-63</v>
      </c>
    </row>
    <row r="5072" spans="1:3" x14ac:dyDescent="0.25">
      <c r="A5072">
        <v>39</v>
      </c>
      <c r="B5072" t="str">
        <f>"3:51:44.401093"</f>
        <v>3:51:44.401093</v>
      </c>
      <c r="C5072">
        <v>-61</v>
      </c>
    </row>
    <row r="5073" spans="1:3" x14ac:dyDescent="0.25">
      <c r="A5073">
        <v>38</v>
      </c>
      <c r="B5073" t="str">
        <f>"3:51:45.641471"</f>
        <v>3:51:45.641471</v>
      </c>
      <c r="C5073">
        <v>-63</v>
      </c>
    </row>
    <row r="5074" spans="1:3" x14ac:dyDescent="0.25">
      <c r="A5074">
        <v>39</v>
      </c>
      <c r="B5074" t="str">
        <f>"3:51:45.642168"</f>
        <v>3:51:45.642168</v>
      </c>
      <c r="C5074">
        <v>-61</v>
      </c>
    </row>
    <row r="5075" spans="1:3" x14ac:dyDescent="0.25">
      <c r="A5075">
        <v>37</v>
      </c>
      <c r="B5075" t="str">
        <f>"3:51:46.886300"</f>
        <v>3:51:46.886300</v>
      </c>
      <c r="C5075">
        <v>-73</v>
      </c>
    </row>
    <row r="5076" spans="1:3" x14ac:dyDescent="0.25">
      <c r="A5076">
        <v>38</v>
      </c>
      <c r="B5076" t="str">
        <f>"3:51:46.886997"</f>
        <v>3:51:46.886997</v>
      </c>
      <c r="C5076">
        <v>-63</v>
      </c>
    </row>
    <row r="5077" spans="1:3" x14ac:dyDescent="0.25">
      <c r="A5077">
        <v>39</v>
      </c>
      <c r="B5077" t="str">
        <f>"3:51:46.887694"</f>
        <v>3:51:46.887694</v>
      </c>
      <c r="C5077">
        <v>-61</v>
      </c>
    </row>
    <row r="5078" spans="1:3" x14ac:dyDescent="0.25">
      <c r="A5078">
        <v>37</v>
      </c>
      <c r="B5078" t="str">
        <f>"3:51:48.137975"</f>
        <v>3:51:48.137975</v>
      </c>
      <c r="C5078">
        <v>-73</v>
      </c>
    </row>
    <row r="5079" spans="1:3" x14ac:dyDescent="0.25">
      <c r="A5079">
        <v>38</v>
      </c>
      <c r="B5079" t="str">
        <f>"3:51:48.138672"</f>
        <v>3:51:48.138672</v>
      </c>
      <c r="C5079">
        <v>-63</v>
      </c>
    </row>
    <row r="5080" spans="1:3" x14ac:dyDescent="0.25">
      <c r="A5080">
        <v>39</v>
      </c>
      <c r="B5080" t="str">
        <f>"3:51:48.139369"</f>
        <v>3:51:48.139369</v>
      </c>
      <c r="C5080">
        <v>-61</v>
      </c>
    </row>
    <row r="5081" spans="1:3" x14ac:dyDescent="0.25">
      <c r="A5081">
        <v>37</v>
      </c>
      <c r="B5081" t="str">
        <f>"3:51:49.383100"</f>
        <v>3:51:49.383100</v>
      </c>
      <c r="C5081">
        <v>-74</v>
      </c>
    </row>
    <row r="5082" spans="1:3" x14ac:dyDescent="0.25">
      <c r="A5082">
        <v>38</v>
      </c>
      <c r="B5082" t="str">
        <f>"3:51:49.383797"</f>
        <v>3:51:49.383797</v>
      </c>
      <c r="C5082">
        <v>-63</v>
      </c>
    </row>
    <row r="5083" spans="1:3" x14ac:dyDescent="0.25">
      <c r="A5083">
        <v>39</v>
      </c>
      <c r="B5083" t="str">
        <f>"3:51:49.384494"</f>
        <v>3:51:49.384494</v>
      </c>
      <c r="C5083">
        <v>-61</v>
      </c>
    </row>
    <row r="5084" spans="1:3" x14ac:dyDescent="0.25">
      <c r="A5084">
        <v>37</v>
      </c>
      <c r="B5084" t="str">
        <f>"3:51:50.626425"</f>
        <v>3:51:50.626425</v>
      </c>
      <c r="C5084">
        <v>-74</v>
      </c>
    </row>
    <row r="5085" spans="1:3" x14ac:dyDescent="0.25">
      <c r="A5085">
        <v>38</v>
      </c>
      <c r="B5085" t="str">
        <f>"3:51:50.627122"</f>
        <v>3:51:50.627122</v>
      </c>
      <c r="C5085">
        <v>-63</v>
      </c>
    </row>
    <row r="5086" spans="1:3" x14ac:dyDescent="0.25">
      <c r="A5086">
        <v>39</v>
      </c>
      <c r="B5086" t="str">
        <f>"3:51:50.627819"</f>
        <v>3:51:50.627819</v>
      </c>
      <c r="C5086">
        <v>-61</v>
      </c>
    </row>
    <row r="5087" spans="1:3" x14ac:dyDescent="0.25">
      <c r="A5087">
        <v>37</v>
      </c>
      <c r="B5087" t="str">
        <f>"3:51:51.881293"</f>
        <v>3:51:51.881293</v>
      </c>
      <c r="C5087">
        <v>-73</v>
      </c>
    </row>
    <row r="5088" spans="1:3" x14ac:dyDescent="0.25">
      <c r="A5088">
        <v>38</v>
      </c>
      <c r="B5088" t="str">
        <f>"3:51:51.881990"</f>
        <v>3:51:51.881990</v>
      </c>
      <c r="C5088">
        <v>-63</v>
      </c>
    </row>
    <row r="5089" spans="1:3" x14ac:dyDescent="0.25">
      <c r="A5089">
        <v>39</v>
      </c>
      <c r="B5089" t="str">
        <f>"3:51:51.882687"</f>
        <v>3:51:51.882687</v>
      </c>
      <c r="C5089">
        <v>-61</v>
      </c>
    </row>
    <row r="5090" spans="1:3" x14ac:dyDescent="0.25">
      <c r="A5090">
        <v>37</v>
      </c>
      <c r="B5090" t="str">
        <f>"3:51:53.126723"</f>
        <v>3:51:53.126723</v>
      </c>
      <c r="C5090">
        <v>-73</v>
      </c>
    </row>
    <row r="5091" spans="1:3" x14ac:dyDescent="0.25">
      <c r="A5091">
        <v>38</v>
      </c>
      <c r="B5091" t="str">
        <f>"3:51:53.127420"</f>
        <v>3:51:53.127420</v>
      </c>
      <c r="C5091">
        <v>-63</v>
      </c>
    </row>
    <row r="5092" spans="1:3" x14ac:dyDescent="0.25">
      <c r="A5092">
        <v>39</v>
      </c>
      <c r="B5092" t="str">
        <f>"3:51:53.128117"</f>
        <v>3:51:53.128117</v>
      </c>
      <c r="C5092">
        <v>-61</v>
      </c>
    </row>
    <row r="5093" spans="1:3" x14ac:dyDescent="0.25">
      <c r="A5093">
        <v>37</v>
      </c>
      <c r="B5093" t="str">
        <f>"3:51:54.360627"</f>
        <v>3:51:54.360627</v>
      </c>
      <c r="C5093">
        <v>-73</v>
      </c>
    </row>
    <row r="5094" spans="1:3" x14ac:dyDescent="0.25">
      <c r="A5094">
        <v>38</v>
      </c>
      <c r="B5094" t="str">
        <f>"3:51:54.361324"</f>
        <v>3:51:54.361324</v>
      </c>
      <c r="C5094">
        <v>-63</v>
      </c>
    </row>
    <row r="5095" spans="1:3" x14ac:dyDescent="0.25">
      <c r="A5095">
        <v>39</v>
      </c>
      <c r="B5095" t="str">
        <f>"3:51:54.362021"</f>
        <v>3:51:54.362021</v>
      </c>
      <c r="C5095">
        <v>-61</v>
      </c>
    </row>
    <row r="5096" spans="1:3" x14ac:dyDescent="0.25">
      <c r="A5096">
        <v>37</v>
      </c>
      <c r="B5096" t="str">
        <f>"3:51:55.590702"</f>
        <v>3:51:55.590702</v>
      </c>
      <c r="C5096">
        <v>-73</v>
      </c>
    </row>
    <row r="5097" spans="1:3" x14ac:dyDescent="0.25">
      <c r="A5097">
        <v>38</v>
      </c>
      <c r="B5097" t="str">
        <f>"3:51:55.591399"</f>
        <v>3:51:55.591399</v>
      </c>
      <c r="C5097">
        <v>-63</v>
      </c>
    </row>
    <row r="5098" spans="1:3" x14ac:dyDescent="0.25">
      <c r="A5098">
        <v>39</v>
      </c>
      <c r="B5098" t="str">
        <f>"3:51:55.592096"</f>
        <v>3:51:55.592096</v>
      </c>
      <c r="C5098">
        <v>-61</v>
      </c>
    </row>
    <row r="5099" spans="1:3" x14ac:dyDescent="0.25">
      <c r="A5099">
        <v>37</v>
      </c>
      <c r="B5099" t="str">
        <f>"3:51:56.848878"</f>
        <v>3:51:56.848878</v>
      </c>
      <c r="C5099">
        <v>-73</v>
      </c>
    </row>
    <row r="5100" spans="1:3" x14ac:dyDescent="0.25">
      <c r="A5100">
        <v>38</v>
      </c>
      <c r="B5100" t="str">
        <f>"3:51:56.849575"</f>
        <v>3:51:56.849575</v>
      </c>
      <c r="C5100">
        <v>-63</v>
      </c>
    </row>
    <row r="5101" spans="1:3" x14ac:dyDescent="0.25">
      <c r="A5101">
        <v>39</v>
      </c>
      <c r="B5101" t="str">
        <f>"3:51:56.850272"</f>
        <v>3:51:56.850272</v>
      </c>
      <c r="C5101">
        <v>-61</v>
      </c>
    </row>
    <row r="5102" spans="1:3" x14ac:dyDescent="0.25">
      <c r="A5102">
        <v>38</v>
      </c>
      <c r="B5102" t="str">
        <f>"3:51:58.097810"</f>
        <v>3:51:58.097810</v>
      </c>
      <c r="C5102">
        <v>-63</v>
      </c>
    </row>
    <row r="5103" spans="1:3" x14ac:dyDescent="0.25">
      <c r="A5103">
        <v>39</v>
      </c>
      <c r="B5103" t="str">
        <f>"3:51:58.098507"</f>
        <v>3:51:58.098507</v>
      </c>
      <c r="C5103">
        <v>-61</v>
      </c>
    </row>
    <row r="5104" spans="1:3" x14ac:dyDescent="0.25">
      <c r="A5104">
        <v>37</v>
      </c>
      <c r="B5104" t="str">
        <f>"3:51:59.333430"</f>
        <v>3:51:59.333430</v>
      </c>
      <c r="C5104">
        <v>-73</v>
      </c>
    </row>
    <row r="5105" spans="1:3" x14ac:dyDescent="0.25">
      <c r="A5105">
        <v>38</v>
      </c>
      <c r="B5105" t="str">
        <f>"3:51:59.334127"</f>
        <v>3:51:59.334127</v>
      </c>
      <c r="C5105">
        <v>-63</v>
      </c>
    </row>
    <row r="5106" spans="1:3" x14ac:dyDescent="0.25">
      <c r="A5106">
        <v>39</v>
      </c>
      <c r="B5106" t="str">
        <f>"3:51:59.334824"</f>
        <v>3:51:59.334824</v>
      </c>
      <c r="C5106">
        <v>-61</v>
      </c>
    </row>
    <row r="5107" spans="1:3" x14ac:dyDescent="0.25">
      <c r="A5107">
        <v>37</v>
      </c>
      <c r="B5107" t="str">
        <f>"3:52:00.582384"</f>
        <v>3:52:00.582384</v>
      </c>
      <c r="C5107">
        <v>-73</v>
      </c>
    </row>
    <row r="5108" spans="1:3" x14ac:dyDescent="0.25">
      <c r="A5108">
        <v>38</v>
      </c>
      <c r="B5108" t="str">
        <f>"3:52:00.583081"</f>
        <v>3:52:00.583081</v>
      </c>
      <c r="C5108">
        <v>-63</v>
      </c>
    </row>
    <row r="5109" spans="1:3" x14ac:dyDescent="0.25">
      <c r="A5109">
        <v>39</v>
      </c>
      <c r="B5109" t="str">
        <f>"3:52:00.583778"</f>
        <v>3:52:00.583778</v>
      </c>
      <c r="C5109">
        <v>-61</v>
      </c>
    </row>
    <row r="5110" spans="1:3" x14ac:dyDescent="0.25">
      <c r="A5110">
        <v>37</v>
      </c>
      <c r="B5110" t="str">
        <f>"3:52:01.825905"</f>
        <v>3:52:01.825905</v>
      </c>
      <c r="C5110">
        <v>-73</v>
      </c>
    </row>
    <row r="5111" spans="1:3" x14ac:dyDescent="0.25">
      <c r="A5111">
        <v>38</v>
      </c>
      <c r="B5111" t="str">
        <f>"3:52:01.826602"</f>
        <v>3:52:01.826602</v>
      </c>
      <c r="C5111">
        <v>-63</v>
      </c>
    </row>
    <row r="5112" spans="1:3" x14ac:dyDescent="0.25">
      <c r="A5112">
        <v>39</v>
      </c>
      <c r="B5112" t="str">
        <f>"3:52:01.827299"</f>
        <v>3:52:01.827299</v>
      </c>
      <c r="C5112">
        <v>-61</v>
      </c>
    </row>
    <row r="5113" spans="1:3" x14ac:dyDescent="0.25">
      <c r="A5113">
        <v>38</v>
      </c>
      <c r="B5113" t="str">
        <f>"3:52:03.073258"</f>
        <v>3:52:03.073258</v>
      </c>
      <c r="C5113">
        <v>-60</v>
      </c>
    </row>
    <row r="5114" spans="1:3" x14ac:dyDescent="0.25">
      <c r="A5114">
        <v>39</v>
      </c>
      <c r="B5114" t="str">
        <f>"3:52:03.073955"</f>
        <v>3:52:03.073955</v>
      </c>
      <c r="C5114">
        <v>-63</v>
      </c>
    </row>
    <row r="5115" spans="1:3" x14ac:dyDescent="0.25">
      <c r="A5115">
        <v>37</v>
      </c>
      <c r="B5115" t="str">
        <f>"3:52:04.321979"</f>
        <v>3:52:04.321979</v>
      </c>
      <c r="C5115">
        <v>-73</v>
      </c>
    </row>
    <row r="5116" spans="1:3" x14ac:dyDescent="0.25">
      <c r="A5116">
        <v>38</v>
      </c>
      <c r="B5116" t="str">
        <f>"3:52:04.322676"</f>
        <v>3:52:04.322676</v>
      </c>
      <c r="C5116">
        <v>-63</v>
      </c>
    </row>
    <row r="5117" spans="1:3" x14ac:dyDescent="0.25">
      <c r="A5117">
        <v>39</v>
      </c>
      <c r="B5117" t="str">
        <f>"3:52:04.323373"</f>
        <v>3:52:04.323373</v>
      </c>
      <c r="C5117">
        <v>-61</v>
      </c>
    </row>
    <row r="5118" spans="1:3" x14ac:dyDescent="0.25">
      <c r="A5118">
        <v>37</v>
      </c>
      <c r="B5118" t="str">
        <f>"3:52:05.562646"</f>
        <v>3:52:05.562646</v>
      </c>
      <c r="C5118">
        <v>-73</v>
      </c>
    </row>
    <row r="5119" spans="1:3" x14ac:dyDescent="0.25">
      <c r="A5119">
        <v>37</v>
      </c>
      <c r="B5119" t="str">
        <f>"3:52:05.563148"</f>
        <v>3:52:05.563148</v>
      </c>
      <c r="C5119">
        <v>-64</v>
      </c>
    </row>
    <row r="5120" spans="1:3" x14ac:dyDescent="0.25">
      <c r="A5120">
        <v>37</v>
      </c>
      <c r="B5120" t="str">
        <f>"3:52:05.563474"</f>
        <v>3:52:05.563474</v>
      </c>
      <c r="C5120">
        <v>-74</v>
      </c>
    </row>
    <row r="5121" spans="1:3" x14ac:dyDescent="0.25">
      <c r="A5121">
        <v>38</v>
      </c>
      <c r="B5121" t="str">
        <f>"3:52:05.563744"</f>
        <v>3:52:05.563744</v>
      </c>
      <c r="C5121">
        <v>-63</v>
      </c>
    </row>
    <row r="5122" spans="1:3" x14ac:dyDescent="0.25">
      <c r="A5122">
        <v>39</v>
      </c>
      <c r="B5122" t="str">
        <f>"3:52:05.564441"</f>
        <v>3:52:05.564441</v>
      </c>
      <c r="C5122">
        <v>-61</v>
      </c>
    </row>
    <row r="5123" spans="1:3" x14ac:dyDescent="0.25">
      <c r="A5123">
        <v>37</v>
      </c>
      <c r="B5123" t="str">
        <f>"3:52:06.809031"</f>
        <v>3:52:06.809031</v>
      </c>
      <c r="C5123">
        <v>-73</v>
      </c>
    </row>
    <row r="5124" spans="1:3" x14ac:dyDescent="0.25">
      <c r="A5124">
        <v>38</v>
      </c>
      <c r="B5124" t="str">
        <f>"3:52:06.809728"</f>
        <v>3:52:06.809728</v>
      </c>
      <c r="C5124">
        <v>-63</v>
      </c>
    </row>
    <row r="5125" spans="1:3" x14ac:dyDescent="0.25">
      <c r="A5125">
        <v>39</v>
      </c>
      <c r="B5125" t="str">
        <f>"3:52:06.810425"</f>
        <v>3:52:06.810425</v>
      </c>
      <c r="C5125">
        <v>-61</v>
      </c>
    </row>
    <row r="5126" spans="1:3" x14ac:dyDescent="0.25">
      <c r="A5126">
        <v>37</v>
      </c>
      <c r="B5126" t="str">
        <f>"3:52:08.074583"</f>
        <v>3:52:08.074583</v>
      </c>
      <c r="C5126">
        <v>-74</v>
      </c>
    </row>
    <row r="5127" spans="1:3" x14ac:dyDescent="0.25">
      <c r="A5127">
        <v>38</v>
      </c>
      <c r="B5127" t="str">
        <f>"3:52:08.075280"</f>
        <v>3:52:08.075280</v>
      </c>
      <c r="C5127">
        <v>-63</v>
      </c>
    </row>
    <row r="5128" spans="1:3" x14ac:dyDescent="0.25">
      <c r="A5128">
        <v>39</v>
      </c>
      <c r="B5128" t="str">
        <f>"3:52:08.075977"</f>
        <v>3:52:08.075977</v>
      </c>
      <c r="C5128">
        <v>-61</v>
      </c>
    </row>
    <row r="5129" spans="1:3" x14ac:dyDescent="0.25">
      <c r="A5129">
        <v>37</v>
      </c>
      <c r="B5129" t="str">
        <f>"3:52:09.303804"</f>
        <v>3:52:09.303804</v>
      </c>
      <c r="C5129">
        <v>-73</v>
      </c>
    </row>
    <row r="5130" spans="1:3" x14ac:dyDescent="0.25">
      <c r="A5130">
        <v>38</v>
      </c>
      <c r="B5130" t="str">
        <f>"3:52:09.304501"</f>
        <v>3:52:09.304501</v>
      </c>
      <c r="C5130">
        <v>-63</v>
      </c>
    </row>
    <row r="5131" spans="1:3" x14ac:dyDescent="0.25">
      <c r="A5131">
        <v>39</v>
      </c>
      <c r="B5131" t="str">
        <f>"3:52:09.305198"</f>
        <v>3:52:09.305198</v>
      </c>
      <c r="C5131">
        <v>-61</v>
      </c>
    </row>
    <row r="5132" spans="1:3" x14ac:dyDescent="0.25">
      <c r="A5132">
        <v>37</v>
      </c>
      <c r="B5132" t="str">
        <f>"3:52:10.577280"</f>
        <v>3:52:10.577280</v>
      </c>
      <c r="C5132">
        <v>-74</v>
      </c>
    </row>
    <row r="5133" spans="1:3" x14ac:dyDescent="0.25">
      <c r="A5133">
        <v>38</v>
      </c>
      <c r="B5133" t="str">
        <f>"3:52:10.577976"</f>
        <v>3:52:10.577976</v>
      </c>
      <c r="C5133">
        <v>-63</v>
      </c>
    </row>
    <row r="5134" spans="1:3" x14ac:dyDescent="0.25">
      <c r="A5134">
        <v>39</v>
      </c>
      <c r="B5134" t="str">
        <f>"3:52:10.578674"</f>
        <v>3:52:10.578674</v>
      </c>
      <c r="C5134">
        <v>-61</v>
      </c>
    </row>
    <row r="5135" spans="1:3" x14ac:dyDescent="0.25">
      <c r="A5135">
        <v>37</v>
      </c>
      <c r="B5135" t="str">
        <f>"3:52:11.788342"</f>
        <v>3:52:11.788342</v>
      </c>
      <c r="C5135">
        <v>-73</v>
      </c>
    </row>
    <row r="5136" spans="1:3" x14ac:dyDescent="0.25">
      <c r="A5136">
        <v>38</v>
      </c>
      <c r="B5136" t="str">
        <f>"3:52:11.789039"</f>
        <v>3:52:11.789039</v>
      </c>
      <c r="C5136">
        <v>-63</v>
      </c>
    </row>
    <row r="5137" spans="1:3" x14ac:dyDescent="0.25">
      <c r="A5137">
        <v>39</v>
      </c>
      <c r="B5137" t="str">
        <f>"3:52:11.789736"</f>
        <v>3:52:11.789736</v>
      </c>
      <c r="C5137">
        <v>-61</v>
      </c>
    </row>
    <row r="5138" spans="1:3" x14ac:dyDescent="0.25">
      <c r="A5138">
        <v>39</v>
      </c>
      <c r="B5138" t="str">
        <f>"3:52:11.790239"</f>
        <v>3:52:11.790239</v>
      </c>
      <c r="C5138">
        <v>-67</v>
      </c>
    </row>
    <row r="5139" spans="1:3" x14ac:dyDescent="0.25">
      <c r="A5139">
        <v>39</v>
      </c>
      <c r="B5139" t="str">
        <f>"3:52:11.790565"</f>
        <v>3:52:11.790565</v>
      </c>
      <c r="C5139">
        <v>-60</v>
      </c>
    </row>
    <row r="5140" spans="1:3" x14ac:dyDescent="0.25">
      <c r="A5140">
        <v>37</v>
      </c>
      <c r="B5140" t="str">
        <f>"3:52:13.053015"</f>
        <v>3:52:13.053015</v>
      </c>
      <c r="C5140">
        <v>-73</v>
      </c>
    </row>
    <row r="5141" spans="1:3" x14ac:dyDescent="0.25">
      <c r="A5141">
        <v>38</v>
      </c>
      <c r="B5141" t="str">
        <f>"3:52:13.053712"</f>
        <v>3:52:13.053712</v>
      </c>
      <c r="C5141">
        <v>-63</v>
      </c>
    </row>
    <row r="5142" spans="1:3" x14ac:dyDescent="0.25">
      <c r="A5142">
        <v>39</v>
      </c>
      <c r="B5142" t="str">
        <f>"3:52:13.054409"</f>
        <v>3:52:13.054409</v>
      </c>
      <c r="C5142">
        <v>-61</v>
      </c>
    </row>
    <row r="5143" spans="1:3" x14ac:dyDescent="0.25">
      <c r="A5143">
        <v>37</v>
      </c>
      <c r="B5143" t="str">
        <f>"3:52:14.288053"</f>
        <v>3:52:14.288053</v>
      </c>
      <c r="C5143">
        <v>-74</v>
      </c>
    </row>
    <row r="5144" spans="1:3" x14ac:dyDescent="0.25">
      <c r="A5144">
        <v>38</v>
      </c>
      <c r="B5144" t="str">
        <f>"3:52:14.288750"</f>
        <v>3:52:14.288750</v>
      </c>
      <c r="C5144">
        <v>-63</v>
      </c>
    </row>
    <row r="5145" spans="1:3" x14ac:dyDescent="0.25">
      <c r="A5145">
        <v>39</v>
      </c>
      <c r="B5145" t="str">
        <f>"3:52:14.289447"</f>
        <v>3:52:14.289447</v>
      </c>
      <c r="C5145">
        <v>-61</v>
      </c>
    </row>
    <row r="5146" spans="1:3" x14ac:dyDescent="0.25">
      <c r="A5146">
        <v>37</v>
      </c>
      <c r="B5146" t="str">
        <f>"3:52:15.524178"</f>
        <v>3:52:15.524178</v>
      </c>
      <c r="C5146">
        <v>-73</v>
      </c>
    </row>
    <row r="5147" spans="1:3" x14ac:dyDescent="0.25">
      <c r="A5147">
        <v>38</v>
      </c>
      <c r="B5147" t="str">
        <f>"3:52:15.524874"</f>
        <v>3:52:15.524874</v>
      </c>
      <c r="C5147">
        <v>-63</v>
      </c>
    </row>
    <row r="5148" spans="1:3" x14ac:dyDescent="0.25">
      <c r="A5148">
        <v>39</v>
      </c>
      <c r="B5148" t="str">
        <f>"3:52:15.525572"</f>
        <v>3:52:15.525572</v>
      </c>
      <c r="C5148">
        <v>-61</v>
      </c>
    </row>
    <row r="5149" spans="1:3" x14ac:dyDescent="0.25">
      <c r="A5149">
        <v>37</v>
      </c>
      <c r="B5149" t="str">
        <f>"3:52:16.762406"</f>
        <v>3:52:16.762406</v>
      </c>
      <c r="C5149">
        <v>-73</v>
      </c>
    </row>
    <row r="5150" spans="1:3" x14ac:dyDescent="0.25">
      <c r="A5150">
        <v>38</v>
      </c>
      <c r="B5150" t="str">
        <f>"3:52:16.763103"</f>
        <v>3:52:16.763103</v>
      </c>
      <c r="C5150">
        <v>-63</v>
      </c>
    </row>
    <row r="5151" spans="1:3" x14ac:dyDescent="0.25">
      <c r="A5151">
        <v>39</v>
      </c>
      <c r="B5151" t="str">
        <f>"3:52:16.763800"</f>
        <v>3:52:16.763800</v>
      </c>
      <c r="C5151">
        <v>-61</v>
      </c>
    </row>
    <row r="5152" spans="1:3" x14ac:dyDescent="0.25">
      <c r="A5152">
        <v>37</v>
      </c>
      <c r="B5152" t="str">
        <f>"3:52:18.033921"</f>
        <v>3:52:18.033921</v>
      </c>
      <c r="C5152">
        <v>-74</v>
      </c>
    </row>
    <row r="5153" spans="1:3" x14ac:dyDescent="0.25">
      <c r="A5153">
        <v>38</v>
      </c>
      <c r="B5153" t="str">
        <f>"3:52:18.034618"</f>
        <v>3:52:18.034618</v>
      </c>
      <c r="C5153">
        <v>-63</v>
      </c>
    </row>
    <row r="5154" spans="1:3" x14ac:dyDescent="0.25">
      <c r="A5154">
        <v>38</v>
      </c>
      <c r="B5154" t="str">
        <f>"3:52:18.035121"</f>
        <v>3:52:18.035121</v>
      </c>
      <c r="C5154">
        <v>-64</v>
      </c>
    </row>
    <row r="5155" spans="1:3" x14ac:dyDescent="0.25">
      <c r="A5155">
        <v>38</v>
      </c>
      <c r="B5155" t="str">
        <f>"3:52:18.035446"</f>
        <v>3:52:18.035446</v>
      </c>
      <c r="C5155">
        <v>-63</v>
      </c>
    </row>
    <row r="5156" spans="1:3" x14ac:dyDescent="0.25">
      <c r="A5156">
        <v>39</v>
      </c>
      <c r="B5156" t="str">
        <f>"3:52:18.035717"</f>
        <v>3:52:18.035717</v>
      </c>
      <c r="C5156">
        <v>-61</v>
      </c>
    </row>
    <row r="5157" spans="1:3" x14ac:dyDescent="0.25">
      <c r="A5157">
        <v>37</v>
      </c>
      <c r="B5157" t="str">
        <f>"3:52:19.263530"</f>
        <v>3:52:19.263530</v>
      </c>
      <c r="C5157">
        <v>-73</v>
      </c>
    </row>
    <row r="5158" spans="1:3" x14ac:dyDescent="0.25">
      <c r="A5158">
        <v>38</v>
      </c>
      <c r="B5158" t="str">
        <f>"3:52:19.264227"</f>
        <v>3:52:19.264227</v>
      </c>
      <c r="C5158">
        <v>-63</v>
      </c>
    </row>
    <row r="5159" spans="1:3" x14ac:dyDescent="0.25">
      <c r="A5159">
        <v>39</v>
      </c>
      <c r="B5159" t="str">
        <f>"3:52:19.264924"</f>
        <v>3:52:19.264924</v>
      </c>
      <c r="C5159">
        <v>-61</v>
      </c>
    </row>
    <row r="5160" spans="1:3" x14ac:dyDescent="0.25">
      <c r="A5160">
        <v>37</v>
      </c>
      <c r="B5160" t="str">
        <f>"3:52:20.494836"</f>
        <v>3:52:20.494836</v>
      </c>
      <c r="C5160">
        <v>-72</v>
      </c>
    </row>
    <row r="5161" spans="1:3" x14ac:dyDescent="0.25">
      <c r="A5161">
        <v>38</v>
      </c>
      <c r="B5161" t="str">
        <f>"3:52:20.495533"</f>
        <v>3:52:20.495533</v>
      </c>
      <c r="C5161">
        <v>-63</v>
      </c>
    </row>
    <row r="5162" spans="1:3" x14ac:dyDescent="0.25">
      <c r="A5162">
        <v>39</v>
      </c>
      <c r="B5162" t="str">
        <f>"3:52:20.496230"</f>
        <v>3:52:20.496230</v>
      </c>
      <c r="C5162">
        <v>-61</v>
      </c>
    </row>
    <row r="5163" spans="1:3" x14ac:dyDescent="0.25">
      <c r="A5163">
        <v>38</v>
      </c>
      <c r="B5163" t="str">
        <f>"3:52:21.777550"</f>
        <v>3:52:21.777550</v>
      </c>
      <c r="C5163">
        <v>-61</v>
      </c>
    </row>
    <row r="5164" spans="1:3" x14ac:dyDescent="0.25">
      <c r="A5164">
        <v>39</v>
      </c>
      <c r="B5164" t="str">
        <f>"3:52:21.778247"</f>
        <v>3:52:21.778247</v>
      </c>
      <c r="C5164">
        <v>-61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full_power_8b3f.csv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Gadicherla Srikanth</dc:creator>
  <cp:lastModifiedBy>Gadicherla Srikanth</cp:lastModifiedBy>
  <dcterms:created xsi:type="dcterms:W3CDTF">2017-10-03T12:55:08Z</dcterms:created>
  <dcterms:modified xsi:type="dcterms:W3CDTF">2017-10-03T12:58:08Z</dcterms:modified>
</cp:coreProperties>
</file>